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drawings/drawing4.xml" ContentType="application/vnd.openxmlformats-officedocument.drawing+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omments2.xml" ContentType="application/vnd.openxmlformats-officedocument.spreadsheetml.comments+xml"/>
  <Override PartName="/xl/drawings/drawing5.xml" ContentType="application/vnd.openxmlformats-officedocument.drawing+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omments4.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DieseArbeitsmappe" autoCompressPictures="0" defaultThemeVersion="124226"/>
  <mc:AlternateContent xmlns:mc="http://schemas.openxmlformats.org/markup-compatibility/2006">
    <mc:Choice Requires="x15">
      <x15ac:absPath xmlns:x15ac="http://schemas.microsoft.com/office/spreadsheetml/2010/11/ac" url="G:\Projektabteilung\Kalkulationshilfe\2026\"/>
    </mc:Choice>
  </mc:AlternateContent>
  <xr:revisionPtr revIDLastSave="0" documentId="13_ncr:1_{DB4C71AB-6282-478E-AA8F-F225B0FE7853}" xr6:coauthVersionLast="47" xr6:coauthVersionMax="47" xr10:uidLastSave="{00000000-0000-0000-0000-000000000000}"/>
  <bookViews>
    <workbookView xWindow="-120" yWindow="-120" windowWidth="38640" windowHeight="21120" tabRatio="839" xr2:uid="{00000000-000D-0000-FFFF-FFFF00000000}"/>
  </bookViews>
  <sheets>
    <sheet name="User-INFO" sheetId="50" r:id="rId1"/>
    <sheet name="Stammblatt" sheetId="22" r:id="rId2"/>
    <sheet name="Zusammenfassung" sheetId="2" r:id="rId3"/>
    <sheet name="Finanzierungsplan" sheetId="10" r:id="rId4"/>
    <sheet name="Recoupment AT" sheetId="55" r:id="rId5"/>
    <sheet name="Kalkulation Herstellungskosten" sheetId="40" r:id="rId6"/>
    <sheet name="Kollektivvertrag" sheetId="45" r:id="rId7"/>
    <sheet name="ILV" sheetId="46" r:id="rId8"/>
    <sheet name="GREEN FILMING Mehrkosten" sheetId="52" r:id="rId9"/>
    <sheet name="Stab_Ö_Lohnnebenkosten" sheetId="37" r:id="rId10"/>
    <sheet name="BERECHNUNGSSÄTZE" sheetId="4" state="hidden" r:id="rId11"/>
    <sheet name="CONTROLLING-DATA" sheetId="54" state="hidden" r:id="rId12"/>
    <sheet name="DarstellerInnen" sheetId="26" r:id="rId13"/>
    <sheet name="Motivliste" sheetId="39" r:id="rId14"/>
    <sheet name="Stab_Cast_Ö_Reisekosten" sheetId="53" r:id="rId15"/>
    <sheet name="Zu 10 (Reise-, Transportkosten)" sheetId="9" r:id="rId16"/>
    <sheet name="Richt- und Höchstsätze" sheetId="36" r:id="rId17"/>
    <sheet name="Tages- und Nächtigungsgelder" sheetId="51" r:id="rId18"/>
  </sheets>
  <definedNames>
    <definedName name="Absperrhilfen">Motivliste!$F$37</definedName>
    <definedName name="Baumaterial">Motivliste!$G$37</definedName>
    <definedName name="Bem_End">Zusammenfassung!$Q$24</definedName>
    <definedName name="Bem_Plan">Zusammenfassung!$H$24</definedName>
    <definedName name="Bond">Zusammenfassung!$D$19</definedName>
    <definedName name="DB">BERECHNUNGSSÄTZE!$C$13</definedName>
    <definedName name="Diäten_Ausl">'Zu 10 (Reise-, Transportkosten)'!$H$27</definedName>
    <definedName name="Diäten_Ö">BERECHNUNGSSÄTZE!$F$18</definedName>
    <definedName name="Diäten_W">BERECHNUNGSSÄTZE!$F$17</definedName>
    <definedName name="DIT" localSheetId="14">Kollektivvertrag!#REF!</definedName>
    <definedName name="DIT">Kollektivvertrag!#REF!</definedName>
    <definedName name="Drehbuch_Richtsatz">BERECHNUNGSSÄTZE!$D$23</definedName>
    <definedName name="_xlnm.Print_Area" localSheetId="10">BERECHNUNGSSÄTZE!$A$1:$N$28</definedName>
    <definedName name="_xlnm.Print_Area" localSheetId="11">'CONTROLLING-DATA'!$A$1:$I$57</definedName>
    <definedName name="_xlnm.Print_Area" localSheetId="12">DarstellerInnen!$A$1:$AC$62</definedName>
    <definedName name="_xlnm.Print_Area" localSheetId="3">Finanzierungsplan!$A$1:$S$76</definedName>
    <definedName name="_xlnm.Print_Area" localSheetId="8">'GREEN FILMING Mehrkosten'!$A$1:$O$52</definedName>
    <definedName name="_xlnm.Print_Area" localSheetId="7">ILV!$A$1:$E$56</definedName>
    <definedName name="_xlnm.Print_Area" localSheetId="5">'Kalkulation Herstellungskosten'!$A$1:$AP$488</definedName>
    <definedName name="_xlnm.Print_Area" localSheetId="6">Kollektivvertrag!$A$1:$L$84</definedName>
    <definedName name="_xlnm.Print_Area" localSheetId="13">Motivliste!$A$1:$K$37</definedName>
    <definedName name="_xlnm.Print_Area" localSheetId="16">'Richt- und Höchstsätze'!$A$1:$E$59</definedName>
    <definedName name="_xlnm.Print_Area" localSheetId="14">Stab_Cast_Ö_Reisekosten!$A$2:$U$209</definedName>
    <definedName name="_xlnm.Print_Area" localSheetId="9">Stab_Ö_Lohnnebenkosten!$A$1:$X$147</definedName>
    <definedName name="_xlnm.Print_Area" localSheetId="1">Stammblatt!$A$1:$G$49</definedName>
    <definedName name="_xlnm.Print_Area" localSheetId="0">'User-INFO'!$B$1:$B$36</definedName>
    <definedName name="_xlnm.Print_Area" localSheetId="15">'Zu 10 (Reise-, Transportkosten)'!$A$1:$M$69</definedName>
    <definedName name="_xlnm.Print_Area" localSheetId="2">Zusammenfassung!$A$1:$AK$36</definedName>
    <definedName name="_xlnm.Print_Titles" localSheetId="12">DarstellerInnen!$1:$3</definedName>
    <definedName name="_xlnm.Print_Titles" localSheetId="5">'Kalkulation Herstellungskosten'!$3:$3</definedName>
    <definedName name="_xlnm.Print_Titles" localSheetId="14">Stab_Cast_Ö_Reisekosten!$1:$4</definedName>
    <definedName name="_xlnm.Print_Titles" localSheetId="9">Stab_Ö_Lohnnebenkosten!$1:$4</definedName>
    <definedName name="DZ">BERECHNUNGSSÄTZE!$C$14</definedName>
    <definedName name="E" localSheetId="14">#REF!</definedName>
    <definedName name="E">#REF!</definedName>
    <definedName name="EndK">Zusammenfassung!$N$22</definedName>
    <definedName name="EndSpend">Zusammenfassung!$Q$22</definedName>
    <definedName name="Faktor" localSheetId="14">#REF!</definedName>
    <definedName name="Faktor">#REF!</definedName>
    <definedName name="FGK">BERECHNUNGSSÄTZE!$C$28</definedName>
    <definedName name="FIN">Zusammenfassung!$D$25</definedName>
    <definedName name="FIN_A">Zusammenfassung!$V$25</definedName>
    <definedName name="FIN_B">Zusammenfassung!$Z$25</definedName>
    <definedName name="FIN_C">Zusammenfassung!$AD$25</definedName>
    <definedName name="FIN_ges">Zusammenfassung!$AI$25</definedName>
    <definedName name="FinKosten">Zusammenfassung!$D$20</definedName>
    <definedName name="GHSTK">Zusammenfassung!$D$22</definedName>
    <definedName name="GHSTK_A">Zusammenfassung!$V$22</definedName>
    <definedName name="GHSTK_B">Zusammenfassung!$Z$22</definedName>
    <definedName name="GHSTK_C">Zusammenfassung!$AD$22</definedName>
    <definedName name="GHSTK_ges">Zusammenfassung!$AI$22</definedName>
    <definedName name="GHSTK_ges_final">Zusammenfassung!$AJ$22</definedName>
    <definedName name="HerstL" localSheetId="14">BERECHNUNGSSÄTZE!#REF!</definedName>
    <definedName name="HerstL">BERECHNUNGSSÄTZE!#REF!</definedName>
    <definedName name="Höchst_Mo_SZ">BERECHNUNGSSÄTZE!$C$11</definedName>
    <definedName name="Höchst_Monat">BERECHNUNGSSÄTZE!$C$10</definedName>
    <definedName name="Höchst_Tag">BERECHNUNGSSÄTZE!$E$10</definedName>
    <definedName name="Höchst_Tag_SZ">BERECHNUNGSSÄTZE!$E$11</definedName>
    <definedName name="Höchst_Wo_SZ">BERECHNUNGSSÄTZE!$D$11</definedName>
    <definedName name="Höchst_Woche">BERECHNUNGSSÄTZE!$D$10</definedName>
    <definedName name="Honorare" localSheetId="13">Motivliste!#REF!</definedName>
    <definedName name="Honorare" localSheetId="14">#REF!</definedName>
    <definedName name="Honorare">#REF!</definedName>
    <definedName name="HV">Motivliste!$D$37</definedName>
    <definedName name="km_Geld">BERECHNUNGSSÄTZE!$F$16</definedName>
    <definedName name="KommSt">BERECHNUNGSSÄTZE!$C$15</definedName>
    <definedName name="Kostumbild" localSheetId="14">Kollektivvertrag!#REF!</definedName>
    <definedName name="Kostumbild">Kollektivvertrag!#REF!</definedName>
    <definedName name="min">Stammblatt!$B$26</definedName>
    <definedName name="Motive">Motivliste!$C$37</definedName>
    <definedName name="MV">BERECHNUNGSSÄTZE!$C$17</definedName>
    <definedName name="Nebenräume">Motivliste!$E$37</definedName>
    <definedName name="NFK">Zusammenfassung!$D$17</definedName>
    <definedName name="NFK_ges">Zusammenfassung!$AI$17</definedName>
    <definedName name="NHKSTK_B" localSheetId="14">Zusammenfassung!#REF!</definedName>
    <definedName name="NHKSTK_B">Zusammenfassung!#REF!</definedName>
    <definedName name="NHSTK" localSheetId="14">Zusammenfassung!#REF!</definedName>
    <definedName name="NHSTK">Zusammenfassung!#REF!</definedName>
    <definedName name="NHSTK_A" localSheetId="14">Zusammenfassung!#REF!</definedName>
    <definedName name="NHSTK_A">Zusammenfassung!#REF!</definedName>
    <definedName name="NHSTK_C" localSheetId="14">Zusammenfassung!#REF!</definedName>
    <definedName name="NHSTK_C">Zusammenfassung!#REF!</definedName>
    <definedName name="NHSTK_ges" localSheetId="14">Zusammenfassung!#REF!</definedName>
    <definedName name="NHSTK_ges">Zusammenfassung!#REF!</definedName>
    <definedName name="Personal">'GREEN FILMING Mehrkosten'!$L$12:$L$30</definedName>
    <definedName name="PH">BERECHNUNGSSÄTZE!$C$27</definedName>
    <definedName name="Regie_Richtsatz">BERECHNUNGSSÄTZE!$D$24</definedName>
    <definedName name="Requisiten">Motivliste!$H$37</definedName>
    <definedName name="SFX">Motivliste!$I$37</definedName>
    <definedName name="Spend_Plan">Zusammenfassung!$H$22</definedName>
    <definedName name="Spielfahrzeuge">Motivliste!$J$37</definedName>
    <definedName name="SV_lfd">BERECHNUNGSSÄTZE!$C$8</definedName>
    <definedName name="SV_SZ">BERECHNUNGSSÄTZE!$C$9</definedName>
    <definedName name="SVGrund_lfd_mo">BERECHNUNGSSÄTZE!$C$5</definedName>
    <definedName name="SVGrund_lfd_tä">BERECHNUNGSSÄTZE!$E$5</definedName>
    <definedName name="SVGrund_lfd_wö">BERECHNUNGSSÄTZE!$D$5</definedName>
    <definedName name="SVGrund_SZ">BERECHNUNGSSÄTZE!$C$6</definedName>
    <definedName name="SVGrund_SZ_tä">BERECHNUNGSSÄTZE!$E$6</definedName>
    <definedName name="SVGrund_SZ_wö">BERECHNUNGSSÄTZE!$D$6</definedName>
    <definedName name="Trans_ST_End">Zusammenfassung!$Q$23</definedName>
    <definedName name="Trans_ST_Plan">Zusammenfassung!$H$23</definedName>
    <definedName name="Transfer_End">Zusammenfassung!$N$23</definedName>
    <definedName name="Transfer_Plan">Zusammenfassung!$D$23</definedName>
    <definedName name="U_Bahn">BERECHNUNGSSÄTZE!$C$18</definedName>
    <definedName name="ÜR">Zusammenfassung!$C$21</definedName>
    <definedName name="ZS_1_Vorkosten">'Kalkulation Herstellungskosten'!$F$11</definedName>
    <definedName name="ZS_10_Reisekosten">'Kalkulation Herstellungskosten'!$F$459</definedName>
    <definedName name="ZS_11_Allgemeine_Kosten">'Kalkulation Herstellungskosten'!$F$476</definedName>
    <definedName name="ZS_12_Kostenmindernde_Erträge">'Kalkulation Herstellungskosten'!$F$486</definedName>
    <definedName name="ZS_2_Nutzungsrechte">'Kalkulation Herstellungskosten'!$F$27</definedName>
    <definedName name="ZS_3_Gagen">'Kalkulation Herstellungskosten'!$F$326</definedName>
    <definedName name="ZS_4_Bild_Ton">'Kalkulation Herstellungskosten'!$F$349</definedName>
    <definedName name="ZS_5_Atelier_Ausleuchtung_Außenaufnahmen">'Kalkulation Herstellungskosten'!$F$371</definedName>
    <definedName name="ZS_6_Austattung">'Kalkulation Herstellungskosten'!$F$387</definedName>
    <definedName name="ZS_7_Schnitt_Sync_Mischung">'Kalkulation Herstellungskosten'!$F$406</definedName>
    <definedName name="ZS_8_Bild_Ton_Bearbeitung">'Kalkulation Herstellungskosten'!$F$438</definedName>
    <definedName name="ZS_9_Versicherungen">'Kalkulation Herstellungskosten'!$F$451</definedName>
  </definedNames>
  <calcPr calcId="191029" iterate="1"/>
  <fileRecoveryPr autoRecover="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37" l="1"/>
  <c r="C16" i="55"/>
  <c r="A2" i="55"/>
  <c r="C6" i="55"/>
  <c r="F6" i="37"/>
  <c r="F77" i="37"/>
  <c r="F78" i="37"/>
  <c r="F79" i="37"/>
  <c r="F80" i="37"/>
  <c r="F81" i="37"/>
  <c r="F82" i="37"/>
  <c r="F83" i="37"/>
  <c r="F84" i="37"/>
  <c r="F85" i="37"/>
  <c r="F86" i="37"/>
  <c r="F87" i="37"/>
  <c r="F88" i="37"/>
  <c r="F89" i="37"/>
  <c r="F90" i="37"/>
  <c r="F91" i="37"/>
  <c r="F92" i="37"/>
  <c r="F93" i="37"/>
  <c r="F94" i="37"/>
  <c r="F95" i="37"/>
  <c r="F96" i="37"/>
  <c r="F97" i="37"/>
  <c r="F98" i="37"/>
  <c r="F99" i="37"/>
  <c r="F100" i="37"/>
  <c r="F101" i="37"/>
  <c r="F102" i="37"/>
  <c r="F103" i="37"/>
  <c r="F104" i="37"/>
  <c r="F105" i="37"/>
  <c r="F106" i="37"/>
  <c r="F107" i="37"/>
  <c r="F108" i="37"/>
  <c r="F109" i="37"/>
  <c r="F110" i="37"/>
  <c r="F111" i="37"/>
  <c r="F112" i="37"/>
  <c r="F113" i="37"/>
  <c r="F114" i="37"/>
  <c r="F115" i="37"/>
  <c r="F116" i="37"/>
  <c r="F117" i="37"/>
  <c r="F118" i="37"/>
  <c r="F119" i="37"/>
  <c r="F120" i="37"/>
  <c r="F121" i="37"/>
  <c r="F122" i="37"/>
  <c r="F123" i="37"/>
  <c r="F124" i="37"/>
  <c r="F125" i="37"/>
  <c r="F126" i="37"/>
  <c r="F127" i="37"/>
  <c r="F128" i="37"/>
  <c r="F129" i="37"/>
  <c r="F130" i="37"/>
  <c r="F131" i="37"/>
  <c r="F132" i="37"/>
  <c r="F133" i="37"/>
  <c r="F134" i="37"/>
  <c r="F135" i="37"/>
  <c r="F136" i="37"/>
  <c r="F137" i="37"/>
  <c r="F138" i="37"/>
  <c r="F139" i="37"/>
  <c r="F140" i="37"/>
  <c r="F141" i="37"/>
  <c r="F142" i="37"/>
  <c r="F143" i="37"/>
  <c r="F144" i="37"/>
  <c r="F145" i="37"/>
  <c r="F76" i="37"/>
  <c r="F75" i="37"/>
  <c r="F7" i="37"/>
  <c r="F8" i="37"/>
  <c r="F9" i="37"/>
  <c r="F10" i="37"/>
  <c r="F11" i="37"/>
  <c r="F12" i="37"/>
  <c r="F13" i="37"/>
  <c r="F14" i="37"/>
  <c r="F15" i="37"/>
  <c r="F16" i="37"/>
  <c r="F17" i="37"/>
  <c r="F18" i="37"/>
  <c r="F19" i="37"/>
  <c r="F20" i="37"/>
  <c r="F21" i="37"/>
  <c r="F22" i="37"/>
  <c r="F23" i="37"/>
  <c r="F24" i="37"/>
  <c r="F25" i="37"/>
  <c r="F26" i="37"/>
  <c r="F27" i="37"/>
  <c r="F28" i="37"/>
  <c r="F29" i="37"/>
  <c r="F30" i="37"/>
  <c r="F31" i="37"/>
  <c r="F32" i="37"/>
  <c r="F33" i="37"/>
  <c r="F34" i="37"/>
  <c r="F35" i="37"/>
  <c r="F36" i="37"/>
  <c r="F37" i="37"/>
  <c r="F38" i="37"/>
  <c r="F39" i="37"/>
  <c r="F40" i="37"/>
  <c r="F41" i="37"/>
  <c r="F42" i="37"/>
  <c r="F43" i="37"/>
  <c r="F44" i="37"/>
  <c r="F45" i="37"/>
  <c r="F46" i="37"/>
  <c r="F47" i="37"/>
  <c r="F48" i="37"/>
  <c r="F49" i="37"/>
  <c r="F50" i="37"/>
  <c r="F51" i="37"/>
  <c r="F52" i="37"/>
  <c r="F53" i="37"/>
  <c r="F54" i="37"/>
  <c r="F55" i="37"/>
  <c r="F56" i="37"/>
  <c r="F57" i="37"/>
  <c r="F58" i="37"/>
  <c r="F59" i="37"/>
  <c r="F60" i="37"/>
  <c r="F61" i="37"/>
  <c r="F62" i="37"/>
  <c r="F63" i="37"/>
  <c r="F64" i="37"/>
  <c r="F65" i="37"/>
  <c r="F66" i="37"/>
  <c r="F67" i="37"/>
  <c r="F68" i="37"/>
  <c r="F69" i="37"/>
  <c r="F70" i="37"/>
  <c r="F71" i="37"/>
  <c r="F72" i="37"/>
  <c r="I17" i="52"/>
  <c r="I18" i="52"/>
  <c r="I19" i="52"/>
  <c r="I20" i="52"/>
  <c r="I21" i="52"/>
  <c r="E33" i="52"/>
  <c r="B276" i="40"/>
  <c r="E32" i="52"/>
  <c r="E31" i="52"/>
  <c r="N49" i="52"/>
  <c r="N23" i="52"/>
  <c r="N28" i="52" s="1"/>
  <c r="E35" i="52" l="1"/>
  <c r="C21" i="10"/>
  <c r="A29" i="10"/>
  <c r="A37" i="10"/>
  <c r="C9" i="10"/>
  <c r="C16" i="10"/>
  <c r="C14" i="55" s="1"/>
  <c r="P68" i="10"/>
  <c r="S65" i="10"/>
  <c r="S68" i="10" s="1"/>
  <c r="Q65" i="10"/>
  <c r="P65" i="10"/>
  <c r="S54" i="10"/>
  <c r="Q54" i="10"/>
  <c r="P54" i="10"/>
  <c r="S43" i="10"/>
  <c r="Q43" i="10"/>
  <c r="P43" i="10"/>
  <c r="S32" i="10"/>
  <c r="P32" i="10"/>
  <c r="P245" i="40"/>
  <c r="P257" i="40"/>
  <c r="E55" i="26"/>
  <c r="S3" i="2"/>
  <c r="R3" i="2"/>
  <c r="C37" i="39"/>
  <c r="A7" i="10"/>
  <c r="AG74" i="40"/>
  <c r="AK74" i="40"/>
  <c r="AO74" i="40"/>
  <c r="AG4" i="2"/>
  <c r="AC4" i="2"/>
  <c r="Y4" i="2"/>
  <c r="I174" i="40"/>
  <c r="I175" i="40"/>
  <c r="I176" i="40"/>
  <c r="I177" i="40"/>
  <c r="I178" i="40"/>
  <c r="I179" i="40"/>
  <c r="I180" i="40"/>
  <c r="I181" i="40"/>
  <c r="I182" i="40"/>
  <c r="I183" i="40"/>
  <c r="I184" i="40"/>
  <c r="I185" i="40"/>
  <c r="I186" i="40"/>
  <c r="I187" i="40"/>
  <c r="I188" i="40"/>
  <c r="I189" i="40"/>
  <c r="I190" i="40"/>
  <c r="I191" i="40"/>
  <c r="I192" i="40"/>
  <c r="I193" i="40"/>
  <c r="I194" i="40"/>
  <c r="I195" i="40"/>
  <c r="I196" i="40"/>
  <c r="I197" i="40"/>
  <c r="I198" i="40"/>
  <c r="I199" i="40"/>
  <c r="I200" i="40"/>
  <c r="I201" i="40"/>
  <c r="I202" i="40"/>
  <c r="I203" i="40"/>
  <c r="I204" i="40"/>
  <c r="I205" i="40"/>
  <c r="I206" i="40"/>
  <c r="I207" i="40"/>
  <c r="I208" i="40"/>
  <c r="I209" i="40"/>
  <c r="I210" i="40"/>
  <c r="I211" i="40"/>
  <c r="I212" i="40"/>
  <c r="I213" i="40"/>
  <c r="I214" i="40"/>
  <c r="I215" i="40"/>
  <c r="I216" i="40"/>
  <c r="I217" i="40"/>
  <c r="I218" i="40"/>
  <c r="I219" i="40"/>
  <c r="I220" i="40"/>
  <c r="I221" i="40"/>
  <c r="I222" i="40"/>
  <c r="I223" i="40"/>
  <c r="I224" i="40"/>
  <c r="I225" i="40"/>
  <c r="I226" i="40"/>
  <c r="I227" i="40"/>
  <c r="I228" i="40"/>
  <c r="I229" i="40"/>
  <c r="I230" i="40"/>
  <c r="I231" i="40"/>
  <c r="I232" i="40"/>
  <c r="I233" i="40"/>
  <c r="I234" i="40"/>
  <c r="I235" i="40"/>
  <c r="I236" i="40"/>
  <c r="I237" i="40"/>
  <c r="I238" i="40"/>
  <c r="I239" i="40"/>
  <c r="I240" i="40"/>
  <c r="I241" i="40"/>
  <c r="H174" i="40"/>
  <c r="H175" i="40"/>
  <c r="H176" i="40"/>
  <c r="H177" i="40"/>
  <c r="H178" i="40"/>
  <c r="H179" i="40"/>
  <c r="H180" i="40"/>
  <c r="H181" i="40"/>
  <c r="H182" i="40"/>
  <c r="H183" i="40"/>
  <c r="H184" i="40"/>
  <c r="H185" i="40"/>
  <c r="H186" i="40"/>
  <c r="H187" i="40"/>
  <c r="H188" i="40"/>
  <c r="H189" i="40"/>
  <c r="H190" i="40"/>
  <c r="H191" i="40"/>
  <c r="H192" i="40"/>
  <c r="H193" i="40"/>
  <c r="H194" i="40"/>
  <c r="H195" i="40"/>
  <c r="H196" i="40"/>
  <c r="H197" i="40"/>
  <c r="H198" i="40"/>
  <c r="H199" i="40"/>
  <c r="H200" i="40"/>
  <c r="H201" i="40"/>
  <c r="H202" i="40"/>
  <c r="H203" i="40"/>
  <c r="H204" i="40"/>
  <c r="H205" i="40"/>
  <c r="H206" i="40"/>
  <c r="H207" i="40"/>
  <c r="H208" i="40"/>
  <c r="H209" i="40"/>
  <c r="H210" i="40"/>
  <c r="H211" i="40"/>
  <c r="H212" i="40"/>
  <c r="H213" i="40"/>
  <c r="H214" i="40"/>
  <c r="H215" i="40"/>
  <c r="H216" i="40"/>
  <c r="H217" i="40"/>
  <c r="H218" i="40"/>
  <c r="H219" i="40"/>
  <c r="H220" i="40"/>
  <c r="H221" i="40"/>
  <c r="H222" i="40"/>
  <c r="H223" i="40"/>
  <c r="H224" i="40"/>
  <c r="H225" i="40"/>
  <c r="H226" i="40"/>
  <c r="H227" i="40"/>
  <c r="H228" i="40"/>
  <c r="H229" i="40"/>
  <c r="H230" i="40"/>
  <c r="H231" i="40"/>
  <c r="H232" i="40"/>
  <c r="H233" i="40"/>
  <c r="H234" i="40"/>
  <c r="H235" i="40"/>
  <c r="H236" i="40"/>
  <c r="H237" i="40"/>
  <c r="H238" i="40"/>
  <c r="H239" i="40"/>
  <c r="H240" i="40"/>
  <c r="H241" i="40"/>
  <c r="I166" i="40"/>
  <c r="I165" i="40"/>
  <c r="I164" i="40"/>
  <c r="I163" i="40"/>
  <c r="I162" i="40"/>
  <c r="I161" i="40"/>
  <c r="I160" i="40"/>
  <c r="I159" i="40"/>
  <c r="I158" i="40"/>
  <c r="I157" i="40"/>
  <c r="I156" i="40"/>
  <c r="I155" i="40"/>
  <c r="I154" i="40"/>
  <c r="I153" i="40"/>
  <c r="I152" i="40"/>
  <c r="I151" i="40"/>
  <c r="I150" i="40"/>
  <c r="I149" i="40"/>
  <c r="I148" i="40"/>
  <c r="I147" i="40"/>
  <c r="I146" i="40"/>
  <c r="I145" i="40"/>
  <c r="I144" i="40"/>
  <c r="I143" i="40"/>
  <c r="I142" i="40"/>
  <c r="I141" i="40"/>
  <c r="I140" i="40"/>
  <c r="I139" i="40"/>
  <c r="I138" i="40"/>
  <c r="I137" i="40"/>
  <c r="I136" i="40"/>
  <c r="I135" i="40"/>
  <c r="I134" i="40"/>
  <c r="I133" i="40"/>
  <c r="I132" i="40"/>
  <c r="I131" i="40"/>
  <c r="I130" i="40"/>
  <c r="I129" i="40"/>
  <c r="I128" i="40"/>
  <c r="I127" i="40"/>
  <c r="I126" i="40"/>
  <c r="I125" i="40"/>
  <c r="I124" i="40"/>
  <c r="I123" i="40"/>
  <c r="I122" i="40"/>
  <c r="I121" i="40"/>
  <c r="I120" i="40"/>
  <c r="I119" i="40"/>
  <c r="I118" i="40"/>
  <c r="I117" i="40"/>
  <c r="I116" i="40"/>
  <c r="I115" i="40"/>
  <c r="I114" i="40"/>
  <c r="I113" i="40"/>
  <c r="I112" i="40"/>
  <c r="I111" i="40"/>
  <c r="I110" i="40"/>
  <c r="I109" i="40"/>
  <c r="I108" i="40"/>
  <c r="I107" i="40"/>
  <c r="I106" i="40"/>
  <c r="I105" i="40"/>
  <c r="I104" i="40"/>
  <c r="I103" i="40"/>
  <c r="I102" i="40"/>
  <c r="I101" i="40"/>
  <c r="I100" i="40"/>
  <c r="I99" i="40"/>
  <c r="I98" i="40"/>
  <c r="I97" i="40"/>
  <c r="I96" i="40"/>
  <c r="I95" i="40"/>
  <c r="I94" i="40"/>
  <c r="I93" i="40"/>
  <c r="I92" i="40"/>
  <c r="I91" i="40"/>
  <c r="I90" i="40"/>
  <c r="I89" i="40"/>
  <c r="I88" i="40"/>
  <c r="I87" i="40"/>
  <c r="I86" i="40"/>
  <c r="I85" i="40"/>
  <c r="I84" i="40"/>
  <c r="I83" i="40"/>
  <c r="I82" i="40"/>
  <c r="I81" i="40"/>
  <c r="I80" i="40"/>
  <c r="I79" i="40"/>
  <c r="I78" i="40"/>
  <c r="I77" i="40"/>
  <c r="I76" i="40"/>
  <c r="I75" i="40"/>
  <c r="I74" i="40"/>
  <c r="I73" i="40"/>
  <c r="I72" i="40"/>
  <c r="I71" i="40"/>
  <c r="I70" i="40"/>
  <c r="I69" i="40"/>
  <c r="I68" i="40"/>
  <c r="I67" i="40"/>
  <c r="I66" i="40"/>
  <c r="I65" i="40"/>
  <c r="I64" i="40"/>
  <c r="I63" i="40"/>
  <c r="I62" i="40"/>
  <c r="I61" i="40"/>
  <c r="I60" i="40"/>
  <c r="I59" i="40"/>
  <c r="I58" i="40"/>
  <c r="I57" i="40"/>
  <c r="I56" i="40"/>
  <c r="I52" i="40"/>
  <c r="I51" i="40"/>
  <c r="I50" i="40"/>
  <c r="I49" i="40"/>
  <c r="I48" i="40"/>
  <c r="I47" i="40"/>
  <c r="I46" i="40"/>
  <c r="I45" i="40"/>
  <c r="I44" i="40"/>
  <c r="I43" i="40"/>
  <c r="I42" i="40"/>
  <c r="I41" i="40"/>
  <c r="I40" i="40"/>
  <c r="I39" i="40"/>
  <c r="I38" i="40"/>
  <c r="I37" i="40"/>
  <c r="I36" i="40"/>
  <c r="I30" i="10"/>
  <c r="N3" i="2" l="1"/>
  <c r="AK4" i="2"/>
  <c r="AJ4" i="2"/>
  <c r="AI4" i="2"/>
  <c r="AR3" i="40"/>
  <c r="AQ3" i="40"/>
  <c r="AP3" i="40"/>
  <c r="AF4" i="2"/>
  <c r="AE4" i="2"/>
  <c r="AB4" i="2"/>
  <c r="AA4" i="2"/>
  <c r="X4" i="2"/>
  <c r="W4" i="2"/>
  <c r="V2" i="2"/>
  <c r="AP481" i="40"/>
  <c r="AP482" i="40"/>
  <c r="AP483" i="40"/>
  <c r="AP484" i="40"/>
  <c r="AP471" i="40"/>
  <c r="AP472" i="40"/>
  <c r="AP473" i="40"/>
  <c r="AP474" i="40"/>
  <c r="AP466" i="40"/>
  <c r="AP467" i="40"/>
  <c r="AP468" i="40"/>
  <c r="AP480" i="40"/>
  <c r="AP486" i="40" s="1"/>
  <c r="AP470" i="40"/>
  <c r="AP465" i="40"/>
  <c r="AP463" i="40"/>
  <c r="AP476" i="40" s="1"/>
  <c r="AP443" i="40"/>
  <c r="AP444" i="40"/>
  <c r="AP445" i="40"/>
  <c r="AP446" i="40"/>
  <c r="AP447" i="40"/>
  <c r="AP448" i="40"/>
  <c r="AP449" i="40"/>
  <c r="AP442" i="40"/>
  <c r="AP451" i="40" s="1"/>
  <c r="AM438" i="40"/>
  <c r="AE12" i="2" s="1"/>
  <c r="AN438" i="40"/>
  <c r="AF12" i="2" s="1"/>
  <c r="AP436" i="40"/>
  <c r="AP435" i="40"/>
  <c r="AP433" i="40"/>
  <c r="AP415" i="40"/>
  <c r="AP416" i="40"/>
  <c r="AP417" i="40"/>
  <c r="AP418" i="40"/>
  <c r="AP414" i="40"/>
  <c r="AP404" i="40"/>
  <c r="AP379" i="40"/>
  <c r="AP381" i="40"/>
  <c r="AP382" i="40"/>
  <c r="AP385" i="40"/>
  <c r="AQ59" i="40"/>
  <c r="AR59" i="40"/>
  <c r="AQ61" i="40"/>
  <c r="AR61" i="40"/>
  <c r="AQ63" i="40"/>
  <c r="AR63" i="40" s="1"/>
  <c r="AQ65" i="40"/>
  <c r="AR65" i="40" s="1"/>
  <c r="AQ67" i="40"/>
  <c r="AR67" i="40" s="1"/>
  <c r="AQ69" i="40"/>
  <c r="AR69" i="40" s="1"/>
  <c r="AQ71" i="40"/>
  <c r="AR71" i="40" s="1"/>
  <c r="AQ73" i="40"/>
  <c r="AR73" i="40" s="1"/>
  <c r="AQ75" i="40"/>
  <c r="AR75" i="40" s="1"/>
  <c r="AQ77" i="40"/>
  <c r="AR77" i="40" s="1"/>
  <c r="AQ79" i="40"/>
  <c r="AR79" i="40" s="1"/>
  <c r="AQ81" i="40"/>
  <c r="AR81" i="40" s="1"/>
  <c r="AQ83" i="40"/>
  <c r="AR83" i="40" s="1"/>
  <c r="AQ85" i="40"/>
  <c r="AR85" i="40" s="1"/>
  <c r="AQ87" i="40"/>
  <c r="AR87" i="40" s="1"/>
  <c r="AQ89" i="40"/>
  <c r="AR89" i="40" s="1"/>
  <c r="AQ91" i="40"/>
  <c r="AR91" i="40" s="1"/>
  <c r="AQ93" i="40"/>
  <c r="AR93" i="40" s="1"/>
  <c r="AQ95" i="40"/>
  <c r="AR95" i="40" s="1"/>
  <c r="AQ97" i="40"/>
  <c r="AR97" i="40" s="1"/>
  <c r="AQ99" i="40"/>
  <c r="AR99" i="40" s="1"/>
  <c r="AQ101" i="40"/>
  <c r="AR101" i="40" s="1"/>
  <c r="AQ103" i="40"/>
  <c r="AR103" i="40" s="1"/>
  <c r="AQ105" i="40"/>
  <c r="AR105" i="40" s="1"/>
  <c r="AQ107" i="40"/>
  <c r="AR107" i="40" s="1"/>
  <c r="AQ109" i="40"/>
  <c r="AR109" i="40" s="1"/>
  <c r="AQ111" i="40"/>
  <c r="AR111" i="40" s="1"/>
  <c r="AQ113" i="40"/>
  <c r="AR113" i="40" s="1"/>
  <c r="AQ115" i="40"/>
  <c r="AR115" i="40" s="1"/>
  <c r="AQ117" i="40"/>
  <c r="AR117" i="40" s="1"/>
  <c r="AQ119" i="40"/>
  <c r="AR119" i="40" s="1"/>
  <c r="AQ121" i="40"/>
  <c r="AR121" i="40" s="1"/>
  <c r="AQ123" i="40"/>
  <c r="AR123" i="40" s="1"/>
  <c r="AQ125" i="40"/>
  <c r="AR125" i="40" s="1"/>
  <c r="AQ127" i="40"/>
  <c r="AR127" i="40" s="1"/>
  <c r="AQ129" i="40"/>
  <c r="AR129" i="40" s="1"/>
  <c r="AQ131" i="40"/>
  <c r="AR131" i="40" s="1"/>
  <c r="AQ133" i="40"/>
  <c r="AR133" i="40" s="1"/>
  <c r="AQ135" i="40"/>
  <c r="AR135" i="40" s="1"/>
  <c r="AQ137" i="40"/>
  <c r="AR137" i="40" s="1"/>
  <c r="AQ139" i="40"/>
  <c r="AR139" i="40" s="1"/>
  <c r="AQ141" i="40"/>
  <c r="AR141" i="40" s="1"/>
  <c r="AQ143" i="40"/>
  <c r="AR143" i="40" s="1"/>
  <c r="AQ145" i="40"/>
  <c r="AR145" i="40" s="1"/>
  <c r="AQ147" i="40"/>
  <c r="AR147" i="40" s="1"/>
  <c r="AQ149" i="40"/>
  <c r="AR149" i="40" s="1"/>
  <c r="AQ151" i="40"/>
  <c r="AR151" i="40" s="1"/>
  <c r="AQ153" i="40"/>
  <c r="AR153" i="40" s="1"/>
  <c r="AQ155" i="40"/>
  <c r="AR155" i="40" s="1"/>
  <c r="AQ157" i="40"/>
  <c r="AR157" i="40"/>
  <c r="AQ159" i="40"/>
  <c r="AR159" i="40" s="1"/>
  <c r="AQ161" i="40"/>
  <c r="AR161" i="40" s="1"/>
  <c r="AQ163" i="40"/>
  <c r="AR163" i="40" s="1"/>
  <c r="AQ165" i="40"/>
  <c r="AR165" i="40" s="1"/>
  <c r="AQ167" i="40"/>
  <c r="AR167" i="40" s="1"/>
  <c r="AQ57" i="40"/>
  <c r="AR57" i="40" s="1"/>
  <c r="AQ37" i="40"/>
  <c r="AR37" i="40"/>
  <c r="AQ39" i="40"/>
  <c r="AR39" i="40" s="1"/>
  <c r="AQ41" i="40"/>
  <c r="AR41" i="40" s="1"/>
  <c r="AQ43" i="40"/>
  <c r="AR43" i="40" s="1"/>
  <c r="AQ45" i="40"/>
  <c r="AR45" i="40" s="1"/>
  <c r="AQ47" i="40"/>
  <c r="AR47" i="40" s="1"/>
  <c r="AQ49" i="40"/>
  <c r="AR49" i="40" s="1"/>
  <c r="AQ51" i="40"/>
  <c r="AR51" i="40" s="1"/>
  <c r="AQ53" i="40"/>
  <c r="AR53" i="40" s="1"/>
  <c r="AQ35" i="40"/>
  <c r="AQ33" i="40"/>
  <c r="AR35" i="40"/>
  <c r="AR33" i="40"/>
  <c r="A9" i="22"/>
  <c r="A8" i="22"/>
  <c r="A7" i="22"/>
  <c r="D9" i="22"/>
  <c r="AD1" i="40"/>
  <c r="AN486" i="40"/>
  <c r="AF16" i="2" s="1"/>
  <c r="AM486" i="40"/>
  <c r="AE16" i="2" s="1"/>
  <c r="AO484" i="40"/>
  <c r="AO483" i="40"/>
  <c r="AO482" i="40"/>
  <c r="AO481" i="40"/>
  <c r="AO480" i="40"/>
  <c r="AN476" i="40"/>
  <c r="AF15" i="2" s="1"/>
  <c r="AM476" i="40"/>
  <c r="AE15" i="2" s="1"/>
  <c r="AO474" i="40"/>
  <c r="AO473" i="40"/>
  <c r="AO472" i="40"/>
  <c r="AO471" i="40"/>
  <c r="AO470" i="40"/>
  <c r="AO468" i="40"/>
  <c r="AO467" i="40"/>
  <c r="AO466" i="40"/>
  <c r="AO465" i="40"/>
  <c r="AO463" i="40"/>
  <c r="AN459" i="40"/>
  <c r="AF14" i="2" s="1"/>
  <c r="AM459" i="40"/>
  <c r="AE14" i="2" s="1"/>
  <c r="AO457" i="40"/>
  <c r="AO456" i="40"/>
  <c r="AO455" i="40"/>
  <c r="AN451" i="40"/>
  <c r="AF13" i="2" s="1"/>
  <c r="AM451" i="40"/>
  <c r="AE13" i="2" s="1"/>
  <c r="AO449" i="40"/>
  <c r="AO448" i="40"/>
  <c r="AO447" i="40"/>
  <c r="AO446" i="40"/>
  <c r="AO445" i="40"/>
  <c r="AO444" i="40"/>
  <c r="AO443" i="40"/>
  <c r="AO442" i="40"/>
  <c r="AO436" i="40"/>
  <c r="AO435" i="40"/>
  <c r="AO433" i="40"/>
  <c r="AO424" i="40"/>
  <c r="AO419" i="40"/>
  <c r="AO418" i="40"/>
  <c r="AO417" i="40"/>
  <c r="AO416" i="40"/>
  <c r="AO415" i="40"/>
  <c r="AO414" i="40"/>
  <c r="AO410" i="40"/>
  <c r="AN406" i="40"/>
  <c r="AF11" i="2" s="1"/>
  <c r="AM406" i="40"/>
  <c r="AE11" i="2" s="1"/>
  <c r="AO404" i="40"/>
  <c r="AO403" i="40"/>
  <c r="AO402" i="40"/>
  <c r="AO401" i="40"/>
  <c r="AO400" i="40"/>
  <c r="AO399" i="40"/>
  <c r="AO398" i="40"/>
  <c r="AO395" i="40"/>
  <c r="AO393" i="40"/>
  <c r="AO392" i="40"/>
  <c r="AO391" i="40"/>
  <c r="AN387" i="40"/>
  <c r="AF10" i="2" s="1"/>
  <c r="AM387" i="40"/>
  <c r="AE10" i="2" s="1"/>
  <c r="AO385" i="40"/>
  <c r="AO384" i="40"/>
  <c r="AO383" i="40"/>
  <c r="AO382" i="40"/>
  <c r="AO381" i="40"/>
  <c r="AO380" i="40"/>
  <c r="AO379" i="40"/>
  <c r="AO378" i="40"/>
  <c r="AO377" i="40"/>
  <c r="AO376" i="40"/>
  <c r="AO375" i="40"/>
  <c r="AN371" i="40"/>
  <c r="AF9" i="2" s="1"/>
  <c r="AM371" i="40"/>
  <c r="AE9" i="2" s="1"/>
  <c r="AO369" i="40"/>
  <c r="AO368" i="40"/>
  <c r="AO366" i="40"/>
  <c r="AO365" i="40"/>
  <c r="AO363" i="40"/>
  <c r="AO362" i="40"/>
  <c r="AO360" i="40"/>
  <c r="AO359" i="40"/>
  <c r="AO358" i="40"/>
  <c r="AO357" i="40"/>
  <c r="AO356" i="40"/>
  <c r="AO355" i="40"/>
  <c r="AO354" i="40"/>
  <c r="AN349" i="40"/>
  <c r="AF8" i="2" s="1"/>
  <c r="AM349" i="40"/>
  <c r="AE8" i="2" s="1"/>
  <c r="AO347" i="40"/>
  <c r="AO346" i="40"/>
  <c r="AO345" i="40"/>
  <c r="AO344" i="40"/>
  <c r="AO343" i="40"/>
  <c r="AO342" i="40"/>
  <c r="AO339" i="40"/>
  <c r="AO337" i="40"/>
  <c r="AO336" i="40"/>
  <c r="AO333" i="40"/>
  <c r="AO332" i="40"/>
  <c r="AO331" i="40"/>
  <c r="AN324" i="40"/>
  <c r="AM324" i="40"/>
  <c r="AO323" i="40"/>
  <c r="AO322" i="40"/>
  <c r="AO321" i="40"/>
  <c r="AO320" i="40"/>
  <c r="AO319" i="40"/>
  <c r="AO318" i="40"/>
  <c r="AO317" i="40"/>
  <c r="AO316" i="40"/>
  <c r="AO315" i="40"/>
  <c r="AO314" i="40"/>
  <c r="AO313" i="40"/>
  <c r="AO312" i="40"/>
  <c r="AO311" i="40"/>
  <c r="AO310" i="40"/>
  <c r="AO309" i="40"/>
  <c r="AO308" i="40"/>
  <c r="AO307" i="40"/>
  <c r="AO306" i="40"/>
  <c r="AO305" i="40"/>
  <c r="AO304" i="40"/>
  <c r="AO303" i="40"/>
  <c r="AO302" i="40"/>
  <c r="AO301" i="40"/>
  <c r="AO300" i="40"/>
  <c r="AO299" i="40"/>
  <c r="AO298" i="40"/>
  <c r="AO297" i="40"/>
  <c r="AO296" i="40"/>
  <c r="AO295" i="40"/>
  <c r="AO294" i="40"/>
  <c r="AO293" i="40"/>
  <c r="AO292" i="40"/>
  <c r="AO291" i="40"/>
  <c r="AO290" i="40"/>
  <c r="AO289" i="40"/>
  <c r="AO288" i="40"/>
  <c r="AO287" i="40"/>
  <c r="AO286" i="40"/>
  <c r="AO285" i="40"/>
  <c r="AO284" i="40"/>
  <c r="AO283" i="40"/>
  <c r="AO282" i="40"/>
  <c r="AO281" i="40"/>
  <c r="AO280" i="40"/>
  <c r="AO279" i="40"/>
  <c r="AO278" i="40"/>
  <c r="AO277" i="40"/>
  <c r="AO276" i="40"/>
  <c r="AO275" i="40"/>
  <c r="AO274" i="40"/>
  <c r="AO273" i="40"/>
  <c r="AO270" i="40"/>
  <c r="AO269" i="40"/>
  <c r="AO268" i="40"/>
  <c r="AO267" i="40"/>
  <c r="AO266" i="40"/>
  <c r="AO265" i="40"/>
  <c r="AO264" i="40"/>
  <c r="AO261" i="40"/>
  <c r="AO260" i="40"/>
  <c r="AO257" i="40"/>
  <c r="AO248" i="40"/>
  <c r="AO247" i="40"/>
  <c r="AN245" i="40"/>
  <c r="AM245" i="40"/>
  <c r="AO241" i="40"/>
  <c r="AO240" i="40"/>
  <c r="AO239" i="40"/>
  <c r="AO238" i="40"/>
  <c r="AO237" i="40"/>
  <c r="AO236" i="40"/>
  <c r="AO235" i="40"/>
  <c r="AO234" i="40"/>
  <c r="AO233" i="40"/>
  <c r="AO232" i="40"/>
  <c r="AO231" i="40"/>
  <c r="AO230" i="40"/>
  <c r="AO229" i="40"/>
  <c r="AO228" i="40"/>
  <c r="AO227" i="40"/>
  <c r="AO226" i="40"/>
  <c r="AO225" i="40"/>
  <c r="AO224" i="40"/>
  <c r="AO223" i="40"/>
  <c r="AO222" i="40"/>
  <c r="AO221" i="40"/>
  <c r="AO220" i="40"/>
  <c r="AO219" i="40"/>
  <c r="AO218" i="40"/>
  <c r="AO217" i="40"/>
  <c r="AO216" i="40"/>
  <c r="AO215" i="40"/>
  <c r="AO214" i="40"/>
  <c r="AO213" i="40"/>
  <c r="AO212" i="40"/>
  <c r="AO211" i="40"/>
  <c r="AO210" i="40"/>
  <c r="AO209" i="40"/>
  <c r="AO208" i="40"/>
  <c r="AO207" i="40"/>
  <c r="AO206" i="40"/>
  <c r="AO205" i="40"/>
  <c r="AO204" i="40"/>
  <c r="AO203" i="40"/>
  <c r="AO202" i="40"/>
  <c r="AO201" i="40"/>
  <c r="AO200" i="40"/>
  <c r="AO199" i="40"/>
  <c r="AO198" i="40"/>
  <c r="AO197" i="40"/>
  <c r="AO196" i="40"/>
  <c r="AO195" i="40"/>
  <c r="AO194" i="40"/>
  <c r="AO193" i="40"/>
  <c r="AO192" i="40"/>
  <c r="AO191" i="40"/>
  <c r="AO190" i="40"/>
  <c r="AO189" i="40"/>
  <c r="AO188" i="40"/>
  <c r="AO187" i="40"/>
  <c r="AO186" i="40"/>
  <c r="AO185" i="40"/>
  <c r="AO184" i="40"/>
  <c r="AO183" i="40"/>
  <c r="AO182" i="40"/>
  <c r="AO181" i="40"/>
  <c r="AO180" i="40"/>
  <c r="AO179" i="40"/>
  <c r="AO178" i="40"/>
  <c r="AO177" i="40"/>
  <c r="AO176" i="40"/>
  <c r="AO175" i="40"/>
  <c r="AO174" i="40"/>
  <c r="AO173" i="40"/>
  <c r="AO172" i="40"/>
  <c r="AO171" i="40"/>
  <c r="AO166" i="40"/>
  <c r="AO164" i="40"/>
  <c r="AO162" i="40"/>
  <c r="AO160" i="40"/>
  <c r="AO158" i="40"/>
  <c r="AO156" i="40"/>
  <c r="AO154" i="40"/>
  <c r="AO152" i="40"/>
  <c r="AO150" i="40"/>
  <c r="AO148" i="40"/>
  <c r="AO146" i="40"/>
  <c r="AO144" i="40"/>
  <c r="AO142" i="40"/>
  <c r="AO140" i="40"/>
  <c r="AO138" i="40"/>
  <c r="AO136" i="40"/>
  <c r="AO134" i="40"/>
  <c r="AO132" i="40"/>
  <c r="AO130" i="40"/>
  <c r="AO128" i="40"/>
  <c r="AO126" i="40"/>
  <c r="AO124" i="40"/>
  <c r="AO122" i="40"/>
  <c r="AO120" i="40"/>
  <c r="AO118" i="40"/>
  <c r="AO116" i="40"/>
  <c r="AO114" i="40"/>
  <c r="AO112" i="40"/>
  <c r="AO110" i="40"/>
  <c r="AO108" i="40"/>
  <c r="AO106" i="40"/>
  <c r="AO104" i="40"/>
  <c r="AO102" i="40"/>
  <c r="AO100" i="40"/>
  <c r="AO98" i="40"/>
  <c r="AO96" i="40"/>
  <c r="AO94" i="40"/>
  <c r="AO92" i="40"/>
  <c r="AO90" i="40"/>
  <c r="AO88" i="40"/>
  <c r="AO86" i="40"/>
  <c r="AO84" i="40"/>
  <c r="AO82" i="40"/>
  <c r="AO80" i="40"/>
  <c r="AO78" i="40"/>
  <c r="AO76" i="40"/>
  <c r="AO72" i="40"/>
  <c r="AO70" i="40"/>
  <c r="AO68" i="40"/>
  <c r="AO66" i="40"/>
  <c r="AO64" i="40"/>
  <c r="AO62" i="40"/>
  <c r="AO60" i="40"/>
  <c r="AO58" i="40"/>
  <c r="AO56" i="40"/>
  <c r="AO55" i="40"/>
  <c r="AO52" i="40"/>
  <c r="AO50" i="40"/>
  <c r="AO48" i="40"/>
  <c r="AO46" i="40"/>
  <c r="AO44" i="40"/>
  <c r="AO42" i="40"/>
  <c r="AO40" i="40"/>
  <c r="AO38" i="40"/>
  <c r="AO36" i="40"/>
  <c r="AO34" i="40"/>
  <c r="AO32" i="40"/>
  <c r="AN27" i="40"/>
  <c r="AF6" i="2" s="1"/>
  <c r="AM27" i="40"/>
  <c r="AE6" i="2" s="1"/>
  <c r="AO25" i="40"/>
  <c r="AO24" i="40"/>
  <c r="AO23" i="40"/>
  <c r="AO22" i="40"/>
  <c r="AO21" i="40"/>
  <c r="AO20" i="40"/>
  <c r="AO19" i="40"/>
  <c r="AO18" i="40"/>
  <c r="AO17" i="40"/>
  <c r="AO16" i="40"/>
  <c r="AO15" i="40"/>
  <c r="AN11" i="40"/>
  <c r="AF5" i="2" s="1"/>
  <c r="AM11" i="40"/>
  <c r="AE5" i="2" s="1"/>
  <c r="AO8" i="40"/>
  <c r="AO5" i="40"/>
  <c r="AO11" i="40" s="1"/>
  <c r="AO3" i="40"/>
  <c r="AN3" i="40"/>
  <c r="AM3" i="40"/>
  <c r="AJ486" i="40"/>
  <c r="AB16" i="2" s="1"/>
  <c r="AI486" i="40"/>
  <c r="AA16" i="2" s="1"/>
  <c r="AK484" i="40"/>
  <c r="AK483" i="40"/>
  <c r="AK482" i="40"/>
  <c r="AK481" i="40"/>
  <c r="AK480" i="40"/>
  <c r="AK486" i="40" s="1"/>
  <c r="AJ476" i="40"/>
  <c r="AB15" i="2" s="1"/>
  <c r="AI476" i="40"/>
  <c r="AA15" i="2" s="1"/>
  <c r="AK474" i="40"/>
  <c r="AK473" i="40"/>
  <c r="AK472" i="40"/>
  <c r="AK471" i="40"/>
  <c r="AK470" i="40"/>
  <c r="AK468" i="40"/>
  <c r="AK467" i="40"/>
  <c r="AK466" i="40"/>
  <c r="AK465" i="40"/>
  <c r="AK463" i="40"/>
  <c r="AK476" i="40" s="1"/>
  <c r="AJ459" i="40"/>
  <c r="AB14" i="2" s="1"/>
  <c r="AI459" i="40"/>
  <c r="AA14" i="2" s="1"/>
  <c r="AK457" i="40"/>
  <c r="AK456" i="40"/>
  <c r="AK455" i="40"/>
  <c r="AK459" i="40" s="1"/>
  <c r="AJ451" i="40"/>
  <c r="AB13" i="2" s="1"/>
  <c r="AI451" i="40"/>
  <c r="AA13" i="2" s="1"/>
  <c r="AK449" i="40"/>
  <c r="AK448" i="40"/>
  <c r="AK447" i="40"/>
  <c r="AK446" i="40"/>
  <c r="AK445" i="40"/>
  <c r="AK444" i="40"/>
  <c r="AK443" i="40"/>
  <c r="AK442" i="40"/>
  <c r="AK451" i="40" s="1"/>
  <c r="AJ438" i="40"/>
  <c r="AB12" i="2" s="1"/>
  <c r="AI438" i="40"/>
  <c r="AA12" i="2" s="1"/>
  <c r="AK436" i="40"/>
  <c r="AK435" i="40"/>
  <c r="AK433" i="40"/>
  <c r="AK424" i="40"/>
  <c r="AK419" i="40"/>
  <c r="AK418" i="40"/>
  <c r="AK417" i="40"/>
  <c r="AK416" i="40"/>
  <c r="AK415" i="40"/>
  <c r="AK414" i="40"/>
  <c r="AK410" i="40"/>
  <c r="AJ406" i="40"/>
  <c r="AB11" i="2" s="1"/>
  <c r="AI406" i="40"/>
  <c r="AA11" i="2" s="1"/>
  <c r="AK404" i="40"/>
  <c r="AK403" i="40"/>
  <c r="AK402" i="40"/>
  <c r="AK401" i="40"/>
  <c r="AK400" i="40"/>
  <c r="AK399" i="40"/>
  <c r="AK398" i="40"/>
  <c r="AK395" i="40"/>
  <c r="AK393" i="40"/>
  <c r="AK392" i="40"/>
  <c r="AK391" i="40"/>
  <c r="AK406" i="40" s="1"/>
  <c r="AJ387" i="40"/>
  <c r="AB10" i="2" s="1"/>
  <c r="AI387" i="40"/>
  <c r="AA10" i="2" s="1"/>
  <c r="AK385" i="40"/>
  <c r="AK384" i="40"/>
  <c r="AK383" i="40"/>
  <c r="AK382" i="40"/>
  <c r="AK381" i="40"/>
  <c r="AK380" i="40"/>
  <c r="AK379" i="40"/>
  <c r="AK378" i="40"/>
  <c r="AK377" i="40"/>
  <c r="AK376" i="40"/>
  <c r="AK375" i="40"/>
  <c r="AK387" i="40" s="1"/>
  <c r="AJ371" i="40"/>
  <c r="AB9" i="2" s="1"/>
  <c r="AI371" i="40"/>
  <c r="AA9" i="2" s="1"/>
  <c r="AK369" i="40"/>
  <c r="AK368" i="40"/>
  <c r="AK366" i="40"/>
  <c r="AK365" i="40"/>
  <c r="AK363" i="40"/>
  <c r="AK362" i="40"/>
  <c r="AK360" i="40"/>
  <c r="AK359" i="40"/>
  <c r="AK358" i="40"/>
  <c r="AK357" i="40"/>
  <c r="AK356" i="40"/>
  <c r="AK355" i="40"/>
  <c r="AK354" i="40"/>
  <c r="AK371" i="40" s="1"/>
  <c r="AJ349" i="40"/>
  <c r="AB8" i="2" s="1"/>
  <c r="AI349" i="40"/>
  <c r="AA8" i="2" s="1"/>
  <c r="AK347" i="40"/>
  <c r="AK346" i="40"/>
  <c r="AK345" i="40"/>
  <c r="AK344" i="40"/>
  <c r="AK343" i="40"/>
  <c r="AK342" i="40"/>
  <c r="AK339" i="40"/>
  <c r="AK337" i="40"/>
  <c r="AK336" i="40"/>
  <c r="AK333" i="40"/>
  <c r="AK332" i="40"/>
  <c r="AK331" i="40"/>
  <c r="AK349" i="40" s="1"/>
  <c r="AJ324" i="40"/>
  <c r="AI324" i="40"/>
  <c r="AK323" i="40"/>
  <c r="AK322" i="40"/>
  <c r="AK321" i="40"/>
  <c r="AK320" i="40"/>
  <c r="AK319" i="40"/>
  <c r="AK318" i="40"/>
  <c r="AK317" i="40"/>
  <c r="AK316" i="40"/>
  <c r="AK315" i="40"/>
  <c r="AK314" i="40"/>
  <c r="AK313" i="40"/>
  <c r="AK312" i="40"/>
  <c r="AK311" i="40"/>
  <c r="AK310" i="40"/>
  <c r="AK309" i="40"/>
  <c r="AK308" i="40"/>
  <c r="AK307" i="40"/>
  <c r="AK306" i="40"/>
  <c r="AK305" i="40"/>
  <c r="AK304" i="40"/>
  <c r="AK303" i="40"/>
  <c r="AK302" i="40"/>
  <c r="AK301" i="40"/>
  <c r="AK300" i="40"/>
  <c r="AK299" i="40"/>
  <c r="AK298" i="40"/>
  <c r="AK297" i="40"/>
  <c r="AK296" i="40"/>
  <c r="AK295" i="40"/>
  <c r="AK294" i="40"/>
  <c r="AK293" i="40"/>
  <c r="AK292" i="40"/>
  <c r="AK291" i="40"/>
  <c r="AK290" i="40"/>
  <c r="AK289" i="40"/>
  <c r="AK288" i="40"/>
  <c r="AK287" i="40"/>
  <c r="AK286" i="40"/>
  <c r="AK285" i="40"/>
  <c r="AK284" i="40"/>
  <c r="AK283" i="40"/>
  <c r="AK282" i="40"/>
  <c r="AK281" i="40"/>
  <c r="AK280" i="40"/>
  <c r="AK279" i="40"/>
  <c r="AK278" i="40"/>
  <c r="AK277" i="40"/>
  <c r="AK276" i="40"/>
  <c r="AK275" i="40"/>
  <c r="AK274" i="40"/>
  <c r="AK273" i="40"/>
  <c r="AK270" i="40"/>
  <c r="AK269" i="40"/>
  <c r="AK268" i="40"/>
  <c r="AK267" i="40"/>
  <c r="AK266" i="40"/>
  <c r="AK265" i="40"/>
  <c r="AK264" i="40"/>
  <c r="AK261" i="40"/>
  <c r="AK260" i="40"/>
  <c r="AK257" i="40"/>
  <c r="AK248" i="40"/>
  <c r="AK247" i="40"/>
  <c r="AJ245" i="40"/>
  <c r="AI245" i="40"/>
  <c r="AK241" i="40"/>
  <c r="AK240" i="40"/>
  <c r="AK239" i="40"/>
  <c r="AK238" i="40"/>
  <c r="AK237" i="40"/>
  <c r="AK236" i="40"/>
  <c r="AK235" i="40"/>
  <c r="AK234" i="40"/>
  <c r="AK233" i="40"/>
  <c r="AK232" i="40"/>
  <c r="AK231" i="40"/>
  <c r="AK230" i="40"/>
  <c r="AK229" i="40"/>
  <c r="AK228" i="40"/>
  <c r="AK227" i="40"/>
  <c r="AK226" i="40"/>
  <c r="AK225" i="40"/>
  <c r="AK224" i="40"/>
  <c r="AK223" i="40"/>
  <c r="AK222" i="40"/>
  <c r="AK221" i="40"/>
  <c r="AK220" i="40"/>
  <c r="AK219" i="40"/>
  <c r="AK218" i="40"/>
  <c r="AK217" i="40"/>
  <c r="AK216" i="40"/>
  <c r="AK215" i="40"/>
  <c r="AK214" i="40"/>
  <c r="AK213" i="40"/>
  <c r="AK212" i="40"/>
  <c r="AK211" i="40"/>
  <c r="AK210" i="40"/>
  <c r="AK209" i="40"/>
  <c r="AK208" i="40"/>
  <c r="AK207" i="40"/>
  <c r="AK206" i="40"/>
  <c r="AK205" i="40"/>
  <c r="AK204" i="40"/>
  <c r="AK203" i="40"/>
  <c r="AK202" i="40"/>
  <c r="AK201" i="40"/>
  <c r="AK200" i="40"/>
  <c r="AK199" i="40"/>
  <c r="AK198" i="40"/>
  <c r="AK197" i="40"/>
  <c r="AK196" i="40"/>
  <c r="AK195" i="40"/>
  <c r="AK194" i="40"/>
  <c r="AK193" i="40"/>
  <c r="AK192" i="40"/>
  <c r="AK191" i="40"/>
  <c r="AK190" i="40"/>
  <c r="AK189" i="40"/>
  <c r="AK188" i="40"/>
  <c r="AK187" i="40"/>
  <c r="AK186" i="40"/>
  <c r="AK185" i="40"/>
  <c r="AK184" i="40"/>
  <c r="AK183" i="40"/>
  <c r="AK182" i="40"/>
  <c r="AK181" i="40"/>
  <c r="AK180" i="40"/>
  <c r="AK179" i="40"/>
  <c r="AK178" i="40"/>
  <c r="AK177" i="40"/>
  <c r="AK176" i="40"/>
  <c r="AK175" i="40"/>
  <c r="AK174" i="40"/>
  <c r="AK173" i="40"/>
  <c r="AK172" i="40"/>
  <c r="AK171" i="40"/>
  <c r="AK166" i="40"/>
  <c r="AK164" i="40"/>
  <c r="AK162" i="40"/>
  <c r="AK160" i="40"/>
  <c r="AK158" i="40"/>
  <c r="AK156" i="40"/>
  <c r="AK154" i="40"/>
  <c r="AK152" i="40"/>
  <c r="AK150" i="40"/>
  <c r="AK148" i="40"/>
  <c r="AK146" i="40"/>
  <c r="AK144" i="40"/>
  <c r="AK142" i="40"/>
  <c r="AK140" i="40"/>
  <c r="AK138" i="40"/>
  <c r="AK136" i="40"/>
  <c r="AK134" i="40"/>
  <c r="AK132" i="40"/>
  <c r="AK130" i="40"/>
  <c r="AK128" i="40"/>
  <c r="AK126" i="40"/>
  <c r="AK124" i="40"/>
  <c r="AK122" i="40"/>
  <c r="AK120" i="40"/>
  <c r="AK118" i="40"/>
  <c r="AK116" i="40"/>
  <c r="AK114" i="40"/>
  <c r="AK112" i="40"/>
  <c r="AK110" i="40"/>
  <c r="AK108" i="40"/>
  <c r="AK106" i="40"/>
  <c r="AK104" i="40"/>
  <c r="AK102" i="40"/>
  <c r="AK100" i="40"/>
  <c r="AK98" i="40"/>
  <c r="AK96" i="40"/>
  <c r="AK94" i="40"/>
  <c r="AK92" i="40"/>
  <c r="AK90" i="40"/>
  <c r="AK88" i="40"/>
  <c r="AK86" i="40"/>
  <c r="AK84" i="40"/>
  <c r="AK82" i="40"/>
  <c r="AK80" i="40"/>
  <c r="AK78" i="40"/>
  <c r="AK76" i="40"/>
  <c r="AK72" i="40"/>
  <c r="AK70" i="40"/>
  <c r="AK68" i="40"/>
  <c r="AK66" i="40"/>
  <c r="AK64" i="40"/>
  <c r="AK62" i="40"/>
  <c r="AK60" i="40"/>
  <c r="AK58" i="40"/>
  <c r="AK56" i="40"/>
  <c r="AK55" i="40"/>
  <c r="AK52" i="40"/>
  <c r="AK50" i="40"/>
  <c r="AK48" i="40"/>
  <c r="AK46" i="40"/>
  <c r="AK44" i="40"/>
  <c r="AK42" i="40"/>
  <c r="AK40" i="40"/>
  <c r="AK38" i="40"/>
  <c r="AK36" i="40"/>
  <c r="AK34" i="40"/>
  <c r="AK32" i="40"/>
  <c r="AJ27" i="40"/>
  <c r="AB6" i="2" s="1"/>
  <c r="AI27" i="40"/>
  <c r="AA6" i="2" s="1"/>
  <c r="AK25" i="40"/>
  <c r="AK24" i="40"/>
  <c r="AK23" i="40"/>
  <c r="AK22" i="40"/>
  <c r="AK21" i="40"/>
  <c r="AK20" i="40"/>
  <c r="AK19" i="40"/>
  <c r="AK18" i="40"/>
  <c r="AK17" i="40"/>
  <c r="AK16" i="40"/>
  <c r="AK15" i="40"/>
  <c r="AJ11" i="40"/>
  <c r="AB5" i="2" s="1"/>
  <c r="AI11" i="40"/>
  <c r="AA5" i="2" s="1"/>
  <c r="AK8" i="40"/>
  <c r="AK5" i="40"/>
  <c r="AK3" i="40"/>
  <c r="AJ3" i="40"/>
  <c r="AI3" i="40"/>
  <c r="AF486" i="40"/>
  <c r="X16" i="2" s="1"/>
  <c r="AE486" i="40"/>
  <c r="W16" i="2" s="1"/>
  <c r="AG484" i="40"/>
  <c r="AG483" i="40"/>
  <c r="AG482" i="40"/>
  <c r="AG481" i="40"/>
  <c r="AG480" i="40"/>
  <c r="AG486" i="40" s="1"/>
  <c r="AF476" i="40"/>
  <c r="X15" i="2" s="1"/>
  <c r="AE476" i="40"/>
  <c r="W15" i="2" s="1"/>
  <c r="AG474" i="40"/>
  <c r="AG473" i="40"/>
  <c r="AG472" i="40"/>
  <c r="AG471" i="40"/>
  <c r="AG470" i="40"/>
  <c r="AG468" i="40"/>
  <c r="AG467" i="40"/>
  <c r="AG466" i="40"/>
  <c r="AG465" i="40"/>
  <c r="AG463" i="40"/>
  <c r="AG476" i="40" s="1"/>
  <c r="AF459" i="40"/>
  <c r="X14" i="2" s="1"/>
  <c r="AE459" i="40"/>
  <c r="W14" i="2" s="1"/>
  <c r="AG457" i="40"/>
  <c r="AG456" i="40"/>
  <c r="AG455" i="40"/>
  <c r="AG459" i="40" s="1"/>
  <c r="AF451" i="40"/>
  <c r="X13" i="2" s="1"/>
  <c r="AE451" i="40"/>
  <c r="W13" i="2" s="1"/>
  <c r="AG449" i="40"/>
  <c r="AG448" i="40"/>
  <c r="AG447" i="40"/>
  <c r="AG446" i="40"/>
  <c r="AG445" i="40"/>
  <c r="AG444" i="40"/>
  <c r="AG443" i="40"/>
  <c r="AG442" i="40"/>
  <c r="AF438" i="40"/>
  <c r="X12" i="2" s="1"/>
  <c r="AE438" i="40"/>
  <c r="W12" i="2" s="1"/>
  <c r="AG436" i="40"/>
  <c r="AG435" i="40"/>
  <c r="AG433" i="40"/>
  <c r="AG424" i="40"/>
  <c r="AG419" i="40"/>
  <c r="AG418" i="40"/>
  <c r="AG417" i="40"/>
  <c r="AG416" i="40"/>
  <c r="AG415" i="40"/>
  <c r="AG414" i="40"/>
  <c r="AG410" i="40"/>
  <c r="AF406" i="40"/>
  <c r="X11" i="2" s="1"/>
  <c r="AE406" i="40"/>
  <c r="W11" i="2" s="1"/>
  <c r="AG404" i="40"/>
  <c r="AG403" i="40"/>
  <c r="AG402" i="40"/>
  <c r="AG401" i="40"/>
  <c r="AG400" i="40"/>
  <c r="AG399" i="40"/>
  <c r="AG398" i="40"/>
  <c r="AG395" i="40"/>
  <c r="AG393" i="40"/>
  <c r="AG392" i="40"/>
  <c r="AG391" i="40"/>
  <c r="AG406" i="40" s="1"/>
  <c r="AF387" i="40"/>
  <c r="X10" i="2" s="1"/>
  <c r="AE387" i="40"/>
  <c r="W10" i="2" s="1"/>
  <c r="AG385" i="40"/>
  <c r="AG384" i="40"/>
  <c r="AG383" i="40"/>
  <c r="AG382" i="40"/>
  <c r="AG381" i="40"/>
  <c r="AG380" i="40"/>
  <c r="AG379" i="40"/>
  <c r="AG378" i="40"/>
  <c r="AG377" i="40"/>
  <c r="AG376" i="40"/>
  <c r="AG375" i="40"/>
  <c r="AF371" i="40"/>
  <c r="X9" i="2" s="1"/>
  <c r="AE371" i="40"/>
  <c r="W9" i="2" s="1"/>
  <c r="AG369" i="40"/>
  <c r="AG368" i="40"/>
  <c r="AG366" i="40"/>
  <c r="AG365" i="40"/>
  <c r="AG363" i="40"/>
  <c r="AG362" i="40"/>
  <c r="AG360" i="40"/>
  <c r="AG359" i="40"/>
  <c r="AG358" i="40"/>
  <c r="AG357" i="40"/>
  <c r="AG356" i="40"/>
  <c r="AG355" i="40"/>
  <c r="AG354" i="40"/>
  <c r="AF349" i="40"/>
  <c r="X8" i="2" s="1"/>
  <c r="AE349" i="40"/>
  <c r="W8" i="2" s="1"/>
  <c r="AG347" i="40"/>
  <c r="AG346" i="40"/>
  <c r="AG345" i="40"/>
  <c r="AG344" i="40"/>
  <c r="AG343" i="40"/>
  <c r="AG342" i="40"/>
  <c r="AG339" i="40"/>
  <c r="AG337" i="40"/>
  <c r="AG336" i="40"/>
  <c r="AG333" i="40"/>
  <c r="AG332" i="40"/>
  <c r="AG331" i="40"/>
  <c r="AG349" i="40" s="1"/>
  <c r="AF324" i="40"/>
  <c r="AE324" i="40"/>
  <c r="AG323" i="40"/>
  <c r="AG322" i="40"/>
  <c r="AG321" i="40"/>
  <c r="AG320" i="40"/>
  <c r="AG319" i="40"/>
  <c r="AG318" i="40"/>
  <c r="AG317" i="40"/>
  <c r="AG316" i="40"/>
  <c r="AG315" i="40"/>
  <c r="AG314" i="40"/>
  <c r="AG313" i="40"/>
  <c r="AG312" i="40"/>
  <c r="AG311" i="40"/>
  <c r="AG310" i="40"/>
  <c r="AG309" i="40"/>
  <c r="AG308" i="40"/>
  <c r="AG307" i="40"/>
  <c r="AG306" i="40"/>
  <c r="AG305" i="40"/>
  <c r="AG304" i="40"/>
  <c r="AG303" i="40"/>
  <c r="AG302" i="40"/>
  <c r="AG301" i="40"/>
  <c r="AG300" i="40"/>
  <c r="AG299" i="40"/>
  <c r="AG298" i="40"/>
  <c r="AG297" i="40"/>
  <c r="AG296" i="40"/>
  <c r="AG295" i="40"/>
  <c r="AG294" i="40"/>
  <c r="AG293" i="40"/>
  <c r="AG292" i="40"/>
  <c r="AG291" i="40"/>
  <c r="AG290" i="40"/>
  <c r="AG289" i="40"/>
  <c r="AG288" i="40"/>
  <c r="AG287" i="40"/>
  <c r="AG286" i="40"/>
  <c r="AG285" i="40"/>
  <c r="AG284" i="40"/>
  <c r="AG283" i="40"/>
  <c r="AG282" i="40"/>
  <c r="AG281" i="40"/>
  <c r="AG280" i="40"/>
  <c r="AG279" i="40"/>
  <c r="AG278" i="40"/>
  <c r="AG277" i="40"/>
  <c r="AG276" i="40"/>
  <c r="AG275" i="40"/>
  <c r="AG274" i="40"/>
  <c r="AG273" i="40"/>
  <c r="AG270" i="40"/>
  <c r="AG269" i="40"/>
  <c r="AG268" i="40"/>
  <c r="AG267" i="40"/>
  <c r="AG266" i="40"/>
  <c r="AG265" i="40"/>
  <c r="AG264" i="40"/>
  <c r="AG261" i="40"/>
  <c r="AG260" i="40"/>
  <c r="AG257" i="40"/>
  <c r="AG248" i="40"/>
  <c r="AG247" i="40"/>
  <c r="AF245" i="40"/>
  <c r="AE245" i="40"/>
  <c r="AG241" i="40"/>
  <c r="AG240" i="40"/>
  <c r="AG239" i="40"/>
  <c r="AG238" i="40"/>
  <c r="AG237" i="40"/>
  <c r="AG236" i="40"/>
  <c r="AG235" i="40"/>
  <c r="AG234" i="40"/>
  <c r="AG233" i="40"/>
  <c r="AG232" i="40"/>
  <c r="AG231" i="40"/>
  <c r="AG230" i="40"/>
  <c r="AG229" i="40"/>
  <c r="AG228" i="40"/>
  <c r="AG227" i="40"/>
  <c r="AG226" i="40"/>
  <c r="AG225" i="40"/>
  <c r="AG224" i="40"/>
  <c r="AG223" i="40"/>
  <c r="AG222" i="40"/>
  <c r="AG221" i="40"/>
  <c r="AG220" i="40"/>
  <c r="AG219" i="40"/>
  <c r="AG218" i="40"/>
  <c r="AG217" i="40"/>
  <c r="AG216" i="40"/>
  <c r="AG215" i="40"/>
  <c r="AG214" i="40"/>
  <c r="AG213" i="40"/>
  <c r="AG212" i="40"/>
  <c r="AG211" i="40"/>
  <c r="AG210" i="40"/>
  <c r="AG209" i="40"/>
  <c r="AG208" i="40"/>
  <c r="AG207" i="40"/>
  <c r="AG206" i="40"/>
  <c r="AG205" i="40"/>
  <c r="AG204" i="40"/>
  <c r="AG203" i="40"/>
  <c r="AG202" i="40"/>
  <c r="AG201" i="40"/>
  <c r="AG200" i="40"/>
  <c r="AG199" i="40"/>
  <c r="AG198" i="40"/>
  <c r="AG197" i="40"/>
  <c r="AG196" i="40"/>
  <c r="AG195" i="40"/>
  <c r="AG194" i="40"/>
  <c r="AG193" i="40"/>
  <c r="AG192" i="40"/>
  <c r="AG191" i="40"/>
  <c r="AG190" i="40"/>
  <c r="AG189" i="40"/>
  <c r="AG188" i="40"/>
  <c r="AG187" i="40"/>
  <c r="AG186" i="40"/>
  <c r="AG185" i="40"/>
  <c r="AG184" i="40"/>
  <c r="AG183" i="40"/>
  <c r="AG182" i="40"/>
  <c r="AG181" i="40"/>
  <c r="AG180" i="40"/>
  <c r="AG179" i="40"/>
  <c r="AG178" i="40"/>
  <c r="AG177" i="40"/>
  <c r="AG176" i="40"/>
  <c r="AG175" i="40"/>
  <c r="AG174" i="40"/>
  <c r="AG173" i="40"/>
  <c r="AG172" i="40"/>
  <c r="AG171" i="40"/>
  <c r="AG166" i="40"/>
  <c r="AG164" i="40"/>
  <c r="AG162" i="40"/>
  <c r="AG160" i="40"/>
  <c r="AG158" i="40"/>
  <c r="AG156" i="40"/>
  <c r="AG154" i="40"/>
  <c r="AG152" i="40"/>
  <c r="AG150" i="40"/>
  <c r="AG148" i="40"/>
  <c r="AG146" i="40"/>
  <c r="AG144" i="40"/>
  <c r="AG142" i="40"/>
  <c r="AG140" i="40"/>
  <c r="AG138" i="40"/>
  <c r="AG136" i="40"/>
  <c r="AG134" i="40"/>
  <c r="AG132" i="40"/>
  <c r="AG130" i="40"/>
  <c r="AG128" i="40"/>
  <c r="AG126" i="40"/>
  <c r="AG124" i="40"/>
  <c r="AG122" i="40"/>
  <c r="AG120" i="40"/>
  <c r="AG118" i="40"/>
  <c r="AG116" i="40"/>
  <c r="AG114" i="40"/>
  <c r="AG112" i="40"/>
  <c r="AG110" i="40"/>
  <c r="AG108" i="40"/>
  <c r="AG106" i="40"/>
  <c r="AG104" i="40"/>
  <c r="AG102" i="40"/>
  <c r="AG100" i="40"/>
  <c r="AG98" i="40"/>
  <c r="AG96" i="40"/>
  <c r="AG94" i="40"/>
  <c r="AG92" i="40"/>
  <c r="AG90" i="40"/>
  <c r="AG88" i="40"/>
  <c r="AG86" i="40"/>
  <c r="AG84" i="40"/>
  <c r="AG82" i="40"/>
  <c r="AG80" i="40"/>
  <c r="AG78" i="40"/>
  <c r="AG76" i="40"/>
  <c r="AG72" i="40"/>
  <c r="AG70" i="40"/>
  <c r="AG68" i="40"/>
  <c r="AG66" i="40"/>
  <c r="AG64" i="40"/>
  <c r="AG62" i="40"/>
  <c r="AG60" i="40"/>
  <c r="AG58" i="40"/>
  <c r="AG56" i="40"/>
  <c r="AG55" i="40"/>
  <c r="AG52" i="40"/>
  <c r="AG50" i="40"/>
  <c r="AG48" i="40"/>
  <c r="AG46" i="40"/>
  <c r="AG44" i="40"/>
  <c r="AG42" i="40"/>
  <c r="AG40" i="40"/>
  <c r="AG38" i="40"/>
  <c r="AG36" i="40"/>
  <c r="AG34" i="40"/>
  <c r="AG32" i="40"/>
  <c r="AF27" i="40"/>
  <c r="X6" i="2" s="1"/>
  <c r="AE27" i="40"/>
  <c r="W6" i="2" s="1"/>
  <c r="AG25" i="40"/>
  <c r="AG24" i="40"/>
  <c r="AG23" i="40"/>
  <c r="AG22" i="40"/>
  <c r="AG21" i="40"/>
  <c r="AG20" i="40"/>
  <c r="AG19" i="40"/>
  <c r="AG18" i="40"/>
  <c r="AG17" i="40"/>
  <c r="AG16" i="40"/>
  <c r="AG15" i="40"/>
  <c r="AF11" i="40"/>
  <c r="X5" i="2" s="1"/>
  <c r="AE11" i="40"/>
  <c r="W5" i="2" s="1"/>
  <c r="AG8" i="40"/>
  <c r="AG5" i="40"/>
  <c r="AG3" i="40"/>
  <c r="AF3" i="40"/>
  <c r="AE3" i="40"/>
  <c r="H214" i="53"/>
  <c r="H215" i="53"/>
  <c r="H216" i="53"/>
  <c r="H217" i="53"/>
  <c r="H218" i="53"/>
  <c r="H219" i="53"/>
  <c r="H220" i="53"/>
  <c r="H221" i="53"/>
  <c r="H222" i="53"/>
  <c r="H223" i="53"/>
  <c r="H224" i="53"/>
  <c r="H225" i="53"/>
  <c r="H226" i="53"/>
  <c r="H227" i="53"/>
  <c r="H228" i="53"/>
  <c r="H229" i="53"/>
  <c r="H230" i="53"/>
  <c r="H231" i="53"/>
  <c r="H232" i="53"/>
  <c r="H233" i="53"/>
  <c r="H234" i="53"/>
  <c r="H235" i="53"/>
  <c r="H236" i="53"/>
  <c r="H237" i="53"/>
  <c r="H238" i="53"/>
  <c r="H239" i="53"/>
  <c r="H240" i="53"/>
  <c r="H241" i="53"/>
  <c r="H242" i="53"/>
  <c r="H243" i="53"/>
  <c r="H244" i="53"/>
  <c r="H245" i="53"/>
  <c r="H246" i="53"/>
  <c r="H247" i="53"/>
  <c r="H248" i="53"/>
  <c r="H249" i="53"/>
  <c r="H250" i="53"/>
  <c r="H251" i="53"/>
  <c r="H252" i="53"/>
  <c r="H253" i="53"/>
  <c r="H254" i="53"/>
  <c r="H255" i="53"/>
  <c r="H256" i="53"/>
  <c r="H257" i="53"/>
  <c r="H258" i="53"/>
  <c r="H259" i="53"/>
  <c r="H260" i="53"/>
  <c r="H261" i="53"/>
  <c r="H262" i="53"/>
  <c r="K214" i="53"/>
  <c r="K215" i="53"/>
  <c r="K216" i="53"/>
  <c r="K217" i="53"/>
  <c r="K218" i="53"/>
  <c r="K219" i="53"/>
  <c r="K220" i="53"/>
  <c r="K221" i="53"/>
  <c r="K222" i="53"/>
  <c r="K223" i="53"/>
  <c r="K224" i="53"/>
  <c r="K225" i="53"/>
  <c r="K226" i="53"/>
  <c r="K227" i="53"/>
  <c r="K228" i="53"/>
  <c r="K229" i="53"/>
  <c r="K230" i="53"/>
  <c r="K231" i="53"/>
  <c r="K232" i="53"/>
  <c r="K233" i="53"/>
  <c r="K234" i="53"/>
  <c r="K235" i="53"/>
  <c r="K236" i="53"/>
  <c r="K237" i="53"/>
  <c r="K238" i="53"/>
  <c r="K239" i="53"/>
  <c r="K240" i="53"/>
  <c r="K241" i="53"/>
  <c r="K242" i="53"/>
  <c r="K243" i="53"/>
  <c r="K244" i="53"/>
  <c r="K245" i="53"/>
  <c r="K246" i="53"/>
  <c r="K247" i="53"/>
  <c r="K248" i="53"/>
  <c r="K249" i="53"/>
  <c r="K250" i="53"/>
  <c r="K251" i="53"/>
  <c r="K252" i="53"/>
  <c r="K253" i="53"/>
  <c r="K254" i="53"/>
  <c r="K255" i="53"/>
  <c r="K256" i="53"/>
  <c r="K257" i="53"/>
  <c r="K258" i="53"/>
  <c r="K259" i="53"/>
  <c r="K260" i="53"/>
  <c r="K261" i="53"/>
  <c r="K262" i="53"/>
  <c r="E269" i="53"/>
  <c r="H6" i="53"/>
  <c r="H7" i="53"/>
  <c r="H8" i="53"/>
  <c r="H9" i="53"/>
  <c r="H10" i="53"/>
  <c r="H11" i="53"/>
  <c r="H12" i="53"/>
  <c r="H13" i="53"/>
  <c r="H14" i="53"/>
  <c r="H15" i="53"/>
  <c r="H16" i="53"/>
  <c r="H17" i="53"/>
  <c r="H18" i="53"/>
  <c r="H19" i="53"/>
  <c r="H20" i="53"/>
  <c r="H21" i="53"/>
  <c r="H22" i="53"/>
  <c r="H23" i="53"/>
  <c r="H24" i="53"/>
  <c r="H25" i="53"/>
  <c r="H26" i="53"/>
  <c r="H27" i="53"/>
  <c r="H28" i="53"/>
  <c r="H29" i="53"/>
  <c r="H30" i="53"/>
  <c r="H31" i="53"/>
  <c r="H32" i="53"/>
  <c r="H33" i="53"/>
  <c r="H34" i="53"/>
  <c r="H35" i="53"/>
  <c r="H36" i="53"/>
  <c r="H37" i="53"/>
  <c r="H38" i="53"/>
  <c r="H39" i="53"/>
  <c r="H40" i="53"/>
  <c r="H41" i="53"/>
  <c r="H42" i="53"/>
  <c r="H43" i="53"/>
  <c r="H44" i="53"/>
  <c r="H45" i="53"/>
  <c r="H46" i="53"/>
  <c r="H47" i="53"/>
  <c r="H48" i="53"/>
  <c r="H49" i="53"/>
  <c r="H50" i="53"/>
  <c r="H51" i="53"/>
  <c r="H52" i="53"/>
  <c r="H53" i="53"/>
  <c r="H54" i="53"/>
  <c r="H55" i="53"/>
  <c r="H56" i="53"/>
  <c r="H57" i="53"/>
  <c r="H58" i="53"/>
  <c r="H59" i="53"/>
  <c r="H60" i="53"/>
  <c r="H61" i="53"/>
  <c r="H62" i="53"/>
  <c r="H63" i="53"/>
  <c r="H64" i="53"/>
  <c r="H65" i="53"/>
  <c r="H66" i="53"/>
  <c r="H67" i="53"/>
  <c r="H68" i="53"/>
  <c r="H69" i="53"/>
  <c r="H70" i="53"/>
  <c r="H71" i="53"/>
  <c r="H72" i="53"/>
  <c r="K6" i="53"/>
  <c r="K7" i="53"/>
  <c r="K8" i="53"/>
  <c r="K9" i="53"/>
  <c r="K10" i="53"/>
  <c r="K11" i="53"/>
  <c r="K12" i="53"/>
  <c r="K13" i="53"/>
  <c r="K14" i="53"/>
  <c r="K15" i="53"/>
  <c r="K16" i="53"/>
  <c r="K17" i="53"/>
  <c r="K18" i="53"/>
  <c r="K19" i="53"/>
  <c r="K20" i="53"/>
  <c r="K21" i="53"/>
  <c r="K22" i="53"/>
  <c r="K23" i="53"/>
  <c r="K24" i="53"/>
  <c r="K25" i="53"/>
  <c r="K26" i="53"/>
  <c r="K27" i="53"/>
  <c r="K28" i="53"/>
  <c r="K29" i="53"/>
  <c r="K30" i="53"/>
  <c r="K31" i="53"/>
  <c r="K32" i="53"/>
  <c r="K33" i="53"/>
  <c r="K34" i="53"/>
  <c r="K35" i="53"/>
  <c r="K36" i="53"/>
  <c r="K37" i="53"/>
  <c r="K38" i="53"/>
  <c r="K39" i="53"/>
  <c r="K40" i="53"/>
  <c r="K41" i="53"/>
  <c r="K42" i="53"/>
  <c r="K43" i="53"/>
  <c r="K44" i="53"/>
  <c r="K45" i="53"/>
  <c r="K46" i="53"/>
  <c r="K47" i="53"/>
  <c r="K48" i="53"/>
  <c r="K49" i="53"/>
  <c r="K50" i="53"/>
  <c r="K51" i="53"/>
  <c r="K52" i="53"/>
  <c r="K53" i="53"/>
  <c r="K54" i="53"/>
  <c r="K55" i="53"/>
  <c r="K56" i="53"/>
  <c r="K57" i="53"/>
  <c r="K58" i="53"/>
  <c r="K59" i="53"/>
  <c r="K60" i="53"/>
  <c r="K61" i="53"/>
  <c r="K62" i="53"/>
  <c r="K63" i="53"/>
  <c r="K64" i="53"/>
  <c r="K65" i="53"/>
  <c r="K66" i="53"/>
  <c r="K67" i="53"/>
  <c r="K68" i="53"/>
  <c r="K69" i="53"/>
  <c r="K70" i="53"/>
  <c r="K71" i="53"/>
  <c r="K72" i="53"/>
  <c r="K181" i="53"/>
  <c r="K182" i="53"/>
  <c r="K183" i="53"/>
  <c r="K184" i="53"/>
  <c r="K185" i="53"/>
  <c r="K186" i="53"/>
  <c r="K187" i="53"/>
  <c r="K188" i="53"/>
  <c r="K189" i="53"/>
  <c r="K190" i="53"/>
  <c r="K191" i="53"/>
  <c r="K192" i="53"/>
  <c r="K193" i="53"/>
  <c r="K194" i="53"/>
  <c r="K195" i="53"/>
  <c r="K196" i="53"/>
  <c r="K197" i="53"/>
  <c r="K198" i="53"/>
  <c r="K199" i="53"/>
  <c r="K200" i="53"/>
  <c r="K201" i="53"/>
  <c r="K202" i="53"/>
  <c r="K203" i="53"/>
  <c r="K204" i="53"/>
  <c r="K205" i="53"/>
  <c r="K206" i="53"/>
  <c r="K207" i="53"/>
  <c r="H181" i="53"/>
  <c r="H182" i="53"/>
  <c r="H183" i="53"/>
  <c r="H184" i="53"/>
  <c r="H185" i="53"/>
  <c r="H186" i="53"/>
  <c r="H187" i="53"/>
  <c r="H188" i="53"/>
  <c r="H189" i="53"/>
  <c r="H190" i="53"/>
  <c r="H191" i="53"/>
  <c r="H192" i="53"/>
  <c r="H193" i="53"/>
  <c r="H194" i="53"/>
  <c r="H195" i="53"/>
  <c r="H196" i="53"/>
  <c r="H197" i="53"/>
  <c r="H198" i="53"/>
  <c r="H199" i="53"/>
  <c r="H200" i="53"/>
  <c r="H201" i="53"/>
  <c r="H202" i="53"/>
  <c r="H203" i="53"/>
  <c r="H204" i="53"/>
  <c r="H205" i="53"/>
  <c r="H206" i="53"/>
  <c r="H207" i="53"/>
  <c r="C212" i="53"/>
  <c r="K266" i="53"/>
  <c r="C9" i="9"/>
  <c r="H267" i="53"/>
  <c r="H266" i="53"/>
  <c r="AG451" i="40" l="1"/>
  <c r="AG371" i="40"/>
  <c r="AK438" i="40"/>
  <c r="AG245" i="40"/>
  <c r="AG11" i="40"/>
  <c r="AO245" i="40"/>
  <c r="AO486" i="40"/>
  <c r="AO476" i="40"/>
  <c r="AO459" i="40"/>
  <c r="AO451" i="40"/>
  <c r="AO438" i="40"/>
  <c r="AO406" i="40"/>
  <c r="AO387" i="40"/>
  <c r="AO371" i="40"/>
  <c r="AO349" i="40"/>
  <c r="AO324" i="40"/>
  <c r="AK245" i="40"/>
  <c r="AK27" i="40"/>
  <c r="Y5" i="2"/>
  <c r="AC5" i="2"/>
  <c r="AG5" i="2"/>
  <c r="Y16" i="2"/>
  <c r="Y15" i="2"/>
  <c r="Y14" i="2"/>
  <c r="Y13" i="2"/>
  <c r="Y12" i="2"/>
  <c r="Y11" i="2"/>
  <c r="Y10" i="2"/>
  <c r="Y9" i="2"/>
  <c r="Y8" i="2"/>
  <c r="Y6" i="2"/>
  <c r="AC16" i="2"/>
  <c r="AC15" i="2"/>
  <c r="AC14" i="2"/>
  <c r="AC13" i="2"/>
  <c r="AC12" i="2"/>
  <c r="AC11" i="2"/>
  <c r="AC10" i="2"/>
  <c r="AC9" i="2"/>
  <c r="AC8" i="2"/>
  <c r="AC6" i="2"/>
  <c r="AG16" i="2"/>
  <c r="AG15" i="2"/>
  <c r="AG14" i="2"/>
  <c r="AG13" i="2"/>
  <c r="AG12" i="2"/>
  <c r="AG11" i="2"/>
  <c r="AG10" i="2"/>
  <c r="AG9" i="2"/>
  <c r="AG8" i="2"/>
  <c r="AG6" i="2"/>
  <c r="AK11" i="40"/>
  <c r="AG387" i="40"/>
  <c r="AK324" i="40"/>
  <c r="AN326" i="40"/>
  <c r="AF7" i="2" s="1"/>
  <c r="AF17" i="2" s="1"/>
  <c r="AF22" i="2" s="1"/>
  <c r="AM326" i="40"/>
  <c r="AE7" i="2" s="1"/>
  <c r="AO27" i="40"/>
  <c r="AJ326" i="40"/>
  <c r="AB7" i="2" s="1"/>
  <c r="AB17" i="2" s="1"/>
  <c r="AB22" i="2" s="1"/>
  <c r="AI326" i="40"/>
  <c r="AA7" i="2" s="1"/>
  <c r="AG438" i="40"/>
  <c r="AF326" i="40"/>
  <c r="X7" i="2" s="1"/>
  <c r="X17" i="2" s="1"/>
  <c r="X22" i="2" s="1"/>
  <c r="AE326" i="40"/>
  <c r="W7" i="2" s="1"/>
  <c r="AG27" i="40"/>
  <c r="AG324" i="40"/>
  <c r="N23" i="2"/>
  <c r="AJ23" i="2" s="1"/>
  <c r="AP274" i="40"/>
  <c r="AP275" i="40"/>
  <c r="AP276" i="40"/>
  <c r="AP277" i="40"/>
  <c r="AP278" i="40"/>
  <c r="AP279" i="40"/>
  <c r="AP280" i="40"/>
  <c r="AP281" i="40"/>
  <c r="AP282" i="40"/>
  <c r="AP283" i="40"/>
  <c r="AP284" i="40"/>
  <c r="AP285" i="40"/>
  <c r="AP286" i="40"/>
  <c r="AP287" i="40"/>
  <c r="AP288" i="40"/>
  <c r="AP289" i="40"/>
  <c r="AP290" i="40"/>
  <c r="AP291" i="40"/>
  <c r="AP292" i="40"/>
  <c r="AP293" i="40"/>
  <c r="AP294" i="40"/>
  <c r="AP295" i="40"/>
  <c r="AP296" i="40"/>
  <c r="AP297" i="40"/>
  <c r="AP298" i="40"/>
  <c r="AP299" i="40"/>
  <c r="AP300" i="40"/>
  <c r="AP301" i="40"/>
  <c r="AP302" i="40"/>
  <c r="AP303" i="40"/>
  <c r="AP304" i="40"/>
  <c r="AP305" i="40"/>
  <c r="AP306" i="40"/>
  <c r="AP307" i="40"/>
  <c r="AP308" i="40"/>
  <c r="AP309" i="40"/>
  <c r="AP310" i="40"/>
  <c r="AP311" i="40"/>
  <c r="AP312" i="40"/>
  <c r="AP313" i="40"/>
  <c r="AP314" i="40"/>
  <c r="AP315" i="40"/>
  <c r="AP316" i="40"/>
  <c r="AP317" i="40"/>
  <c r="AP318" i="40"/>
  <c r="AP319" i="40"/>
  <c r="AP320" i="40"/>
  <c r="AP321" i="40"/>
  <c r="AP322" i="40"/>
  <c r="AP323" i="40"/>
  <c r="AP265" i="40"/>
  <c r="AP266" i="40"/>
  <c r="AP267" i="40"/>
  <c r="AP268" i="40"/>
  <c r="AP269" i="40"/>
  <c r="AP270" i="40"/>
  <c r="A3" i="40"/>
  <c r="B32" i="22"/>
  <c r="D18" i="45"/>
  <c r="O1" i="52"/>
  <c r="C1" i="46"/>
  <c r="E1" i="10"/>
  <c r="H1" i="2"/>
  <c r="AK326" i="40" l="1"/>
  <c r="AG326" i="40"/>
  <c r="AO326" i="40"/>
  <c r="AG7" i="2"/>
  <c r="AE17" i="2"/>
  <c r="AE22" i="2" s="1"/>
  <c r="AC7" i="2"/>
  <c r="AA17" i="2"/>
  <c r="AA22" i="2" s="1"/>
  <c r="W17" i="2"/>
  <c r="W22" i="2" s="1"/>
  <c r="Y7" i="2"/>
  <c r="AG17" i="2"/>
  <c r="AG22" i="2" s="1"/>
  <c r="AC17" i="2"/>
  <c r="AC22" i="2" s="1"/>
  <c r="Y17" i="2"/>
  <c r="Y22" i="2" s="1"/>
  <c r="Q13" i="45"/>
  <c r="Q14" i="45"/>
  <c r="Q15" i="45"/>
  <c r="Q16" i="45"/>
  <c r="Q17" i="45"/>
  <c r="Q18" i="45"/>
  <c r="Q19" i="45"/>
  <c r="Q20" i="45"/>
  <c r="Q22" i="45"/>
  <c r="Q23" i="45"/>
  <c r="Q24" i="45"/>
  <c r="Q25" i="45"/>
  <c r="Q26" i="45"/>
  <c r="Q27" i="45"/>
  <c r="Q28" i="45"/>
  <c r="Q29" i="45"/>
  <c r="Q30" i="45"/>
  <c r="Q31" i="45"/>
  <c r="Q32" i="45"/>
  <c r="Q33" i="45"/>
  <c r="Q34" i="45"/>
  <c r="Q35" i="45"/>
  <c r="Q36" i="45"/>
  <c r="Q37" i="45"/>
  <c r="Q38" i="45"/>
  <c r="Q39" i="45"/>
  <c r="Q40" i="45"/>
  <c r="Q41" i="45"/>
  <c r="Q42" i="45"/>
  <c r="Q43" i="45"/>
  <c r="Q44" i="45"/>
  <c r="Q45" i="45"/>
  <c r="Q46" i="45"/>
  <c r="Q47" i="45"/>
  <c r="Q48" i="45"/>
  <c r="Q49" i="45"/>
  <c r="Q50" i="45"/>
  <c r="Q51" i="45"/>
  <c r="Q52" i="45"/>
  <c r="Q53" i="45"/>
  <c r="Q54" i="45"/>
  <c r="Q55" i="45"/>
  <c r="Q56" i="45"/>
  <c r="Q57" i="45"/>
  <c r="Q58" i="45"/>
  <c r="Q59" i="45"/>
  <c r="Q60" i="45"/>
  <c r="Q61" i="45"/>
  <c r="Q62" i="45"/>
  <c r="Q63" i="45"/>
  <c r="Q64" i="45"/>
  <c r="Q65" i="45"/>
  <c r="Q66" i="45"/>
  <c r="Q67" i="45"/>
  <c r="Q68" i="45"/>
  <c r="Q69" i="45"/>
  <c r="Q70" i="45"/>
  <c r="Q71" i="45"/>
  <c r="Q72" i="45"/>
  <c r="Q73" i="45"/>
  <c r="Q74" i="45"/>
  <c r="Q75" i="45"/>
  <c r="Q12" i="45"/>
  <c r="I62" i="26" l="1"/>
  <c r="A2" i="40"/>
  <c r="O2" i="40"/>
  <c r="C68" i="10"/>
  <c r="C65" i="10"/>
  <c r="C54" i="10"/>
  <c r="C43" i="10"/>
  <c r="C32" i="10"/>
  <c r="O19" i="10"/>
  <c r="R2" i="10"/>
  <c r="Q2" i="10"/>
  <c r="Q1" i="10"/>
  <c r="L36" i="2"/>
  <c r="L28" i="2"/>
  <c r="Q27" i="2"/>
  <c r="N27" i="2"/>
  <c r="P27" i="2"/>
  <c r="O27" i="2"/>
  <c r="G2" i="2"/>
  <c r="B59" i="26"/>
  <c r="V366" i="40"/>
  <c r="AQ366" i="40" s="1"/>
  <c r="B76" i="53"/>
  <c r="B77" i="53"/>
  <c r="B78" i="53"/>
  <c r="B79" i="53"/>
  <c r="B80" i="53"/>
  <c r="B81" i="53"/>
  <c r="B82" i="53"/>
  <c r="B83" i="53"/>
  <c r="B84" i="53"/>
  <c r="B85" i="53"/>
  <c r="B86" i="53"/>
  <c r="B87" i="53"/>
  <c r="B88" i="53"/>
  <c r="B89" i="53"/>
  <c r="B90" i="53"/>
  <c r="B91" i="53"/>
  <c r="B92" i="53"/>
  <c r="B93" i="53"/>
  <c r="B94" i="53"/>
  <c r="B95" i="53"/>
  <c r="B96" i="53"/>
  <c r="B97" i="53"/>
  <c r="B98" i="53"/>
  <c r="B99" i="53"/>
  <c r="B100" i="53"/>
  <c r="B101" i="53"/>
  <c r="B102" i="53"/>
  <c r="B103" i="53"/>
  <c r="B104" i="53"/>
  <c r="B105" i="53"/>
  <c r="B106" i="53"/>
  <c r="B107" i="53"/>
  <c r="B108" i="53"/>
  <c r="B109" i="53"/>
  <c r="B110" i="53"/>
  <c r="B111" i="53"/>
  <c r="B112" i="53"/>
  <c r="B113" i="53"/>
  <c r="B114" i="53"/>
  <c r="B115" i="53"/>
  <c r="B116" i="53"/>
  <c r="B117" i="53"/>
  <c r="B118" i="53"/>
  <c r="B119" i="53"/>
  <c r="B120" i="53"/>
  <c r="B121" i="53"/>
  <c r="B122" i="53"/>
  <c r="B123" i="53"/>
  <c r="B124" i="53"/>
  <c r="B125" i="53"/>
  <c r="B126" i="53"/>
  <c r="B127" i="53"/>
  <c r="B128" i="53"/>
  <c r="B129" i="53"/>
  <c r="B130" i="53"/>
  <c r="B131" i="53"/>
  <c r="B132" i="53"/>
  <c r="B133" i="53"/>
  <c r="B134" i="53"/>
  <c r="B135" i="53"/>
  <c r="B136" i="53"/>
  <c r="B137" i="53"/>
  <c r="B138" i="53"/>
  <c r="B139" i="53"/>
  <c r="B140" i="53"/>
  <c r="B141" i="53"/>
  <c r="B142" i="53"/>
  <c r="B143" i="53"/>
  <c r="B144" i="53"/>
  <c r="B145" i="53"/>
  <c r="B75" i="53"/>
  <c r="B214" i="53" l="1"/>
  <c r="B215" i="53"/>
  <c r="B216" i="53"/>
  <c r="B217" i="53"/>
  <c r="B218" i="53"/>
  <c r="B219" i="53"/>
  <c r="B220" i="53"/>
  <c r="B221" i="53"/>
  <c r="B222" i="53"/>
  <c r="B223" i="53"/>
  <c r="B224" i="53"/>
  <c r="B225" i="53"/>
  <c r="B226" i="53"/>
  <c r="B227" i="53"/>
  <c r="B228" i="53"/>
  <c r="B229" i="53"/>
  <c r="B230" i="53"/>
  <c r="B231" i="53"/>
  <c r="B232" i="53"/>
  <c r="B233" i="53"/>
  <c r="B234" i="53"/>
  <c r="B235" i="53"/>
  <c r="B236" i="53"/>
  <c r="B237" i="53"/>
  <c r="B238" i="53"/>
  <c r="B239" i="53"/>
  <c r="B240" i="53"/>
  <c r="B241" i="53"/>
  <c r="B242" i="53"/>
  <c r="B243" i="53"/>
  <c r="B244" i="53"/>
  <c r="B245" i="53"/>
  <c r="B246" i="53"/>
  <c r="B247" i="53"/>
  <c r="B248" i="53"/>
  <c r="B249" i="53"/>
  <c r="B250" i="53"/>
  <c r="B251" i="53"/>
  <c r="B252" i="53"/>
  <c r="B253" i="53"/>
  <c r="B254" i="53"/>
  <c r="B255" i="53"/>
  <c r="B256" i="53"/>
  <c r="B257" i="53"/>
  <c r="B258" i="53"/>
  <c r="B259" i="53"/>
  <c r="B260" i="53"/>
  <c r="B261" i="53"/>
  <c r="B262" i="53"/>
  <c r="B213" i="53"/>
  <c r="B212" i="53"/>
  <c r="V54" i="37"/>
  <c r="H54" i="37"/>
  <c r="V29" i="37"/>
  <c r="V28" i="37"/>
  <c r="V27" i="37"/>
  <c r="E54" i="40"/>
  <c r="V74" i="40" l="1"/>
  <c r="AQ74" i="40" s="1"/>
  <c r="F424" i="40"/>
  <c r="AP424" i="40" s="1"/>
  <c r="AP369" i="40"/>
  <c r="AP347" i="40"/>
  <c r="AP260" i="40"/>
  <c r="AP15" i="40"/>
  <c r="AP16" i="40"/>
  <c r="AP17" i="40"/>
  <c r="AP18" i="40"/>
  <c r="AP19" i="40"/>
  <c r="AP20" i="40"/>
  <c r="AP21" i="40"/>
  <c r="AP22" i="40"/>
  <c r="AP23" i="40"/>
  <c r="AP24" i="40"/>
  <c r="AP25" i="40"/>
  <c r="AP8" i="40"/>
  <c r="AP5" i="40"/>
  <c r="AP11" i="40" l="1"/>
  <c r="AP27" i="40"/>
  <c r="AQ8" i="40"/>
  <c r="AR8" i="40" s="1"/>
  <c r="E2" i="26" l="1"/>
  <c r="I56" i="9"/>
  <c r="H56" i="9"/>
  <c r="F56" i="9"/>
  <c r="I55" i="9"/>
  <c r="H55" i="9"/>
  <c r="F55" i="9"/>
  <c r="I54" i="9"/>
  <c r="H54" i="9"/>
  <c r="F54" i="9"/>
  <c r="F57" i="9"/>
  <c r="H57" i="9"/>
  <c r="I57" i="9"/>
  <c r="F58" i="9"/>
  <c r="H58" i="9"/>
  <c r="I58" i="9"/>
  <c r="F59" i="9"/>
  <c r="H59" i="9"/>
  <c r="I59" i="9"/>
  <c r="F60" i="9"/>
  <c r="H60" i="9"/>
  <c r="I60" i="9"/>
  <c r="F61" i="9"/>
  <c r="H61" i="9"/>
  <c r="I61" i="9"/>
  <c r="P21" i="10" l="1"/>
  <c r="N35" i="2"/>
  <c r="N34" i="2"/>
  <c r="N33" i="2"/>
  <c r="N32" i="2"/>
  <c r="P32" i="2" s="1"/>
  <c r="Q32" i="2" s="1"/>
  <c r="N31" i="2"/>
  <c r="P31" i="2" s="1"/>
  <c r="Q31" i="2" s="1"/>
  <c r="N29" i="2"/>
  <c r="P29" i="2" s="1"/>
  <c r="Q29" i="2" s="1"/>
  <c r="N3" i="53" l="1"/>
  <c r="M4" i="53"/>
  <c r="M3" i="53"/>
  <c r="L4" i="53"/>
  <c r="L3" i="53"/>
  <c r="D5" i="39"/>
  <c r="J5" i="39"/>
  <c r="H5" i="39"/>
  <c r="G5" i="39"/>
  <c r="F5" i="39"/>
  <c r="E5" i="39"/>
  <c r="A1" i="39"/>
  <c r="K2" i="26"/>
  <c r="J3" i="26"/>
  <c r="J2" i="26"/>
  <c r="Q1" i="26"/>
  <c r="H2" i="26"/>
  <c r="G2" i="26"/>
  <c r="B474" i="40"/>
  <c r="B412" i="40"/>
  <c r="B413" i="40"/>
  <c r="B411" i="40"/>
  <c r="D272" i="40"/>
  <c r="C272" i="40"/>
  <c r="B275" i="40"/>
  <c r="B274" i="40"/>
  <c r="F2" i="26"/>
  <c r="B428" i="40"/>
  <c r="B429" i="40"/>
  <c r="B430" i="40"/>
  <c r="B427" i="40"/>
  <c r="B432" i="40"/>
  <c r="H6" i="37"/>
  <c r="H7" i="37"/>
  <c r="H8" i="37"/>
  <c r="H9" i="37"/>
  <c r="H10" i="37"/>
  <c r="H11" i="37"/>
  <c r="H12" i="37"/>
  <c r="H13" i="37"/>
  <c r="H14" i="37"/>
  <c r="H15" i="37"/>
  <c r="H16" i="37"/>
  <c r="H17" i="37"/>
  <c r="H18" i="37"/>
  <c r="H19" i="37"/>
  <c r="H21" i="37"/>
  <c r="H22" i="37"/>
  <c r="H23" i="37"/>
  <c r="H24" i="37"/>
  <c r="H25" i="37"/>
  <c r="H26" i="37"/>
  <c r="H27" i="37"/>
  <c r="H28" i="37"/>
  <c r="H29" i="37"/>
  <c r="H30" i="37"/>
  <c r="H31" i="37"/>
  <c r="H32" i="37"/>
  <c r="H33" i="37"/>
  <c r="H34" i="37"/>
  <c r="H35" i="37"/>
  <c r="H36" i="37"/>
  <c r="H37" i="37"/>
  <c r="H38" i="37"/>
  <c r="H39" i="37"/>
  <c r="H40" i="37"/>
  <c r="H41" i="37"/>
  <c r="H42" i="37"/>
  <c r="H43" i="37"/>
  <c r="H44" i="37"/>
  <c r="H45" i="37"/>
  <c r="H46" i="37"/>
  <c r="H47" i="37"/>
  <c r="H48" i="37"/>
  <c r="H49" i="37"/>
  <c r="H50" i="37"/>
  <c r="H51" i="37"/>
  <c r="H52" i="37"/>
  <c r="H53" i="37"/>
  <c r="H55" i="37"/>
  <c r="H56" i="37"/>
  <c r="H57" i="37"/>
  <c r="H58" i="37"/>
  <c r="H59" i="37"/>
  <c r="H60" i="37"/>
  <c r="H61" i="37"/>
  <c r="H62" i="37"/>
  <c r="H63" i="37"/>
  <c r="H64" i="37"/>
  <c r="H65" i="37"/>
  <c r="H66" i="37"/>
  <c r="H67" i="37"/>
  <c r="H68" i="37"/>
  <c r="H69" i="37"/>
  <c r="H70" i="37"/>
  <c r="H71" i="37"/>
  <c r="H72" i="37"/>
  <c r="V66" i="37"/>
  <c r="V62" i="37"/>
  <c r="A62" i="37"/>
  <c r="V60" i="37"/>
  <c r="V51" i="37"/>
  <c r="V47" i="37"/>
  <c r="V41" i="37"/>
  <c r="V34" i="37"/>
  <c r="V32" i="37"/>
  <c r="V24" i="37"/>
  <c r="V25" i="37"/>
  <c r="V26" i="37"/>
  <c r="V18" i="37"/>
  <c r="V9" i="37"/>
  <c r="V10" i="37"/>
  <c r="V11" i="37"/>
  <c r="H20" i="37" l="1"/>
  <c r="F147" i="37"/>
  <c r="I63" i="10"/>
  <c r="U6" i="53" l="1"/>
  <c r="U7" i="53"/>
  <c r="U8" i="53"/>
  <c r="U9" i="53"/>
  <c r="U10" i="53"/>
  <c r="U11" i="53"/>
  <c r="U12" i="53"/>
  <c r="U13" i="53"/>
  <c r="U14" i="53"/>
  <c r="U15" i="53"/>
  <c r="U16" i="53"/>
  <c r="U17" i="53"/>
  <c r="U18" i="53"/>
  <c r="U19" i="53"/>
  <c r="U20" i="53"/>
  <c r="U21" i="53"/>
  <c r="U22" i="53"/>
  <c r="U23" i="53"/>
  <c r="U24" i="53"/>
  <c r="U25" i="53"/>
  <c r="U26" i="53"/>
  <c r="U27" i="53"/>
  <c r="U28" i="53"/>
  <c r="U29" i="53"/>
  <c r="U30" i="53"/>
  <c r="U31" i="53"/>
  <c r="U32" i="53"/>
  <c r="U33" i="53"/>
  <c r="U34" i="53"/>
  <c r="U35" i="53"/>
  <c r="U36" i="53"/>
  <c r="U37" i="53"/>
  <c r="U38" i="53"/>
  <c r="U39" i="53"/>
  <c r="U40" i="53"/>
  <c r="U41" i="53"/>
  <c r="U42" i="53"/>
  <c r="U43" i="53"/>
  <c r="U44" i="53"/>
  <c r="U45" i="53"/>
  <c r="U46" i="53"/>
  <c r="U47" i="53"/>
  <c r="U48" i="53"/>
  <c r="U49" i="53"/>
  <c r="U50" i="53"/>
  <c r="U51" i="53"/>
  <c r="U52" i="53"/>
  <c r="U53" i="53"/>
  <c r="U54" i="53"/>
  <c r="U55" i="53"/>
  <c r="U56" i="53"/>
  <c r="U57" i="53"/>
  <c r="U58" i="53"/>
  <c r="U59" i="53"/>
  <c r="U60" i="53"/>
  <c r="U61" i="53"/>
  <c r="U62" i="53"/>
  <c r="U63" i="53"/>
  <c r="U64" i="53"/>
  <c r="U65" i="53"/>
  <c r="U66" i="53"/>
  <c r="U67" i="53"/>
  <c r="U68" i="53"/>
  <c r="U69" i="53"/>
  <c r="U70" i="53"/>
  <c r="U71" i="53"/>
  <c r="U72" i="53"/>
  <c r="V154" i="40"/>
  <c r="AQ154" i="40" s="1"/>
  <c r="V146" i="40"/>
  <c r="AQ146" i="40" s="1"/>
  <c r="V142" i="40"/>
  <c r="AQ142" i="40" s="1"/>
  <c r="V130" i="40"/>
  <c r="AQ130" i="40" s="1"/>
  <c r="V124" i="40"/>
  <c r="AQ124" i="40" s="1"/>
  <c r="V116" i="40"/>
  <c r="AQ116" i="40" s="1"/>
  <c r="V104" i="40"/>
  <c r="AQ104" i="40" s="1"/>
  <c r="V90" i="40"/>
  <c r="AQ90" i="40" s="1"/>
  <c r="V86" i="40"/>
  <c r="AQ86" i="40" s="1"/>
  <c r="V70" i="40"/>
  <c r="AQ70" i="40" s="1"/>
  <c r="V72" i="40"/>
  <c r="AQ72" i="40" s="1"/>
  <c r="V58" i="40"/>
  <c r="AQ58" i="40" s="1"/>
  <c r="V40" i="40"/>
  <c r="AQ40" i="40" s="1"/>
  <c r="V42" i="40"/>
  <c r="AQ42" i="40" s="1"/>
  <c r="V44" i="40"/>
  <c r="AQ44" i="40" s="1"/>
  <c r="H5" i="37"/>
  <c r="E47" i="22"/>
  <c r="D47" i="22"/>
  <c r="B72" i="53"/>
  <c r="B71" i="53"/>
  <c r="B70" i="53"/>
  <c r="B69" i="53"/>
  <c r="B68" i="53"/>
  <c r="B67" i="53"/>
  <c r="B66" i="53"/>
  <c r="B65" i="53"/>
  <c r="B64" i="53"/>
  <c r="B63" i="53"/>
  <c r="B62" i="53"/>
  <c r="B61" i="53"/>
  <c r="B60" i="53"/>
  <c r="B59" i="53"/>
  <c r="B58" i="53"/>
  <c r="B57" i="53"/>
  <c r="B56" i="53"/>
  <c r="B55" i="53"/>
  <c r="B54" i="53"/>
  <c r="B53" i="53"/>
  <c r="B52" i="53"/>
  <c r="B51" i="53"/>
  <c r="B50" i="53"/>
  <c r="B49" i="53"/>
  <c r="B48" i="53"/>
  <c r="B47" i="53"/>
  <c r="B46" i="53"/>
  <c r="B45" i="53"/>
  <c r="B44" i="53"/>
  <c r="B43" i="53"/>
  <c r="B42" i="53"/>
  <c r="B41" i="53"/>
  <c r="B40" i="53"/>
  <c r="B39" i="53"/>
  <c r="B38" i="53"/>
  <c r="B37" i="53"/>
  <c r="B36" i="53"/>
  <c r="B35" i="53"/>
  <c r="B34" i="53"/>
  <c r="B33" i="53"/>
  <c r="B32" i="53"/>
  <c r="B31" i="53"/>
  <c r="B30" i="53"/>
  <c r="B29" i="53"/>
  <c r="B28" i="53"/>
  <c r="B27" i="53"/>
  <c r="B26" i="53"/>
  <c r="B25" i="53"/>
  <c r="B24" i="53"/>
  <c r="B23" i="53"/>
  <c r="B22" i="53"/>
  <c r="B21" i="53"/>
  <c r="B20" i="53"/>
  <c r="B19" i="53"/>
  <c r="B18" i="53"/>
  <c r="B17" i="53"/>
  <c r="B15" i="53"/>
  <c r="B14" i="53"/>
  <c r="B13" i="53"/>
  <c r="B12" i="53"/>
  <c r="B11" i="53"/>
  <c r="B10" i="53"/>
  <c r="B9" i="53"/>
  <c r="A62" i="53"/>
  <c r="B16" i="53"/>
  <c r="B8" i="53"/>
  <c r="B7" i="53"/>
  <c r="B6" i="53"/>
  <c r="B5" i="53"/>
  <c r="B2" i="53"/>
  <c r="U62" i="10"/>
  <c r="U51" i="10"/>
  <c r="U40" i="10"/>
  <c r="G15" i="52" l="1"/>
  <c r="I15" i="52" s="1"/>
  <c r="E273" i="40"/>
  <c r="AW171" i="40"/>
  <c r="L274" i="40"/>
  <c r="M274" i="40"/>
  <c r="L275" i="40"/>
  <c r="M275" i="40"/>
  <c r="L276" i="40"/>
  <c r="M276" i="40"/>
  <c r="L277" i="40"/>
  <c r="M277" i="40"/>
  <c r="L278" i="40"/>
  <c r="M278" i="40"/>
  <c r="L279" i="40"/>
  <c r="M279" i="40"/>
  <c r="L280" i="40"/>
  <c r="M280" i="40"/>
  <c r="L281" i="40"/>
  <c r="M281" i="40"/>
  <c r="L282" i="40"/>
  <c r="M282" i="40"/>
  <c r="L283" i="40"/>
  <c r="M283" i="40"/>
  <c r="L284" i="40"/>
  <c r="M284" i="40"/>
  <c r="L285" i="40"/>
  <c r="M285" i="40"/>
  <c r="L286" i="40"/>
  <c r="M286" i="40"/>
  <c r="L287" i="40"/>
  <c r="M287" i="40"/>
  <c r="L288" i="40"/>
  <c r="M288" i="40"/>
  <c r="L289" i="40"/>
  <c r="M289" i="40"/>
  <c r="L290" i="40"/>
  <c r="M290" i="40"/>
  <c r="L291" i="40"/>
  <c r="M291" i="40"/>
  <c r="L292" i="40"/>
  <c r="M292" i="40"/>
  <c r="L293" i="40"/>
  <c r="M293" i="40"/>
  <c r="L294" i="40"/>
  <c r="M294" i="40"/>
  <c r="L295" i="40"/>
  <c r="M295" i="40"/>
  <c r="L296" i="40"/>
  <c r="M296" i="40"/>
  <c r="L297" i="40"/>
  <c r="M297" i="40"/>
  <c r="L298" i="40"/>
  <c r="M298" i="40"/>
  <c r="L299" i="40"/>
  <c r="M299" i="40"/>
  <c r="L300" i="40"/>
  <c r="M300" i="40"/>
  <c r="L301" i="40"/>
  <c r="M301" i="40"/>
  <c r="L302" i="40"/>
  <c r="M302" i="40"/>
  <c r="L303" i="40"/>
  <c r="M303" i="40"/>
  <c r="L304" i="40"/>
  <c r="M304" i="40"/>
  <c r="L305" i="40"/>
  <c r="M305" i="40"/>
  <c r="L306" i="40"/>
  <c r="M306" i="40"/>
  <c r="L307" i="40"/>
  <c r="M307" i="40"/>
  <c r="L308" i="40"/>
  <c r="M308" i="40"/>
  <c r="L309" i="40"/>
  <c r="M309" i="40"/>
  <c r="L310" i="40"/>
  <c r="M310" i="40"/>
  <c r="L311" i="40"/>
  <c r="M311" i="40"/>
  <c r="L312" i="40"/>
  <c r="M312" i="40"/>
  <c r="L313" i="40"/>
  <c r="M313" i="40"/>
  <c r="L314" i="40"/>
  <c r="M314" i="40"/>
  <c r="L315" i="40"/>
  <c r="M315" i="40"/>
  <c r="L316" i="40"/>
  <c r="M316" i="40"/>
  <c r="L317" i="40"/>
  <c r="M317" i="40"/>
  <c r="L318" i="40"/>
  <c r="M318" i="40"/>
  <c r="L319" i="40"/>
  <c r="M319" i="40"/>
  <c r="L320" i="40"/>
  <c r="M320" i="40"/>
  <c r="L321" i="40"/>
  <c r="M321" i="40"/>
  <c r="L322" i="40"/>
  <c r="M322" i="40"/>
  <c r="L323" i="40"/>
  <c r="M323" i="40"/>
  <c r="L265" i="40"/>
  <c r="M265" i="40"/>
  <c r="L266" i="40"/>
  <c r="M266" i="40"/>
  <c r="L267" i="40"/>
  <c r="M267" i="40"/>
  <c r="N267" i="40" s="1"/>
  <c r="L268" i="40"/>
  <c r="M268" i="40"/>
  <c r="L269" i="40"/>
  <c r="M269" i="40"/>
  <c r="L270" i="40"/>
  <c r="M270" i="40"/>
  <c r="U224" i="53"/>
  <c r="U225" i="53"/>
  <c r="U226" i="53"/>
  <c r="U227" i="53"/>
  <c r="U228" i="53"/>
  <c r="U229" i="53"/>
  <c r="U230" i="53"/>
  <c r="U231" i="53"/>
  <c r="U232" i="53"/>
  <c r="U233" i="53"/>
  <c r="U234" i="53"/>
  <c r="U235" i="53"/>
  <c r="U236" i="53"/>
  <c r="U237" i="53"/>
  <c r="U238" i="53"/>
  <c r="U239" i="53"/>
  <c r="U240" i="53"/>
  <c r="U241" i="53"/>
  <c r="U242" i="53"/>
  <c r="U243" i="53"/>
  <c r="U244" i="53"/>
  <c r="U245" i="53"/>
  <c r="U246" i="53"/>
  <c r="U247" i="53"/>
  <c r="U248" i="53"/>
  <c r="U249" i="53"/>
  <c r="U250" i="53"/>
  <c r="U251" i="53"/>
  <c r="U252" i="53"/>
  <c r="U253" i="53"/>
  <c r="U254" i="53"/>
  <c r="U255" i="53"/>
  <c r="U256" i="53"/>
  <c r="U257" i="53"/>
  <c r="U258" i="53"/>
  <c r="U259" i="53"/>
  <c r="U260" i="53"/>
  <c r="U261" i="53"/>
  <c r="U262" i="53"/>
  <c r="U181" i="53"/>
  <c r="U182" i="53"/>
  <c r="U183" i="53"/>
  <c r="U184" i="53"/>
  <c r="U185" i="53"/>
  <c r="U186" i="53"/>
  <c r="U187" i="53"/>
  <c r="U188" i="53"/>
  <c r="U189" i="53"/>
  <c r="U190" i="53"/>
  <c r="U191" i="53"/>
  <c r="U192" i="53"/>
  <c r="U193" i="53"/>
  <c r="U194" i="53"/>
  <c r="U195" i="53"/>
  <c r="U196" i="53"/>
  <c r="U197" i="53"/>
  <c r="U198" i="53"/>
  <c r="U199" i="53"/>
  <c r="U200" i="53"/>
  <c r="U201" i="53"/>
  <c r="U202" i="53"/>
  <c r="U203" i="53"/>
  <c r="U204" i="53"/>
  <c r="U205" i="53"/>
  <c r="U206" i="53"/>
  <c r="U207" i="53"/>
  <c r="G4" i="26"/>
  <c r="J4" i="26" s="1"/>
  <c r="L273" i="40" l="1"/>
  <c r="AP273" i="40"/>
  <c r="N295" i="40"/>
  <c r="N319" i="40"/>
  <c r="N315" i="40"/>
  <c r="N316" i="40"/>
  <c r="N291" i="40"/>
  <c r="N279" i="40"/>
  <c r="N323" i="40"/>
  <c r="N268" i="40"/>
  <c r="N311" i="40"/>
  <c r="N307" i="40"/>
  <c r="N303" i="40"/>
  <c r="N299" i="40"/>
  <c r="N276" i="40"/>
  <c r="N287" i="40"/>
  <c r="N283" i="40"/>
  <c r="N275" i="40"/>
  <c r="N280" i="40"/>
  <c r="N284" i="40"/>
  <c r="N320" i="40"/>
  <c r="N300" i="40"/>
  <c r="N292" i="40"/>
  <c r="N296" i="40"/>
  <c r="N288" i="40"/>
  <c r="N308" i="40"/>
  <c r="N270" i="40"/>
  <c r="N304" i="40"/>
  <c r="N312" i="40"/>
  <c r="N269" i="40"/>
  <c r="N314" i="40"/>
  <c r="N298" i="40"/>
  <c r="N290" i="40"/>
  <c r="N274" i="40"/>
  <c r="N322" i="40"/>
  <c r="N294" i="40"/>
  <c r="N318" i="40"/>
  <c r="N306" i="40"/>
  <c r="N286" i="40"/>
  <c r="N321" i="40"/>
  <c r="N309" i="40"/>
  <c r="N301" i="40"/>
  <c r="N297" i="40"/>
  <c r="N289" i="40"/>
  <c r="N285" i="40"/>
  <c r="N281" i="40"/>
  <c r="N277" i="40"/>
  <c r="N302" i="40"/>
  <c r="N278" i="40"/>
  <c r="N313" i="40"/>
  <c r="N305" i="40"/>
  <c r="N293" i="40"/>
  <c r="N310" i="40"/>
  <c r="N282" i="40"/>
  <c r="N317" i="40"/>
  <c r="N266" i="40"/>
  <c r="M273" i="40"/>
  <c r="N265" i="40"/>
  <c r="P324" i="40"/>
  <c r="N273" i="40" l="1"/>
  <c r="E17" i="40"/>
  <c r="G41" i="26" l="1"/>
  <c r="A1" i="26"/>
  <c r="B7" i="40"/>
  <c r="B6" i="40"/>
  <c r="B81" i="40"/>
  <c r="B79" i="40"/>
  <c r="F58" i="40"/>
  <c r="AP58" i="40" s="1"/>
  <c r="F154" i="40"/>
  <c r="F142" i="40"/>
  <c r="F130" i="40"/>
  <c r="AP130" i="40" s="1"/>
  <c r="F116" i="40"/>
  <c r="F104" i="40"/>
  <c r="AP104" i="40" s="1"/>
  <c r="F90" i="40"/>
  <c r="F86" i="40"/>
  <c r="F74" i="40"/>
  <c r="F72" i="40"/>
  <c r="F70" i="40"/>
  <c r="F44" i="40"/>
  <c r="C11" i="53" s="1"/>
  <c r="F42" i="40"/>
  <c r="C10" i="53" s="1"/>
  <c r="F40" i="40"/>
  <c r="B155" i="40"/>
  <c r="B154" i="40"/>
  <c r="B131" i="40"/>
  <c r="B130" i="40"/>
  <c r="B117" i="40"/>
  <c r="B116" i="40"/>
  <c r="B105" i="40"/>
  <c r="B104" i="40"/>
  <c r="B143" i="40"/>
  <c r="B142" i="40"/>
  <c r="B87" i="40"/>
  <c r="B86" i="40"/>
  <c r="B91" i="40"/>
  <c r="B90" i="40"/>
  <c r="C66" i="53" l="1"/>
  <c r="AP154" i="40"/>
  <c r="AR154" i="40" s="1"/>
  <c r="C60" i="53"/>
  <c r="AP142" i="40"/>
  <c r="AR142" i="40" s="1"/>
  <c r="C47" i="53"/>
  <c r="AP116" i="40"/>
  <c r="AR116" i="40" s="1"/>
  <c r="C34" i="53"/>
  <c r="AP90" i="40"/>
  <c r="AR90" i="40" s="1"/>
  <c r="C32" i="53"/>
  <c r="AP86" i="40"/>
  <c r="AR86" i="40" s="1"/>
  <c r="C26" i="53"/>
  <c r="AP74" i="40"/>
  <c r="AR74" i="40" s="1"/>
  <c r="C25" i="53"/>
  <c r="AP72" i="40"/>
  <c r="AR72" i="40" s="1"/>
  <c r="C24" i="53"/>
  <c r="AP70" i="40"/>
  <c r="AR70" i="40" s="1"/>
  <c r="C18" i="53"/>
  <c r="AR58" i="40"/>
  <c r="J54" i="37"/>
  <c r="K54" i="37" s="1"/>
  <c r="C54" i="53"/>
  <c r="J41" i="37"/>
  <c r="N41" i="37" s="1"/>
  <c r="C41" i="53"/>
  <c r="J9" i="37"/>
  <c r="C9" i="53"/>
  <c r="A54" i="53"/>
  <c r="A54" i="37"/>
  <c r="N54" i="37"/>
  <c r="M44" i="40"/>
  <c r="AP44" i="40"/>
  <c r="AR44" i="40" s="1"/>
  <c r="J11" i="37"/>
  <c r="N11" i="37" s="1"/>
  <c r="W44" i="40"/>
  <c r="M70" i="40"/>
  <c r="J24" i="37"/>
  <c r="N24" i="37" s="1"/>
  <c r="W70" i="40"/>
  <c r="L142" i="40"/>
  <c r="J60" i="37"/>
  <c r="N60" i="37" s="1"/>
  <c r="W142" i="40"/>
  <c r="M130" i="40"/>
  <c r="W130" i="40"/>
  <c r="AR130" i="40"/>
  <c r="M40" i="40"/>
  <c r="AP40" i="40"/>
  <c r="AR40" i="40" s="1"/>
  <c r="N9" i="37"/>
  <c r="W40" i="40"/>
  <c r="L74" i="40"/>
  <c r="J26" i="37"/>
  <c r="N26" i="37" s="1"/>
  <c r="W74" i="40"/>
  <c r="L90" i="40"/>
  <c r="J34" i="37"/>
  <c r="N34" i="37" s="1"/>
  <c r="W90" i="40"/>
  <c r="M116" i="40"/>
  <c r="J47" i="37"/>
  <c r="N47" i="37" s="1"/>
  <c r="W116" i="40"/>
  <c r="L42" i="40"/>
  <c r="AP42" i="40"/>
  <c r="AR42" i="40" s="1"/>
  <c r="J10" i="37"/>
  <c r="N10" i="37" s="1"/>
  <c r="W42" i="40"/>
  <c r="M72" i="40"/>
  <c r="J25" i="37"/>
  <c r="N25" i="37" s="1"/>
  <c r="W72" i="40"/>
  <c r="M86" i="40"/>
  <c r="J32" i="37"/>
  <c r="N32" i="37" s="1"/>
  <c r="W86" i="40"/>
  <c r="M154" i="40"/>
  <c r="J66" i="37"/>
  <c r="N66" i="37" s="1"/>
  <c r="W154" i="40"/>
  <c r="M58" i="40"/>
  <c r="J18" i="37"/>
  <c r="W58" i="40"/>
  <c r="A60" i="53"/>
  <c r="A60" i="37"/>
  <c r="A32" i="53"/>
  <c r="A32" i="37"/>
  <c r="A47" i="53"/>
  <c r="A47" i="37"/>
  <c r="A41" i="53"/>
  <c r="A41" i="37"/>
  <c r="A66" i="53"/>
  <c r="A66" i="37"/>
  <c r="A34" i="53"/>
  <c r="A34" i="37"/>
  <c r="L104" i="40"/>
  <c r="W104" i="40"/>
  <c r="AR104" i="40"/>
  <c r="L58" i="40"/>
  <c r="L70" i="40"/>
  <c r="L40" i="40"/>
  <c r="M142" i="40"/>
  <c r="L154" i="40"/>
  <c r="L72" i="40"/>
  <c r="M42" i="40"/>
  <c r="M104" i="40"/>
  <c r="L130" i="40"/>
  <c r="L44" i="40"/>
  <c r="L116" i="40"/>
  <c r="M90" i="40"/>
  <c r="L86" i="40"/>
  <c r="M74" i="40"/>
  <c r="B75" i="40"/>
  <c r="B74" i="40"/>
  <c r="B73" i="40"/>
  <c r="B72" i="40"/>
  <c r="B71" i="40"/>
  <c r="B70" i="40"/>
  <c r="B59" i="40"/>
  <c r="B58" i="40"/>
  <c r="B41" i="40"/>
  <c r="B40" i="40"/>
  <c r="B45" i="40"/>
  <c r="B44" i="40"/>
  <c r="B43" i="40"/>
  <c r="B42" i="40"/>
  <c r="F146" i="40"/>
  <c r="B147" i="40"/>
  <c r="C62" i="53" l="1"/>
  <c r="AP146" i="40"/>
  <c r="AR146" i="40" s="1"/>
  <c r="N86" i="40"/>
  <c r="N40" i="40"/>
  <c r="N74" i="40"/>
  <c r="K41" i="37"/>
  <c r="L41" i="37" s="1"/>
  <c r="M41" i="37" s="1"/>
  <c r="U41" i="37" s="1"/>
  <c r="N42" i="40"/>
  <c r="L54" i="37"/>
  <c r="M54" i="37" s="1"/>
  <c r="N72" i="40"/>
  <c r="N154" i="40"/>
  <c r="N116" i="40"/>
  <c r="N90" i="40"/>
  <c r="N70" i="40"/>
  <c r="K32" i="37"/>
  <c r="L32" i="37" s="1"/>
  <c r="M32" i="37" s="1"/>
  <c r="K25" i="37"/>
  <c r="L25" i="37" s="1"/>
  <c r="M25" i="37" s="1"/>
  <c r="K47" i="37"/>
  <c r="K26" i="37"/>
  <c r="L26" i="37" s="1"/>
  <c r="M26" i="37" s="1"/>
  <c r="K11" i="37"/>
  <c r="L11" i="37" s="1"/>
  <c r="M11" i="37" s="1"/>
  <c r="M146" i="40"/>
  <c r="J62" i="37"/>
  <c r="N62" i="37" s="1"/>
  <c r="W146" i="40"/>
  <c r="K66" i="37"/>
  <c r="L66" i="37" s="1"/>
  <c r="M66" i="37" s="1"/>
  <c r="K34" i="37"/>
  <c r="L34" i="37" s="1"/>
  <c r="M34" i="37" s="1"/>
  <c r="N44" i="40"/>
  <c r="N130" i="40"/>
  <c r="N142" i="40"/>
  <c r="K60" i="37"/>
  <c r="K24" i="37"/>
  <c r="L24" i="37" s="1"/>
  <c r="M24" i="37" s="1"/>
  <c r="K10" i="37"/>
  <c r="L10" i="37" s="1"/>
  <c r="K9" i="37"/>
  <c r="L9" i="37" s="1"/>
  <c r="M9" i="37" s="1"/>
  <c r="N58" i="40"/>
  <c r="N18" i="37"/>
  <c r="K18" i="37"/>
  <c r="L18" i="37" s="1"/>
  <c r="M18" i="37" s="1"/>
  <c r="A25" i="53"/>
  <c r="A25" i="37"/>
  <c r="A11" i="53"/>
  <c r="A11" i="37"/>
  <c r="A10" i="53"/>
  <c r="A10" i="37"/>
  <c r="A18" i="53"/>
  <c r="A18" i="37"/>
  <c r="A26" i="53"/>
  <c r="A26" i="37"/>
  <c r="A9" i="53"/>
  <c r="A9" i="37"/>
  <c r="A24" i="53"/>
  <c r="A24" i="37"/>
  <c r="N104" i="40"/>
  <c r="L146" i="40"/>
  <c r="F124" i="40"/>
  <c r="B125" i="40"/>
  <c r="B124" i="40"/>
  <c r="C47" i="45"/>
  <c r="D47" i="45"/>
  <c r="E47" i="45" s="1"/>
  <c r="F47" i="45"/>
  <c r="G47" i="45" s="1"/>
  <c r="H47" i="45"/>
  <c r="I47" i="45" s="1"/>
  <c r="J47" i="45"/>
  <c r="K47" i="45"/>
  <c r="L47" i="45"/>
  <c r="C51" i="53" l="1"/>
  <c r="AP124" i="40"/>
  <c r="R41" i="37"/>
  <c r="S41" i="37"/>
  <c r="T41" i="37"/>
  <c r="U54" i="37"/>
  <c r="T54" i="37"/>
  <c r="S54" i="37"/>
  <c r="R54" i="37"/>
  <c r="U11" i="37"/>
  <c r="S11" i="37"/>
  <c r="T11" i="37"/>
  <c r="R11" i="37"/>
  <c r="S9" i="37"/>
  <c r="R9" i="37"/>
  <c r="U9" i="37"/>
  <c r="T9" i="37"/>
  <c r="U32" i="37"/>
  <c r="S32" i="37"/>
  <c r="T32" i="37"/>
  <c r="R32" i="37"/>
  <c r="M10" i="37"/>
  <c r="S24" i="37"/>
  <c r="T24" i="37"/>
  <c r="U24" i="37"/>
  <c r="R24" i="37"/>
  <c r="U34" i="37"/>
  <c r="S34" i="37"/>
  <c r="R34" i="37"/>
  <c r="T34" i="37"/>
  <c r="S26" i="37"/>
  <c r="U26" i="37"/>
  <c r="R26" i="37"/>
  <c r="T26" i="37"/>
  <c r="L124" i="40"/>
  <c r="J51" i="37"/>
  <c r="N51" i="37" s="1"/>
  <c r="W124" i="40"/>
  <c r="AR124" i="40"/>
  <c r="N146" i="40"/>
  <c r="T66" i="37"/>
  <c r="U66" i="37"/>
  <c r="R66" i="37"/>
  <c r="S66" i="37"/>
  <c r="R25" i="37"/>
  <c r="T25" i="37"/>
  <c r="S25" i="37"/>
  <c r="U25" i="37"/>
  <c r="L60" i="37"/>
  <c r="M60" i="37" s="1"/>
  <c r="K62" i="37"/>
  <c r="L62" i="37" s="1"/>
  <c r="M62" i="37" s="1"/>
  <c r="L47" i="37"/>
  <c r="M47" i="37" s="1"/>
  <c r="R18" i="37"/>
  <c r="T18" i="37"/>
  <c r="U18" i="37"/>
  <c r="S18" i="37"/>
  <c r="A51" i="53"/>
  <c r="A51" i="37"/>
  <c r="M124" i="40"/>
  <c r="C61" i="45"/>
  <c r="G42" i="40" s="1"/>
  <c r="H42" i="40" s="1"/>
  <c r="D61" i="45"/>
  <c r="E61" i="45" s="1"/>
  <c r="G43" i="40" s="1"/>
  <c r="H43" i="40" s="1"/>
  <c r="F61" i="45"/>
  <c r="G61" i="45" s="1"/>
  <c r="H61" i="45"/>
  <c r="I61" i="45" s="1"/>
  <c r="J61" i="45"/>
  <c r="K61" i="45"/>
  <c r="L61" i="45"/>
  <c r="C62" i="45"/>
  <c r="G44" i="40" s="1"/>
  <c r="H44" i="40" s="1"/>
  <c r="D62" i="45"/>
  <c r="E62" i="45" s="1"/>
  <c r="G45" i="40" s="1"/>
  <c r="H45" i="40" s="1"/>
  <c r="F62" i="45"/>
  <c r="G62" i="45" s="1"/>
  <c r="H62" i="45"/>
  <c r="I62" i="45" s="1"/>
  <c r="J62" i="45"/>
  <c r="K62" i="45"/>
  <c r="L62" i="45"/>
  <c r="C63" i="45"/>
  <c r="G40" i="40" s="1"/>
  <c r="H40" i="40" s="1"/>
  <c r="D63" i="45"/>
  <c r="E63" i="45" s="1"/>
  <c r="G41" i="40" s="1"/>
  <c r="H41" i="40" s="1"/>
  <c r="F63" i="45"/>
  <c r="G63" i="45" s="1"/>
  <c r="H63" i="45"/>
  <c r="I63" i="45" s="1"/>
  <c r="J63" i="45"/>
  <c r="K63" i="45"/>
  <c r="L63" i="45"/>
  <c r="C64" i="45"/>
  <c r="G58" i="40" s="1"/>
  <c r="H58" i="40" s="1"/>
  <c r="D64" i="45"/>
  <c r="E64" i="45" s="1"/>
  <c r="G59" i="40" s="1"/>
  <c r="H59" i="40" s="1"/>
  <c r="F64" i="45"/>
  <c r="G64" i="45" s="1"/>
  <c r="H64" i="45"/>
  <c r="I64" i="45" s="1"/>
  <c r="J64" i="45"/>
  <c r="K64" i="45"/>
  <c r="L64" i="45"/>
  <c r="C65" i="45"/>
  <c r="G90" i="40" s="1"/>
  <c r="H90" i="40" s="1"/>
  <c r="D65" i="45"/>
  <c r="E65" i="45" s="1"/>
  <c r="G91" i="40" s="1"/>
  <c r="H91" i="40" s="1"/>
  <c r="F65" i="45"/>
  <c r="G65" i="45" s="1"/>
  <c r="H65" i="45"/>
  <c r="I65" i="45" s="1"/>
  <c r="J65" i="45"/>
  <c r="K65" i="45"/>
  <c r="L65" i="45"/>
  <c r="C66" i="45"/>
  <c r="G86" i="40" s="1"/>
  <c r="H86" i="40" s="1"/>
  <c r="D66" i="45"/>
  <c r="E66" i="45" s="1"/>
  <c r="G87" i="40" s="1"/>
  <c r="H87" i="40" s="1"/>
  <c r="F66" i="45"/>
  <c r="G66" i="45" s="1"/>
  <c r="H66" i="45"/>
  <c r="I66" i="45" s="1"/>
  <c r="J66" i="45"/>
  <c r="K66" i="45"/>
  <c r="L66" i="45"/>
  <c r="C67" i="45"/>
  <c r="G142" i="40" s="1"/>
  <c r="H142" i="40" s="1"/>
  <c r="D67" i="45"/>
  <c r="E67" i="45" s="1"/>
  <c r="G143" i="40" s="1"/>
  <c r="H143" i="40" s="1"/>
  <c r="F67" i="45"/>
  <c r="G67" i="45" s="1"/>
  <c r="H67" i="45"/>
  <c r="I67" i="45" s="1"/>
  <c r="J67" i="45"/>
  <c r="K67" i="45"/>
  <c r="L67" i="45"/>
  <c r="C68" i="45"/>
  <c r="G116" i="40" s="1"/>
  <c r="H116" i="40" s="1"/>
  <c r="D68" i="45"/>
  <c r="E68" i="45" s="1"/>
  <c r="G117" i="40" s="1"/>
  <c r="H117" i="40" s="1"/>
  <c r="F68" i="45"/>
  <c r="G68" i="45" s="1"/>
  <c r="H68" i="45"/>
  <c r="I68" i="45" s="1"/>
  <c r="J68" i="45"/>
  <c r="K68" i="45"/>
  <c r="L68" i="45"/>
  <c r="C69" i="45"/>
  <c r="G104" i="40" s="1"/>
  <c r="H104" i="40" s="1"/>
  <c r="D69" i="45"/>
  <c r="E69" i="45" s="1"/>
  <c r="G105" i="40" s="1"/>
  <c r="H105" i="40" s="1"/>
  <c r="F69" i="45"/>
  <c r="G69" i="45" s="1"/>
  <c r="H69" i="45"/>
  <c r="I69" i="45" s="1"/>
  <c r="J69" i="45"/>
  <c r="K69" i="45"/>
  <c r="L69" i="45"/>
  <c r="C70" i="45"/>
  <c r="G130" i="40" s="1"/>
  <c r="H130" i="40" s="1"/>
  <c r="D70" i="45"/>
  <c r="E70" i="45" s="1"/>
  <c r="G131" i="40" s="1"/>
  <c r="H131" i="40" s="1"/>
  <c r="F70" i="45"/>
  <c r="G70" i="45" s="1"/>
  <c r="H70" i="45"/>
  <c r="I70" i="45" s="1"/>
  <c r="J70" i="45"/>
  <c r="K70" i="45"/>
  <c r="L70" i="45"/>
  <c r="C71" i="45"/>
  <c r="G146" i="40" s="1"/>
  <c r="H146" i="40" s="1"/>
  <c r="D71" i="45"/>
  <c r="E71" i="45" s="1"/>
  <c r="G147" i="40" s="1"/>
  <c r="H147" i="40" s="1"/>
  <c r="F71" i="45"/>
  <c r="G71" i="45" s="1"/>
  <c r="H71" i="45"/>
  <c r="I71" i="45" s="1"/>
  <c r="J71" i="45"/>
  <c r="K71" i="45"/>
  <c r="L71" i="45"/>
  <c r="C72" i="45"/>
  <c r="G154" i="40" s="1"/>
  <c r="H154" i="40" s="1"/>
  <c r="D72" i="45"/>
  <c r="E72" i="45" s="1"/>
  <c r="G155" i="40" s="1"/>
  <c r="H155" i="40" s="1"/>
  <c r="F72" i="45"/>
  <c r="G72" i="45" s="1"/>
  <c r="H72" i="45"/>
  <c r="I72" i="45" s="1"/>
  <c r="J72" i="45"/>
  <c r="K72" i="45"/>
  <c r="L72" i="45"/>
  <c r="C73" i="45"/>
  <c r="G70" i="40" s="1"/>
  <c r="H70" i="40" s="1"/>
  <c r="D73" i="45"/>
  <c r="E73" i="45" s="1"/>
  <c r="G71" i="40" s="1"/>
  <c r="H71" i="40" s="1"/>
  <c r="F73" i="45"/>
  <c r="G73" i="45" s="1"/>
  <c r="H73" i="45"/>
  <c r="I73" i="45" s="1"/>
  <c r="J73" i="45"/>
  <c r="K73" i="45"/>
  <c r="L73" i="45"/>
  <c r="C74" i="45"/>
  <c r="G72" i="40" s="1"/>
  <c r="H72" i="40" s="1"/>
  <c r="D74" i="45"/>
  <c r="E74" i="45" s="1"/>
  <c r="G73" i="40" s="1"/>
  <c r="H73" i="40" s="1"/>
  <c r="F74" i="45"/>
  <c r="G74" i="45" s="1"/>
  <c r="H74" i="45"/>
  <c r="I74" i="45" s="1"/>
  <c r="J74" i="45"/>
  <c r="K74" i="45"/>
  <c r="L74" i="45"/>
  <c r="C75" i="45"/>
  <c r="G74" i="40" s="1"/>
  <c r="H74" i="40" s="1"/>
  <c r="D75" i="45"/>
  <c r="E75" i="45" s="1"/>
  <c r="G75" i="40" s="1"/>
  <c r="H75" i="40" s="1"/>
  <c r="F75" i="45"/>
  <c r="G75" i="45" s="1"/>
  <c r="H75" i="45"/>
  <c r="I75" i="45" s="1"/>
  <c r="J75" i="45"/>
  <c r="K75" i="45"/>
  <c r="L75" i="45"/>
  <c r="C60" i="45"/>
  <c r="D60" i="45"/>
  <c r="E60" i="45" s="1"/>
  <c r="F60" i="45"/>
  <c r="G60" i="45" s="1"/>
  <c r="H60" i="45"/>
  <c r="I60" i="45" s="1"/>
  <c r="D71" i="10"/>
  <c r="B71" i="10"/>
  <c r="AX75" i="40" l="1"/>
  <c r="AU75" i="40"/>
  <c r="AW75" i="40"/>
  <c r="AW72" i="40"/>
  <c r="AX72" i="40"/>
  <c r="AU72" i="40"/>
  <c r="AW147" i="40"/>
  <c r="AX147" i="40"/>
  <c r="AU147" i="40"/>
  <c r="AX130" i="40"/>
  <c r="AW130" i="40"/>
  <c r="AU130" i="40"/>
  <c r="AU43" i="40"/>
  <c r="AW43" i="40"/>
  <c r="AX43" i="40"/>
  <c r="AX73" i="40"/>
  <c r="AU73" i="40"/>
  <c r="AW73" i="40"/>
  <c r="AU104" i="40"/>
  <c r="AW104" i="40"/>
  <c r="AX104" i="40"/>
  <c r="AU40" i="40"/>
  <c r="AX40" i="40"/>
  <c r="AW40" i="40"/>
  <c r="AW74" i="40"/>
  <c r="AX74" i="40"/>
  <c r="AU74" i="40"/>
  <c r="AU155" i="40"/>
  <c r="AW155" i="40"/>
  <c r="AX155" i="40"/>
  <c r="AU146" i="40"/>
  <c r="AW146" i="40"/>
  <c r="AX146" i="40"/>
  <c r="AW117" i="40"/>
  <c r="AX117" i="40"/>
  <c r="AU117" i="40"/>
  <c r="AW143" i="40"/>
  <c r="AX143" i="40"/>
  <c r="AU143" i="40"/>
  <c r="AX87" i="40"/>
  <c r="AW87" i="40"/>
  <c r="AU87" i="40"/>
  <c r="AX91" i="40"/>
  <c r="AU91" i="40"/>
  <c r="AW91" i="40"/>
  <c r="AW59" i="40"/>
  <c r="AX59" i="40"/>
  <c r="AU59" i="40"/>
  <c r="AW41" i="40"/>
  <c r="AU41" i="40"/>
  <c r="AX41" i="40"/>
  <c r="AW45" i="40"/>
  <c r="AU45" i="40"/>
  <c r="AX45" i="40"/>
  <c r="AX42" i="40"/>
  <c r="AU42" i="40"/>
  <c r="AW42" i="40"/>
  <c r="AW70" i="40"/>
  <c r="AX70" i="40"/>
  <c r="AU70" i="40"/>
  <c r="AU131" i="40"/>
  <c r="AW131" i="40"/>
  <c r="AX131" i="40"/>
  <c r="AX71" i="40"/>
  <c r="AW71" i="40"/>
  <c r="AU71" i="40"/>
  <c r="AX154" i="40"/>
  <c r="AU154" i="40"/>
  <c r="AW154" i="40"/>
  <c r="AX105" i="40"/>
  <c r="AU105" i="40"/>
  <c r="AW105" i="40"/>
  <c r="AX116" i="40"/>
  <c r="AW116" i="40"/>
  <c r="AU116" i="40"/>
  <c r="AU142" i="40"/>
  <c r="AX142" i="40"/>
  <c r="AW142" i="40"/>
  <c r="AW86" i="40"/>
  <c r="AX86" i="40"/>
  <c r="AU86" i="40"/>
  <c r="AX90" i="40"/>
  <c r="AW90" i="40"/>
  <c r="AU90" i="40"/>
  <c r="AX58" i="40"/>
  <c r="AW58" i="40"/>
  <c r="AU58" i="40"/>
  <c r="AU44" i="40"/>
  <c r="AX44" i="40"/>
  <c r="AW44" i="40"/>
  <c r="N124" i="40"/>
  <c r="T62" i="37"/>
  <c r="U62" i="37"/>
  <c r="S62" i="37"/>
  <c r="R62" i="37"/>
  <c r="K51" i="37"/>
  <c r="L51" i="37" s="1"/>
  <c r="M51" i="37" s="1"/>
  <c r="U47" i="37"/>
  <c r="T47" i="37"/>
  <c r="S47" i="37"/>
  <c r="R47" i="37"/>
  <c r="T60" i="37"/>
  <c r="R60" i="37"/>
  <c r="S60" i="37"/>
  <c r="U60" i="37"/>
  <c r="S10" i="37"/>
  <c r="R10" i="37"/>
  <c r="T10" i="37"/>
  <c r="U10" i="37"/>
  <c r="AI23" i="2"/>
  <c r="AK23" i="2" s="1"/>
  <c r="J19" i="45"/>
  <c r="F20" i="45"/>
  <c r="C13" i="45"/>
  <c r="Q5" i="10"/>
  <c r="A1" i="40"/>
  <c r="S51" i="37" l="1"/>
  <c r="T51" i="37"/>
  <c r="U51" i="37"/>
  <c r="R51" i="37"/>
  <c r="F25" i="45"/>
  <c r="F2" i="40"/>
  <c r="AI20" i="2"/>
  <c r="AI19" i="2"/>
  <c r="R64" i="10"/>
  <c r="R63" i="10"/>
  <c r="R62" i="10"/>
  <c r="R61" i="10"/>
  <c r="R60" i="10"/>
  <c r="R59" i="10"/>
  <c r="R57" i="10"/>
  <c r="R53" i="10"/>
  <c r="R52" i="10"/>
  <c r="R51" i="10"/>
  <c r="R50" i="10"/>
  <c r="R49" i="10"/>
  <c r="R48" i="10"/>
  <c r="R46" i="10"/>
  <c r="Q56" i="10"/>
  <c r="Q45" i="10"/>
  <c r="Q34" i="10"/>
  <c r="R42" i="10"/>
  <c r="R41" i="10"/>
  <c r="R40" i="10"/>
  <c r="R39" i="10"/>
  <c r="R38" i="10"/>
  <c r="R37" i="10"/>
  <c r="R35" i="10"/>
  <c r="R31" i="10"/>
  <c r="R29" i="10"/>
  <c r="Q22" i="10"/>
  <c r="R22" i="10" s="1"/>
  <c r="Q25" i="10"/>
  <c r="R25" i="10" s="1"/>
  <c r="Q13" i="10"/>
  <c r="R13" i="10" s="1"/>
  <c r="X486" i="40"/>
  <c r="AL11" i="40"/>
  <c r="AH11" i="40"/>
  <c r="AD11" i="40"/>
  <c r="V5" i="2" s="1"/>
  <c r="AH324" i="40"/>
  <c r="AL324" i="40"/>
  <c r="AD324" i="40"/>
  <c r="Q324" i="40"/>
  <c r="R324" i="40"/>
  <c r="O324" i="40"/>
  <c r="Q11" i="40"/>
  <c r="R11" i="40"/>
  <c r="F23" i="45"/>
  <c r="S45" i="10" l="1"/>
  <c r="S34" i="10"/>
  <c r="I64" i="10"/>
  <c r="I62" i="10"/>
  <c r="I61" i="10"/>
  <c r="I60" i="10"/>
  <c r="I59" i="10"/>
  <c r="I57" i="10"/>
  <c r="I53" i="10"/>
  <c r="I52" i="10"/>
  <c r="I51" i="10"/>
  <c r="I50" i="10"/>
  <c r="I49" i="10"/>
  <c r="I48" i="10"/>
  <c r="I46" i="10"/>
  <c r="I35" i="10"/>
  <c r="O36" i="2"/>
  <c r="P35" i="2"/>
  <c r="Q35" i="2" s="1"/>
  <c r="P34" i="2"/>
  <c r="Q34" i="2" s="1"/>
  <c r="C21" i="46" l="1"/>
  <c r="A56" i="10" l="1"/>
  <c r="A45" i="10"/>
  <c r="A34" i="10"/>
  <c r="A4" i="10"/>
  <c r="I22" i="10" l="1"/>
  <c r="C24" i="10"/>
  <c r="A24" i="10"/>
  <c r="A23" i="10"/>
  <c r="A22" i="10"/>
  <c r="B25" i="2"/>
  <c r="B24" i="2"/>
  <c r="B23" i="2"/>
  <c r="I31" i="10"/>
  <c r="I25" i="10"/>
  <c r="C27" i="10"/>
  <c r="C15" i="55" s="1"/>
  <c r="A31" i="10"/>
  <c r="V8" i="40"/>
  <c r="B8" i="40"/>
  <c r="W8" i="40" l="1"/>
  <c r="C37" i="54"/>
  <c r="E37" i="54" s="1"/>
  <c r="I15" i="54"/>
  <c r="D18" i="54"/>
  <c r="E18" i="54"/>
  <c r="F18" i="54"/>
  <c r="E16" i="54"/>
  <c r="F16" i="54"/>
  <c r="A19" i="10"/>
  <c r="A28" i="10"/>
  <c r="A27" i="10"/>
  <c r="A26" i="10"/>
  <c r="A25" i="10"/>
  <c r="F2" i="54"/>
  <c r="E2" i="54"/>
  <c r="D2" i="54"/>
  <c r="C2" i="54"/>
  <c r="A1" i="54"/>
  <c r="AA11" i="40" l="1"/>
  <c r="Z11" i="40"/>
  <c r="A224" i="53" l="1"/>
  <c r="A225" i="53"/>
  <c r="A226" i="53"/>
  <c r="A227" i="53"/>
  <c r="A228" i="53"/>
  <c r="A229" i="53"/>
  <c r="A230" i="53"/>
  <c r="A231" i="53"/>
  <c r="A232" i="53"/>
  <c r="A233" i="53"/>
  <c r="A234" i="53"/>
  <c r="A235" i="53"/>
  <c r="A236" i="53"/>
  <c r="A237" i="53"/>
  <c r="A238" i="53"/>
  <c r="A239" i="53"/>
  <c r="A240" i="53"/>
  <c r="A241" i="53"/>
  <c r="A242" i="53"/>
  <c r="A243" i="53"/>
  <c r="A244" i="53"/>
  <c r="A245" i="53"/>
  <c r="A246" i="53"/>
  <c r="A247" i="53"/>
  <c r="A248" i="53"/>
  <c r="A249" i="53"/>
  <c r="A250" i="53"/>
  <c r="C250" i="53"/>
  <c r="A251" i="53"/>
  <c r="A252" i="53"/>
  <c r="A253" i="53"/>
  <c r="A254" i="53"/>
  <c r="A255" i="53"/>
  <c r="A256" i="53"/>
  <c r="A257" i="53"/>
  <c r="A258" i="53"/>
  <c r="A259" i="53"/>
  <c r="A260" i="53"/>
  <c r="A261" i="53"/>
  <c r="A262" i="53"/>
  <c r="G30" i="26"/>
  <c r="M30" i="26" s="1"/>
  <c r="O30" i="26"/>
  <c r="G31" i="26"/>
  <c r="C240" i="53" s="1"/>
  <c r="O31" i="26"/>
  <c r="G32" i="26"/>
  <c r="J32" i="26" s="1"/>
  <c r="O32" i="26"/>
  <c r="G33" i="26"/>
  <c r="O33" i="26"/>
  <c r="G34" i="26"/>
  <c r="C243" i="53" s="1"/>
  <c r="J34" i="26"/>
  <c r="L34" i="26"/>
  <c r="O34" i="26"/>
  <c r="G35" i="26"/>
  <c r="M35" i="26" s="1"/>
  <c r="O35" i="26"/>
  <c r="G36" i="26"/>
  <c r="C245" i="53" s="1"/>
  <c r="O36" i="26"/>
  <c r="G37" i="26"/>
  <c r="J37" i="26" s="1"/>
  <c r="O37" i="26"/>
  <c r="G38" i="26"/>
  <c r="M38" i="26" s="1"/>
  <c r="J38" i="26"/>
  <c r="L38" i="26"/>
  <c r="O38" i="26"/>
  <c r="G39" i="26"/>
  <c r="J39" i="26" s="1"/>
  <c r="N39" i="26"/>
  <c r="O39" i="26"/>
  <c r="G40" i="26"/>
  <c r="M40" i="26" s="1"/>
  <c r="J40" i="26"/>
  <c r="L40" i="26"/>
  <c r="O40" i="26"/>
  <c r="J41" i="26"/>
  <c r="L41" i="26"/>
  <c r="M41" i="26"/>
  <c r="N41" i="26"/>
  <c r="O41" i="26"/>
  <c r="G42" i="26"/>
  <c r="L42" i="26" s="1"/>
  <c r="O42" i="26"/>
  <c r="G43" i="26"/>
  <c r="M43" i="26" s="1"/>
  <c r="L43" i="26"/>
  <c r="N43" i="26"/>
  <c r="O43" i="26"/>
  <c r="G44" i="26"/>
  <c r="J44" i="26" s="1"/>
  <c r="N44" i="26"/>
  <c r="O44" i="26"/>
  <c r="G45" i="26"/>
  <c r="N45" i="26" s="1"/>
  <c r="J45" i="26"/>
  <c r="L45" i="26"/>
  <c r="O45" i="26"/>
  <c r="G46" i="26"/>
  <c r="O46" i="26"/>
  <c r="G47" i="26"/>
  <c r="L47" i="26" s="1"/>
  <c r="J47" i="26"/>
  <c r="O47" i="26"/>
  <c r="G48" i="26"/>
  <c r="C257" i="53" s="1"/>
  <c r="N48" i="26"/>
  <c r="O48" i="26"/>
  <c r="G49" i="26"/>
  <c r="M49" i="26" s="1"/>
  <c r="J49" i="26"/>
  <c r="L49" i="26"/>
  <c r="O49" i="26"/>
  <c r="C197" i="53"/>
  <c r="C198" i="53"/>
  <c r="C199" i="53"/>
  <c r="C200" i="53"/>
  <c r="C201" i="53"/>
  <c r="C202" i="53"/>
  <c r="C203" i="53"/>
  <c r="C204" i="53"/>
  <c r="C205" i="53"/>
  <c r="C206" i="53"/>
  <c r="C207" i="53"/>
  <c r="A197" i="53"/>
  <c r="A198" i="53"/>
  <c r="A199" i="53"/>
  <c r="A200" i="53"/>
  <c r="A201" i="53"/>
  <c r="A202" i="53"/>
  <c r="A203" i="53"/>
  <c r="A204" i="53"/>
  <c r="A205" i="53"/>
  <c r="A206" i="53"/>
  <c r="A207" i="53"/>
  <c r="A181" i="53"/>
  <c r="C181" i="53"/>
  <c r="A182" i="53"/>
  <c r="C182" i="53"/>
  <c r="A183" i="53"/>
  <c r="C183" i="53"/>
  <c r="A184" i="53"/>
  <c r="C184" i="53"/>
  <c r="A185" i="53"/>
  <c r="C185" i="53"/>
  <c r="A186" i="53"/>
  <c r="C186" i="53"/>
  <c r="A187" i="53"/>
  <c r="C187" i="53"/>
  <c r="A188" i="53"/>
  <c r="C188" i="53"/>
  <c r="A189" i="53"/>
  <c r="C189" i="53"/>
  <c r="A190" i="53"/>
  <c r="C190" i="53"/>
  <c r="A191" i="53"/>
  <c r="C191" i="53"/>
  <c r="A192" i="53"/>
  <c r="C192" i="53"/>
  <c r="A193" i="53"/>
  <c r="C193" i="53"/>
  <c r="A194" i="53"/>
  <c r="C194" i="53"/>
  <c r="A195" i="53"/>
  <c r="C195" i="53"/>
  <c r="A196" i="53"/>
  <c r="C196" i="53"/>
  <c r="C159" i="53"/>
  <c r="C160" i="53"/>
  <c r="C161" i="53"/>
  <c r="C162" i="53"/>
  <c r="C163" i="53"/>
  <c r="C164" i="53"/>
  <c r="C165" i="53"/>
  <c r="C166" i="53"/>
  <c r="C167" i="53"/>
  <c r="C168" i="53"/>
  <c r="C169" i="53"/>
  <c r="C170" i="53"/>
  <c r="C171" i="53"/>
  <c r="C172" i="53"/>
  <c r="C173" i="53"/>
  <c r="C174" i="53"/>
  <c r="C175" i="53"/>
  <c r="C176" i="53"/>
  <c r="C177" i="53"/>
  <c r="C178" i="53"/>
  <c r="C179" i="53"/>
  <c r="C180" i="53"/>
  <c r="C158" i="53"/>
  <c r="C157" i="53"/>
  <c r="C149" i="53"/>
  <c r="C150" i="53"/>
  <c r="C151" i="53"/>
  <c r="C152" i="53"/>
  <c r="C153" i="53"/>
  <c r="C154" i="53"/>
  <c r="C2" i="53"/>
  <c r="C255" i="53" l="1"/>
  <c r="J46" i="26"/>
  <c r="N46" i="26"/>
  <c r="L33" i="26"/>
  <c r="J33" i="26"/>
  <c r="N49" i="26"/>
  <c r="N38" i="26"/>
  <c r="M34" i="26"/>
  <c r="C258" i="53"/>
  <c r="L36" i="26"/>
  <c r="J43" i="26"/>
  <c r="J35" i="26"/>
  <c r="L31" i="26"/>
  <c r="C242" i="53"/>
  <c r="J42" i="26"/>
  <c r="N34" i="26"/>
  <c r="L48" i="26"/>
  <c r="M46" i="26"/>
  <c r="L44" i="26"/>
  <c r="L39" i="26"/>
  <c r="N36" i="26"/>
  <c r="N31" i="26"/>
  <c r="C252" i="53"/>
  <c r="C247" i="53"/>
  <c r="C253" i="53"/>
  <c r="C248" i="53"/>
  <c r="M48" i="26"/>
  <c r="M44" i="26"/>
  <c r="M39" i="26"/>
  <c r="J48" i="26"/>
  <c r="L46" i="26"/>
  <c r="M45" i="26"/>
  <c r="M36" i="26"/>
  <c r="L35" i="26"/>
  <c r="M31" i="26"/>
  <c r="L30" i="26"/>
  <c r="N33" i="26"/>
  <c r="M33" i="26"/>
  <c r="J30" i="26"/>
  <c r="C256" i="53"/>
  <c r="C251" i="53"/>
  <c r="C246" i="53"/>
  <c r="C241" i="53"/>
  <c r="J36" i="26"/>
  <c r="J31" i="26"/>
  <c r="N37" i="26"/>
  <c r="N32" i="26"/>
  <c r="N47" i="26"/>
  <c r="M42" i="26"/>
  <c r="L37" i="26"/>
  <c r="N35" i="26"/>
  <c r="L32" i="26"/>
  <c r="N30" i="26"/>
  <c r="C254" i="53"/>
  <c r="C249" i="53"/>
  <c r="C244" i="53"/>
  <c r="C239" i="53"/>
  <c r="N42" i="26"/>
  <c r="M37" i="26"/>
  <c r="M32" i="26"/>
  <c r="M47" i="26"/>
  <c r="N40" i="26"/>
  <c r="S5" i="2"/>
  <c r="R5" i="2"/>
  <c r="J5" i="2"/>
  <c r="I5" i="2"/>
  <c r="V418" i="40"/>
  <c r="AQ418" i="40" s="1"/>
  <c r="AR418" i="40" s="1"/>
  <c r="V297" i="40"/>
  <c r="AQ297" i="40" s="1"/>
  <c r="AR297" i="40" s="1"/>
  <c r="V298" i="40"/>
  <c r="AQ298" i="40" s="1"/>
  <c r="AR298" i="40" s="1"/>
  <c r="V299" i="40"/>
  <c r="AQ299" i="40" s="1"/>
  <c r="AR299" i="40" s="1"/>
  <c r="V300" i="40"/>
  <c r="AQ300" i="40" s="1"/>
  <c r="AR300" i="40" s="1"/>
  <c r="V301" i="40"/>
  <c r="AQ301" i="40" s="1"/>
  <c r="AR301" i="40" s="1"/>
  <c r="V302" i="40"/>
  <c r="AQ302" i="40" s="1"/>
  <c r="AR302" i="40" s="1"/>
  <c r="V303" i="40"/>
  <c r="AQ303" i="40" s="1"/>
  <c r="AR303" i="40" s="1"/>
  <c r="V304" i="40"/>
  <c r="AQ304" i="40" s="1"/>
  <c r="AR304" i="40" s="1"/>
  <c r="V305" i="40"/>
  <c r="AQ305" i="40" s="1"/>
  <c r="AR305" i="40" s="1"/>
  <c r="V306" i="40"/>
  <c r="AQ306" i="40" s="1"/>
  <c r="AR306" i="40" s="1"/>
  <c r="V307" i="40"/>
  <c r="AQ307" i="40" s="1"/>
  <c r="AR307" i="40" s="1"/>
  <c r="V308" i="40"/>
  <c r="AQ308" i="40" s="1"/>
  <c r="AR308" i="40" s="1"/>
  <c r="V309" i="40"/>
  <c r="AQ309" i="40" s="1"/>
  <c r="AR309" i="40" s="1"/>
  <c r="V310" i="40"/>
  <c r="AQ310" i="40" s="1"/>
  <c r="AR310" i="40" s="1"/>
  <c r="V311" i="40"/>
  <c r="AQ311" i="40" s="1"/>
  <c r="AR311" i="40" s="1"/>
  <c r="V312" i="40"/>
  <c r="AQ312" i="40" s="1"/>
  <c r="AR312" i="40" s="1"/>
  <c r="V313" i="40"/>
  <c r="AQ313" i="40" s="1"/>
  <c r="AR313" i="40" s="1"/>
  <c r="V314" i="40"/>
  <c r="AQ314" i="40" s="1"/>
  <c r="AR314" i="40" s="1"/>
  <c r="V315" i="40"/>
  <c r="AQ315" i="40" s="1"/>
  <c r="AR315" i="40" s="1"/>
  <c r="V316" i="40"/>
  <c r="AQ316" i="40" s="1"/>
  <c r="AR316" i="40" s="1"/>
  <c r="V317" i="40"/>
  <c r="AQ317" i="40" s="1"/>
  <c r="AR317" i="40" s="1"/>
  <c r="V318" i="40"/>
  <c r="AQ318" i="40" s="1"/>
  <c r="AR318" i="40" s="1"/>
  <c r="V319" i="40"/>
  <c r="AQ319" i="40" s="1"/>
  <c r="AR319" i="40" s="1"/>
  <c r="V320" i="40"/>
  <c r="AQ320" i="40" s="1"/>
  <c r="AR320" i="40" s="1"/>
  <c r="V321" i="40"/>
  <c r="AQ321" i="40" s="1"/>
  <c r="AR321" i="40" s="1"/>
  <c r="B31" i="9"/>
  <c r="I269" i="53"/>
  <c r="L269" i="53"/>
  <c r="M269" i="53"/>
  <c r="N269" i="53"/>
  <c r="E31" i="9" s="1"/>
  <c r="O269" i="53"/>
  <c r="F31" i="9" s="1"/>
  <c r="P269" i="53"/>
  <c r="G31" i="9" s="1"/>
  <c r="Q269" i="53"/>
  <c r="H31" i="9" s="1"/>
  <c r="R269" i="53"/>
  <c r="C36" i="9" s="1"/>
  <c r="S269" i="53"/>
  <c r="U267" i="53"/>
  <c r="K267" i="53"/>
  <c r="A267" i="53"/>
  <c r="U266" i="53"/>
  <c r="A266" i="53"/>
  <c r="S264" i="53"/>
  <c r="R264" i="53"/>
  <c r="C35" i="9" s="1"/>
  <c r="Q264" i="53"/>
  <c r="H30" i="9" s="1"/>
  <c r="P264" i="53"/>
  <c r="G30" i="9" s="1"/>
  <c r="O264" i="53"/>
  <c r="F30" i="9" s="1"/>
  <c r="N264" i="53"/>
  <c r="E30" i="9" s="1"/>
  <c r="M264" i="53"/>
  <c r="L264" i="53"/>
  <c r="I264" i="53"/>
  <c r="F264" i="53"/>
  <c r="E264" i="53"/>
  <c r="C8" i="9" s="1"/>
  <c r="U214" i="53"/>
  <c r="U215" i="53"/>
  <c r="U216" i="53"/>
  <c r="U217" i="53"/>
  <c r="U218" i="53"/>
  <c r="U219" i="53"/>
  <c r="U220" i="53"/>
  <c r="U221" i="53"/>
  <c r="U222" i="53"/>
  <c r="U223" i="53"/>
  <c r="U213" i="53"/>
  <c r="K213" i="53"/>
  <c r="H213" i="53"/>
  <c r="A214" i="53"/>
  <c r="A215" i="53"/>
  <c r="A216" i="53"/>
  <c r="A217" i="53"/>
  <c r="A218" i="53"/>
  <c r="A219" i="53"/>
  <c r="A220" i="53"/>
  <c r="A221" i="53"/>
  <c r="A222" i="53"/>
  <c r="A223" i="53"/>
  <c r="A213" i="53"/>
  <c r="H178" i="53"/>
  <c r="K178" i="53"/>
  <c r="U178" i="53"/>
  <c r="H179" i="53"/>
  <c r="K179" i="53"/>
  <c r="U179" i="53"/>
  <c r="H180" i="53"/>
  <c r="K180" i="53"/>
  <c r="U180" i="53"/>
  <c r="A138" i="53"/>
  <c r="H138" i="53"/>
  <c r="K138" i="53"/>
  <c r="U138" i="53"/>
  <c r="A139" i="53"/>
  <c r="H139" i="53"/>
  <c r="K139" i="53"/>
  <c r="U139" i="53"/>
  <c r="A140" i="53"/>
  <c r="H140" i="53"/>
  <c r="K140" i="53"/>
  <c r="U140" i="53"/>
  <c r="A141" i="53"/>
  <c r="H141" i="53"/>
  <c r="K141" i="53"/>
  <c r="U141" i="53"/>
  <c r="A142" i="53"/>
  <c r="H142" i="53"/>
  <c r="K142" i="53"/>
  <c r="U142" i="53"/>
  <c r="A143" i="53"/>
  <c r="H143" i="53"/>
  <c r="K143" i="53"/>
  <c r="U143" i="53"/>
  <c r="A144" i="53"/>
  <c r="H144" i="53"/>
  <c r="K144" i="53"/>
  <c r="U144" i="53"/>
  <c r="A145" i="53"/>
  <c r="H145" i="53"/>
  <c r="K145" i="53"/>
  <c r="U145" i="53"/>
  <c r="A96" i="53"/>
  <c r="H96" i="53"/>
  <c r="K96" i="53"/>
  <c r="U96" i="53"/>
  <c r="A97" i="53"/>
  <c r="H97" i="53"/>
  <c r="K97" i="53"/>
  <c r="U97" i="53"/>
  <c r="A98" i="53"/>
  <c r="H98" i="53"/>
  <c r="K98" i="53"/>
  <c r="U98" i="53"/>
  <c r="A99" i="53"/>
  <c r="H99" i="53"/>
  <c r="K99" i="53"/>
  <c r="U99" i="53"/>
  <c r="A100" i="53"/>
  <c r="H100" i="53"/>
  <c r="K100" i="53"/>
  <c r="U100" i="53"/>
  <c r="A101" i="53"/>
  <c r="H101" i="53"/>
  <c r="K101" i="53"/>
  <c r="U101" i="53"/>
  <c r="A102" i="53"/>
  <c r="H102" i="53"/>
  <c r="K102" i="53"/>
  <c r="U102" i="53"/>
  <c r="A103" i="53"/>
  <c r="H103" i="53"/>
  <c r="K103" i="53"/>
  <c r="U103" i="53"/>
  <c r="A104" i="53"/>
  <c r="H104" i="53"/>
  <c r="K104" i="53"/>
  <c r="U104" i="53"/>
  <c r="A105" i="53"/>
  <c r="H105" i="53"/>
  <c r="K105" i="53"/>
  <c r="U105" i="53"/>
  <c r="A106" i="53"/>
  <c r="H106" i="53"/>
  <c r="K106" i="53"/>
  <c r="U106" i="53"/>
  <c r="A107" i="53"/>
  <c r="H107" i="53"/>
  <c r="K107" i="53"/>
  <c r="U107" i="53"/>
  <c r="A108" i="53"/>
  <c r="H108" i="53"/>
  <c r="K108" i="53"/>
  <c r="U108" i="53"/>
  <c r="A109" i="53"/>
  <c r="H109" i="53"/>
  <c r="K109" i="53"/>
  <c r="U109" i="53"/>
  <c r="A110" i="53"/>
  <c r="H110" i="53"/>
  <c r="K110" i="53"/>
  <c r="U110" i="53"/>
  <c r="A111" i="53"/>
  <c r="H111" i="53"/>
  <c r="K111" i="53"/>
  <c r="U111" i="53"/>
  <c r="A112" i="53"/>
  <c r="H112" i="53"/>
  <c r="K112" i="53"/>
  <c r="U112" i="53"/>
  <c r="A113" i="53"/>
  <c r="H113" i="53"/>
  <c r="K113" i="53"/>
  <c r="U113" i="53"/>
  <c r="A114" i="53"/>
  <c r="H114" i="53"/>
  <c r="K114" i="53"/>
  <c r="U114" i="53"/>
  <c r="A115" i="53"/>
  <c r="H115" i="53"/>
  <c r="K115" i="53"/>
  <c r="U115" i="53"/>
  <c r="A116" i="53"/>
  <c r="H116" i="53"/>
  <c r="K116" i="53"/>
  <c r="U116" i="53"/>
  <c r="A117" i="53"/>
  <c r="H117" i="53"/>
  <c r="K117" i="53"/>
  <c r="U117" i="53"/>
  <c r="A118" i="53"/>
  <c r="H118" i="53"/>
  <c r="K118" i="53"/>
  <c r="U118" i="53"/>
  <c r="A119" i="53"/>
  <c r="H119" i="53"/>
  <c r="K119" i="53"/>
  <c r="U119" i="53"/>
  <c r="A120" i="53"/>
  <c r="H120" i="53"/>
  <c r="K120" i="53"/>
  <c r="U120" i="53"/>
  <c r="A121" i="53"/>
  <c r="H121" i="53"/>
  <c r="K121" i="53"/>
  <c r="U121" i="53"/>
  <c r="A122" i="53"/>
  <c r="H122" i="53"/>
  <c r="K122" i="53"/>
  <c r="U122" i="53"/>
  <c r="A123" i="53"/>
  <c r="H123" i="53"/>
  <c r="K123" i="53"/>
  <c r="U123" i="53"/>
  <c r="A124" i="53"/>
  <c r="H124" i="53"/>
  <c r="K124" i="53"/>
  <c r="U124" i="53"/>
  <c r="A125" i="53"/>
  <c r="H125" i="53"/>
  <c r="K125" i="53"/>
  <c r="U125" i="53"/>
  <c r="A126" i="53"/>
  <c r="H126" i="53"/>
  <c r="K126" i="53"/>
  <c r="U126" i="53"/>
  <c r="A127" i="53"/>
  <c r="H127" i="53"/>
  <c r="K127" i="53"/>
  <c r="U127" i="53"/>
  <c r="A128" i="53"/>
  <c r="H128" i="53"/>
  <c r="K128" i="53"/>
  <c r="U128" i="53"/>
  <c r="A129" i="53"/>
  <c r="H129" i="53"/>
  <c r="K129" i="53"/>
  <c r="U129" i="53"/>
  <c r="A130" i="53"/>
  <c r="H130" i="53"/>
  <c r="K130" i="53"/>
  <c r="U130" i="53"/>
  <c r="A131" i="53"/>
  <c r="H131" i="53"/>
  <c r="K131" i="53"/>
  <c r="U131" i="53"/>
  <c r="A132" i="53"/>
  <c r="H132" i="53"/>
  <c r="K132" i="53"/>
  <c r="U132" i="53"/>
  <c r="A133" i="53"/>
  <c r="H133" i="53"/>
  <c r="K133" i="53"/>
  <c r="U133" i="53"/>
  <c r="A134" i="53"/>
  <c r="H134" i="53"/>
  <c r="K134" i="53"/>
  <c r="U134" i="53"/>
  <c r="A135" i="53"/>
  <c r="H135" i="53"/>
  <c r="K135" i="53"/>
  <c r="U135" i="53"/>
  <c r="A136" i="53"/>
  <c r="H136" i="53"/>
  <c r="K136" i="53"/>
  <c r="U136" i="53"/>
  <c r="A137" i="53"/>
  <c r="H137" i="53"/>
  <c r="K137" i="53"/>
  <c r="U137" i="53"/>
  <c r="A85" i="37"/>
  <c r="H85" i="37"/>
  <c r="A86" i="37"/>
  <c r="H86" i="37"/>
  <c r="A87" i="37"/>
  <c r="H87" i="37"/>
  <c r="A88" i="37"/>
  <c r="H88" i="37"/>
  <c r="A89" i="37"/>
  <c r="H89" i="37"/>
  <c r="A90" i="37"/>
  <c r="H90" i="37"/>
  <c r="A91" i="37"/>
  <c r="H91" i="37"/>
  <c r="A92" i="37"/>
  <c r="H92" i="37"/>
  <c r="A93" i="37"/>
  <c r="H93" i="37"/>
  <c r="A94" i="37"/>
  <c r="H94" i="37"/>
  <c r="A95" i="37"/>
  <c r="H95" i="37"/>
  <c r="A96" i="37"/>
  <c r="H96" i="37"/>
  <c r="A97" i="37"/>
  <c r="H97" i="37"/>
  <c r="A98" i="37"/>
  <c r="H98" i="37"/>
  <c r="A99" i="37"/>
  <c r="H99" i="37"/>
  <c r="A100" i="37"/>
  <c r="H100" i="37"/>
  <c r="A101" i="37"/>
  <c r="H101" i="37"/>
  <c r="A102" i="37"/>
  <c r="H102" i="37"/>
  <c r="A103" i="37"/>
  <c r="H103" i="37"/>
  <c r="A104" i="37"/>
  <c r="H104" i="37"/>
  <c r="A105" i="37"/>
  <c r="H105" i="37"/>
  <c r="A106" i="37"/>
  <c r="H106" i="37"/>
  <c r="A107" i="37"/>
  <c r="H107" i="37"/>
  <c r="A108" i="37"/>
  <c r="H108" i="37"/>
  <c r="A109" i="37"/>
  <c r="H109" i="37"/>
  <c r="A110" i="37"/>
  <c r="H110" i="37"/>
  <c r="A111" i="37"/>
  <c r="H111" i="37"/>
  <c r="A112" i="37"/>
  <c r="H112" i="37"/>
  <c r="A113" i="37"/>
  <c r="H113" i="37"/>
  <c r="A114" i="37"/>
  <c r="H114" i="37"/>
  <c r="A115" i="37"/>
  <c r="H115" i="37"/>
  <c r="A116" i="37"/>
  <c r="H116" i="37"/>
  <c r="A117" i="37"/>
  <c r="H117" i="37"/>
  <c r="A118" i="37"/>
  <c r="H118" i="37"/>
  <c r="A119" i="37"/>
  <c r="H119" i="37"/>
  <c r="A120" i="37"/>
  <c r="H120" i="37"/>
  <c r="A121" i="37"/>
  <c r="H121" i="37"/>
  <c r="A122" i="37"/>
  <c r="H122" i="37"/>
  <c r="A123" i="37"/>
  <c r="H123" i="37"/>
  <c r="A124" i="37"/>
  <c r="H124" i="37"/>
  <c r="A125" i="37"/>
  <c r="H125" i="37"/>
  <c r="A126" i="37"/>
  <c r="H126" i="37"/>
  <c r="A127" i="37"/>
  <c r="H127" i="37"/>
  <c r="A128" i="37"/>
  <c r="H128" i="37"/>
  <c r="A129" i="37"/>
  <c r="H129" i="37"/>
  <c r="A130" i="37"/>
  <c r="H130" i="37"/>
  <c r="A131" i="37"/>
  <c r="H131" i="37"/>
  <c r="A132" i="37"/>
  <c r="H132" i="37"/>
  <c r="A133" i="37"/>
  <c r="H133" i="37"/>
  <c r="A134" i="37"/>
  <c r="H134" i="37"/>
  <c r="A135" i="37"/>
  <c r="H135" i="37"/>
  <c r="A136" i="37"/>
  <c r="H136" i="37"/>
  <c r="A137" i="37"/>
  <c r="H137" i="37"/>
  <c r="A138" i="37"/>
  <c r="H138" i="37"/>
  <c r="A139" i="37"/>
  <c r="H139" i="37"/>
  <c r="A140" i="37"/>
  <c r="H140" i="37"/>
  <c r="A141" i="37"/>
  <c r="H141" i="37"/>
  <c r="A142" i="37"/>
  <c r="H142" i="37"/>
  <c r="A143" i="37"/>
  <c r="H143" i="37"/>
  <c r="A144" i="37"/>
  <c r="H144" i="37"/>
  <c r="A145" i="37"/>
  <c r="H145" i="37"/>
  <c r="H76" i="37"/>
  <c r="H77" i="37"/>
  <c r="H78" i="37"/>
  <c r="H79" i="37"/>
  <c r="H80" i="37"/>
  <c r="H81" i="37"/>
  <c r="H82" i="37"/>
  <c r="H83" i="37"/>
  <c r="H84" i="37"/>
  <c r="H75" i="37"/>
  <c r="N139" i="37"/>
  <c r="V139" i="37"/>
  <c r="N140" i="37"/>
  <c r="V140" i="37"/>
  <c r="N141" i="37"/>
  <c r="V141" i="37"/>
  <c r="N142" i="37"/>
  <c r="V142" i="37"/>
  <c r="N143" i="37"/>
  <c r="V143" i="37"/>
  <c r="V144" i="37"/>
  <c r="V145" i="37"/>
  <c r="N109" i="37"/>
  <c r="V109" i="37"/>
  <c r="N110" i="37"/>
  <c r="V110" i="37"/>
  <c r="N111" i="37"/>
  <c r="V111" i="37"/>
  <c r="N112" i="37"/>
  <c r="V112" i="37"/>
  <c r="N113" i="37"/>
  <c r="V113" i="37"/>
  <c r="V114" i="37"/>
  <c r="N115" i="37"/>
  <c r="V115" i="37"/>
  <c r="N116" i="37"/>
  <c r="V116" i="37"/>
  <c r="N117" i="37"/>
  <c r="V117" i="37"/>
  <c r="N118" i="37"/>
  <c r="V118" i="37"/>
  <c r="V119" i="37"/>
  <c r="N120" i="37"/>
  <c r="V120" i="37"/>
  <c r="V121" i="37"/>
  <c r="N122" i="37"/>
  <c r="V122" i="37"/>
  <c r="N123" i="37"/>
  <c r="V123" i="37"/>
  <c r="N124" i="37"/>
  <c r="V124" i="37"/>
  <c r="N125" i="37"/>
  <c r="V125" i="37"/>
  <c r="N126" i="37"/>
  <c r="V126" i="37"/>
  <c r="N127" i="37"/>
  <c r="V127" i="37"/>
  <c r="N128" i="37"/>
  <c r="V128" i="37"/>
  <c r="N129" i="37"/>
  <c r="V129" i="37"/>
  <c r="N130" i="37"/>
  <c r="V130" i="37"/>
  <c r="N131" i="37"/>
  <c r="V131" i="37"/>
  <c r="N132" i="37"/>
  <c r="V132" i="37"/>
  <c r="N133" i="37"/>
  <c r="V133" i="37"/>
  <c r="N134" i="37"/>
  <c r="V134" i="37"/>
  <c r="N135" i="37"/>
  <c r="V135" i="37"/>
  <c r="N136" i="37"/>
  <c r="V136" i="37"/>
  <c r="N137" i="37"/>
  <c r="V137" i="37"/>
  <c r="N138" i="37"/>
  <c r="V138" i="37"/>
  <c r="R257" i="40"/>
  <c r="Q257" i="40"/>
  <c r="H147" i="37" l="1"/>
  <c r="W315" i="40"/>
  <c r="W314" i="40"/>
  <c r="W302" i="40"/>
  <c r="W321" i="40"/>
  <c r="W320" i="40"/>
  <c r="W300" i="40"/>
  <c r="W319" i="40"/>
  <c r="W309" i="40"/>
  <c r="W299" i="40"/>
  <c r="W318" i="40"/>
  <c r="W308" i="40"/>
  <c r="W298" i="40"/>
  <c r="W303" i="40"/>
  <c r="W312" i="40"/>
  <c r="W317" i="40"/>
  <c r="W307" i="40"/>
  <c r="W297" i="40"/>
  <c r="W305" i="40"/>
  <c r="W304" i="40"/>
  <c r="W313" i="40"/>
  <c r="W311" i="40"/>
  <c r="W301" i="40"/>
  <c r="W310" i="40"/>
  <c r="W316" i="40"/>
  <c r="W306" i="40"/>
  <c r="U264" i="53"/>
  <c r="I40" i="9" s="1"/>
  <c r="K269" i="53"/>
  <c r="I20" i="9" s="1"/>
  <c r="U269" i="53"/>
  <c r="I41" i="9" s="1"/>
  <c r="H264" i="53"/>
  <c r="I14" i="9" s="1"/>
  <c r="K264" i="53"/>
  <c r="I19" i="9" s="1"/>
  <c r="E49" i="52" l="1"/>
  <c r="G16" i="52"/>
  <c r="I16" i="52" s="1"/>
  <c r="G17" i="52"/>
  <c r="F17" i="52" s="1"/>
  <c r="G18" i="52"/>
  <c r="F18" i="52" s="1"/>
  <c r="G19" i="52"/>
  <c r="F19" i="52" s="1"/>
  <c r="G20" i="52"/>
  <c r="F20" i="52" s="1"/>
  <c r="G21" i="52"/>
  <c r="F171" i="40"/>
  <c r="AP171" i="40" s="1"/>
  <c r="D12" i="52"/>
  <c r="C12" i="52"/>
  <c r="M23" i="40" l="1"/>
  <c r="L23" i="40"/>
  <c r="M22" i="40"/>
  <c r="L22" i="40"/>
  <c r="M17" i="40"/>
  <c r="L17" i="40"/>
  <c r="Z245" i="40"/>
  <c r="AA245" i="40"/>
  <c r="AA27" i="40"/>
  <c r="S6" i="2" s="1"/>
  <c r="Z27" i="40"/>
  <c r="R6" i="2" s="1"/>
  <c r="Q27" i="40"/>
  <c r="I6" i="2" s="1"/>
  <c r="R27" i="40"/>
  <c r="J6" i="2" s="1"/>
  <c r="V186" i="40"/>
  <c r="AQ186" i="40" s="1"/>
  <c r="V203" i="40"/>
  <c r="AQ203" i="40" s="1"/>
  <c r="V204" i="40"/>
  <c r="AQ204" i="40" s="1"/>
  <c r="V205" i="40"/>
  <c r="AQ205" i="40" s="1"/>
  <c r="V206" i="40"/>
  <c r="AQ206" i="40" s="1"/>
  <c r="V207" i="40"/>
  <c r="AQ207" i="40" s="1"/>
  <c r="V208" i="40"/>
  <c r="AQ208" i="40" s="1"/>
  <c r="V209" i="40"/>
  <c r="AQ209" i="40" s="1"/>
  <c r="V210" i="40"/>
  <c r="AQ210" i="40" s="1"/>
  <c r="V211" i="40"/>
  <c r="AQ211" i="40" s="1"/>
  <c r="V212" i="40"/>
  <c r="AQ212" i="40" s="1"/>
  <c r="V213" i="40"/>
  <c r="AQ213" i="40" s="1"/>
  <c r="V214" i="40"/>
  <c r="AQ214" i="40" s="1"/>
  <c r="V215" i="40"/>
  <c r="AQ215" i="40" s="1"/>
  <c r="V216" i="40"/>
  <c r="AQ216" i="40" s="1"/>
  <c r="V217" i="40"/>
  <c r="AQ217" i="40" s="1"/>
  <c r="V218" i="40"/>
  <c r="AQ218" i="40" s="1"/>
  <c r="V219" i="40"/>
  <c r="AQ219" i="40" s="1"/>
  <c r="V220" i="40"/>
  <c r="AQ220" i="40" s="1"/>
  <c r="V221" i="40"/>
  <c r="AQ221" i="40" s="1"/>
  <c r="V222" i="40"/>
  <c r="AQ222" i="40" s="1"/>
  <c r="V223" i="40"/>
  <c r="AQ223" i="40" s="1"/>
  <c r="V224" i="40"/>
  <c r="AQ224" i="40" s="1"/>
  <c r="V225" i="40"/>
  <c r="AQ225" i="40" s="1"/>
  <c r="V226" i="40"/>
  <c r="AQ226" i="40" s="1"/>
  <c r="V227" i="40"/>
  <c r="AQ227" i="40" s="1"/>
  <c r="V228" i="40"/>
  <c r="AQ228" i="40" s="1"/>
  <c r="V229" i="40"/>
  <c r="AQ229" i="40" s="1"/>
  <c r="V230" i="40"/>
  <c r="AQ230" i="40" s="1"/>
  <c r="V231" i="40"/>
  <c r="AQ231" i="40" s="1"/>
  <c r="V232" i="40"/>
  <c r="AQ232" i="40" s="1"/>
  <c r="V233" i="40"/>
  <c r="AQ233" i="40" s="1"/>
  <c r="V234" i="40"/>
  <c r="AQ234" i="40" s="1"/>
  <c r="V235" i="40"/>
  <c r="AQ235" i="40" s="1"/>
  <c r="V236" i="40"/>
  <c r="AQ236" i="40" s="1"/>
  <c r="V237" i="40"/>
  <c r="AQ237" i="40" s="1"/>
  <c r="V238" i="40"/>
  <c r="AQ238" i="40" s="1"/>
  <c r="V239" i="40"/>
  <c r="AQ239" i="40" s="1"/>
  <c r="V240" i="40"/>
  <c r="AQ240" i="40" s="1"/>
  <c r="V241" i="40"/>
  <c r="AQ241" i="40" s="1"/>
  <c r="V197" i="40"/>
  <c r="AQ197" i="40" s="1"/>
  <c r="V198" i="40"/>
  <c r="AQ198" i="40" s="1"/>
  <c r="V199" i="40"/>
  <c r="AQ199" i="40" s="1"/>
  <c r="V200" i="40"/>
  <c r="AQ200" i="40" s="1"/>
  <c r="V201" i="40"/>
  <c r="AQ201" i="40" s="1"/>
  <c r="V202" i="40"/>
  <c r="AQ202" i="40" s="1"/>
  <c r="Z257" i="40"/>
  <c r="AA257" i="40"/>
  <c r="Z324" i="40"/>
  <c r="AA324" i="40"/>
  <c r="Q245" i="40"/>
  <c r="Q326" i="40" s="1"/>
  <c r="I7" i="2" s="1"/>
  <c r="R245" i="40"/>
  <c r="R326" i="40" s="1"/>
  <c r="J7" i="2" s="1"/>
  <c r="Z349" i="40"/>
  <c r="R8" i="2" s="1"/>
  <c r="AA349" i="40"/>
  <c r="S8" i="2" s="1"/>
  <c r="Q349" i="40"/>
  <c r="I8" i="2" s="1"/>
  <c r="R349" i="40"/>
  <c r="J8" i="2" s="1"/>
  <c r="Z371" i="40"/>
  <c r="R9" i="2" s="1"/>
  <c r="AA371" i="40"/>
  <c r="S9" i="2" s="1"/>
  <c r="Q371" i="40"/>
  <c r="I9" i="2" s="1"/>
  <c r="R371" i="40"/>
  <c r="J9" i="2" s="1"/>
  <c r="Q387" i="40"/>
  <c r="I10" i="2" s="1"/>
  <c r="R387" i="40"/>
  <c r="J10" i="2" s="1"/>
  <c r="Q406" i="40"/>
  <c r="I11" i="2" s="1"/>
  <c r="R406" i="40"/>
  <c r="J11" i="2" s="1"/>
  <c r="Q438" i="40"/>
  <c r="I12" i="2" s="1"/>
  <c r="R438" i="40"/>
  <c r="J12" i="2" s="1"/>
  <c r="Q451" i="40"/>
  <c r="I13" i="2" s="1"/>
  <c r="R451" i="40"/>
  <c r="J13" i="2" s="1"/>
  <c r="Q459" i="40"/>
  <c r="I14" i="2" s="1"/>
  <c r="R459" i="40"/>
  <c r="J14" i="2" s="1"/>
  <c r="Q476" i="40"/>
  <c r="I15" i="2" s="1"/>
  <c r="R476" i="40"/>
  <c r="J15" i="2" s="1"/>
  <c r="Q486" i="40"/>
  <c r="I16" i="2" s="1"/>
  <c r="R486" i="40"/>
  <c r="J16" i="2" s="1"/>
  <c r="Z387" i="40"/>
  <c r="R10" i="2" s="1"/>
  <c r="AA387" i="40"/>
  <c r="S10" i="2" s="1"/>
  <c r="Z406" i="40"/>
  <c r="R11" i="2" s="1"/>
  <c r="AA406" i="40"/>
  <c r="S11" i="2" s="1"/>
  <c r="Z438" i="40"/>
  <c r="R12" i="2" s="1"/>
  <c r="AA438" i="40"/>
  <c r="S12" i="2" s="1"/>
  <c r="Z451" i="40"/>
  <c r="R13" i="2" s="1"/>
  <c r="AA451" i="40"/>
  <c r="S13" i="2" s="1"/>
  <c r="Z459" i="40"/>
  <c r="R14" i="2" s="1"/>
  <c r="AA459" i="40"/>
  <c r="S14" i="2" s="1"/>
  <c r="Z476" i="40"/>
  <c r="R15" i="2" s="1"/>
  <c r="AA476" i="40"/>
  <c r="S15" i="2" s="1"/>
  <c r="Z486" i="40"/>
  <c r="R16" i="2" s="1"/>
  <c r="AA486" i="40"/>
  <c r="S16" i="2" s="1"/>
  <c r="F207" i="40"/>
  <c r="F208" i="40"/>
  <c r="F209" i="40"/>
  <c r="F210" i="40"/>
  <c r="F211" i="40"/>
  <c r="F212" i="40"/>
  <c r="F213" i="40"/>
  <c r="F214" i="40"/>
  <c r="F215" i="40"/>
  <c r="F216" i="40"/>
  <c r="F217" i="40"/>
  <c r="F218" i="40"/>
  <c r="AP218" i="40" s="1"/>
  <c r="F219" i="40"/>
  <c r="F220" i="40"/>
  <c r="F221" i="40"/>
  <c r="F222" i="40"/>
  <c r="F223" i="40"/>
  <c r="F224" i="40"/>
  <c r="F225" i="40"/>
  <c r="F226" i="40"/>
  <c r="F227" i="40"/>
  <c r="F228" i="40"/>
  <c r="F229" i="40"/>
  <c r="F230" i="40"/>
  <c r="F231" i="40"/>
  <c r="F232" i="40"/>
  <c r="AP232" i="40" s="1"/>
  <c r="F233" i="40"/>
  <c r="F234" i="40"/>
  <c r="F235" i="40"/>
  <c r="F236" i="40"/>
  <c r="F237" i="40"/>
  <c r="F238" i="40"/>
  <c r="F239" i="40"/>
  <c r="F240" i="40"/>
  <c r="AP240" i="40" s="1"/>
  <c r="F241" i="40"/>
  <c r="S209" i="53"/>
  <c r="R209" i="53"/>
  <c r="C34" i="9" s="1"/>
  <c r="Q209" i="53"/>
  <c r="H29" i="9" s="1"/>
  <c r="P209" i="53"/>
  <c r="G29" i="9" s="1"/>
  <c r="O209" i="53"/>
  <c r="F29" i="9" s="1"/>
  <c r="N209" i="53"/>
  <c r="E29" i="9" s="1"/>
  <c r="M209" i="53"/>
  <c r="L209" i="53"/>
  <c r="I209" i="53"/>
  <c r="F209" i="53"/>
  <c r="E209" i="53"/>
  <c r="C7" i="9" s="1"/>
  <c r="A180" i="53"/>
  <c r="A179" i="53"/>
  <c r="A178" i="53"/>
  <c r="U177" i="53"/>
  <c r="K177" i="53"/>
  <c r="H177" i="53"/>
  <c r="A177" i="53"/>
  <c r="U176" i="53"/>
  <c r="K176" i="53"/>
  <c r="H176" i="53"/>
  <c r="A176" i="53"/>
  <c r="U175" i="53"/>
  <c r="K175" i="53"/>
  <c r="H175" i="53"/>
  <c r="A175" i="53"/>
  <c r="U174" i="53"/>
  <c r="K174" i="53"/>
  <c r="H174" i="53"/>
  <c r="A174" i="53"/>
  <c r="U173" i="53"/>
  <c r="K173" i="53"/>
  <c r="H173" i="53"/>
  <c r="A173" i="53"/>
  <c r="U172" i="53"/>
  <c r="K172" i="53"/>
  <c r="H172" i="53"/>
  <c r="A172" i="53"/>
  <c r="U171" i="53"/>
  <c r="K171" i="53"/>
  <c r="H171" i="53"/>
  <c r="A171" i="53"/>
  <c r="U170" i="53"/>
  <c r="K170" i="53"/>
  <c r="H170" i="53"/>
  <c r="A170" i="53"/>
  <c r="U169" i="53"/>
  <c r="K169" i="53"/>
  <c r="H169" i="53"/>
  <c r="A169" i="53"/>
  <c r="U168" i="53"/>
  <c r="K168" i="53"/>
  <c r="H168" i="53"/>
  <c r="A168" i="53"/>
  <c r="U167" i="53"/>
  <c r="K167" i="53"/>
  <c r="H167" i="53"/>
  <c r="A167" i="53"/>
  <c r="U166" i="53"/>
  <c r="K166" i="53"/>
  <c r="H166" i="53"/>
  <c r="A166" i="53"/>
  <c r="U165" i="53"/>
  <c r="K165" i="53"/>
  <c r="H165" i="53"/>
  <c r="A165" i="53"/>
  <c r="U164" i="53"/>
  <c r="K164" i="53"/>
  <c r="H164" i="53"/>
  <c r="A164" i="53"/>
  <c r="U163" i="53"/>
  <c r="K163" i="53"/>
  <c r="H163" i="53"/>
  <c r="A163" i="53"/>
  <c r="U162" i="53"/>
  <c r="K162" i="53"/>
  <c r="H162" i="53"/>
  <c r="A162" i="53"/>
  <c r="U161" i="53"/>
  <c r="K161" i="53"/>
  <c r="H161" i="53"/>
  <c r="A161" i="53"/>
  <c r="U160" i="53"/>
  <c r="K160" i="53"/>
  <c r="H160" i="53"/>
  <c r="A160" i="53"/>
  <c r="U159" i="53"/>
  <c r="K159" i="53"/>
  <c r="H159" i="53"/>
  <c r="A159" i="53"/>
  <c r="U158" i="53"/>
  <c r="K158" i="53"/>
  <c r="H158" i="53"/>
  <c r="A158" i="53"/>
  <c r="U157" i="53"/>
  <c r="K157" i="53"/>
  <c r="H157" i="53"/>
  <c r="A157" i="53"/>
  <c r="U154" i="53"/>
  <c r="K154" i="53"/>
  <c r="H154" i="53"/>
  <c r="U153" i="53"/>
  <c r="K153" i="53"/>
  <c r="H153" i="53"/>
  <c r="U152" i="53"/>
  <c r="K152" i="53"/>
  <c r="H152" i="53"/>
  <c r="U151" i="53"/>
  <c r="K151" i="53"/>
  <c r="H151" i="53"/>
  <c r="U150" i="53"/>
  <c r="K150" i="53"/>
  <c r="H150" i="53"/>
  <c r="U149" i="53"/>
  <c r="K149" i="53"/>
  <c r="H149" i="53"/>
  <c r="U148" i="53"/>
  <c r="K148" i="53"/>
  <c r="H148" i="53"/>
  <c r="U95" i="53"/>
  <c r="K95" i="53"/>
  <c r="H95" i="53"/>
  <c r="A95" i="53"/>
  <c r="U94" i="53"/>
  <c r="K94" i="53"/>
  <c r="H94" i="53"/>
  <c r="A94" i="53"/>
  <c r="U93" i="53"/>
  <c r="K93" i="53"/>
  <c r="H93" i="53"/>
  <c r="A93" i="53"/>
  <c r="U92" i="53"/>
  <c r="K92" i="53"/>
  <c r="H92" i="53"/>
  <c r="A92" i="53"/>
  <c r="U91" i="53"/>
  <c r="K91" i="53"/>
  <c r="H91" i="53"/>
  <c r="A91" i="53"/>
  <c r="U90" i="53"/>
  <c r="K90" i="53"/>
  <c r="H90" i="53"/>
  <c r="A90" i="53"/>
  <c r="U89" i="53"/>
  <c r="K89" i="53"/>
  <c r="H89" i="53"/>
  <c r="A89" i="53"/>
  <c r="U88" i="53"/>
  <c r="K88" i="53"/>
  <c r="H88" i="53"/>
  <c r="A88" i="53"/>
  <c r="U87" i="53"/>
  <c r="K87" i="53"/>
  <c r="H87" i="53"/>
  <c r="A87" i="53"/>
  <c r="U86" i="53"/>
  <c r="K86" i="53"/>
  <c r="H86" i="53"/>
  <c r="A86" i="53"/>
  <c r="U85" i="53"/>
  <c r="K85" i="53"/>
  <c r="H85" i="53"/>
  <c r="A85" i="53"/>
  <c r="U84" i="53"/>
  <c r="K84" i="53"/>
  <c r="H84" i="53"/>
  <c r="A84" i="53"/>
  <c r="U83" i="53"/>
  <c r="K83" i="53"/>
  <c r="H83" i="53"/>
  <c r="A83" i="53"/>
  <c r="U82" i="53"/>
  <c r="K82" i="53"/>
  <c r="H82" i="53"/>
  <c r="A82" i="53"/>
  <c r="U81" i="53"/>
  <c r="K81" i="53"/>
  <c r="H81" i="53"/>
  <c r="A81" i="53"/>
  <c r="U80" i="53"/>
  <c r="K80" i="53"/>
  <c r="H80" i="53"/>
  <c r="A80" i="53"/>
  <c r="U79" i="53"/>
  <c r="K79" i="53"/>
  <c r="H79" i="53"/>
  <c r="A79" i="53"/>
  <c r="U78" i="53"/>
  <c r="K78" i="53"/>
  <c r="H78" i="53"/>
  <c r="A78" i="53"/>
  <c r="U77" i="53"/>
  <c r="K77" i="53"/>
  <c r="H77" i="53"/>
  <c r="A77" i="53"/>
  <c r="U76" i="53"/>
  <c r="K76" i="53"/>
  <c r="H76" i="53"/>
  <c r="A76" i="53"/>
  <c r="U75" i="53"/>
  <c r="K75" i="53"/>
  <c r="H75" i="53"/>
  <c r="A75" i="53"/>
  <c r="A37" i="53"/>
  <c r="A29" i="53"/>
  <c r="A28" i="53"/>
  <c r="U5" i="53"/>
  <c r="K5" i="53"/>
  <c r="H5" i="53"/>
  <c r="A4" i="53"/>
  <c r="T3" i="53"/>
  <c r="S3" i="53"/>
  <c r="R3" i="53"/>
  <c r="J3" i="53"/>
  <c r="I3" i="53"/>
  <c r="G3" i="53"/>
  <c r="F3" i="53"/>
  <c r="S2" i="53"/>
  <c r="L2" i="53"/>
  <c r="I2" i="53"/>
  <c r="F2" i="53"/>
  <c r="A1" i="53"/>
  <c r="AR218" i="40" l="1"/>
  <c r="AR240" i="40"/>
  <c r="AR232" i="40"/>
  <c r="N23" i="40"/>
  <c r="C134" i="53"/>
  <c r="AP230" i="40"/>
  <c r="AR230" i="40" s="1"/>
  <c r="C126" i="53"/>
  <c r="AP222" i="40"/>
  <c r="AR222" i="40" s="1"/>
  <c r="C145" i="53"/>
  <c r="AP241" i="40"/>
  <c r="AR241" i="40" s="1"/>
  <c r="C141" i="53"/>
  <c r="AP237" i="40"/>
  <c r="AR237" i="40" s="1"/>
  <c r="C137" i="53"/>
  <c r="AP233" i="40"/>
  <c r="AR233" i="40" s="1"/>
  <c r="C133" i="53"/>
  <c r="AP229" i="40"/>
  <c r="AR229" i="40" s="1"/>
  <c r="C129" i="53"/>
  <c r="AP225" i="40"/>
  <c r="AR225" i="40" s="1"/>
  <c r="C125" i="53"/>
  <c r="AP221" i="40"/>
  <c r="AR221" i="40" s="1"/>
  <c r="C121" i="53"/>
  <c r="AP217" i="40"/>
  <c r="AR217" i="40" s="1"/>
  <c r="C117" i="53"/>
  <c r="AP213" i="40"/>
  <c r="AR213" i="40" s="1"/>
  <c r="C113" i="53"/>
  <c r="AP209" i="40"/>
  <c r="AR209" i="40" s="1"/>
  <c r="C142" i="53"/>
  <c r="AP238" i="40"/>
  <c r="AR238" i="40" s="1"/>
  <c r="C114" i="53"/>
  <c r="AP210" i="40"/>
  <c r="AR210" i="40" s="1"/>
  <c r="C140" i="53"/>
  <c r="AP236" i="40"/>
  <c r="AR236" i="40" s="1"/>
  <c r="C132" i="53"/>
  <c r="AP228" i="40"/>
  <c r="AR228" i="40" s="1"/>
  <c r="C128" i="53"/>
  <c r="AP224" i="40"/>
  <c r="AR224" i="40" s="1"/>
  <c r="C124" i="53"/>
  <c r="AP220" i="40"/>
  <c r="AR220" i="40" s="1"/>
  <c r="C120" i="53"/>
  <c r="AP216" i="40"/>
  <c r="AR216" i="40" s="1"/>
  <c r="C116" i="53"/>
  <c r="AP212" i="40"/>
  <c r="AR212" i="40" s="1"/>
  <c r="C112" i="53"/>
  <c r="AP208" i="40"/>
  <c r="AR208" i="40" s="1"/>
  <c r="C138" i="53"/>
  <c r="AP234" i="40"/>
  <c r="AR234" i="40" s="1"/>
  <c r="C130" i="53"/>
  <c r="AP226" i="40"/>
  <c r="AR226" i="40" s="1"/>
  <c r="C118" i="53"/>
  <c r="AP214" i="40"/>
  <c r="AR214" i="40" s="1"/>
  <c r="C143" i="53"/>
  <c r="AP239" i="40"/>
  <c r="AR239" i="40" s="1"/>
  <c r="C139" i="53"/>
  <c r="AP235" i="40"/>
  <c r="AR235" i="40" s="1"/>
  <c r="C135" i="53"/>
  <c r="AP231" i="40"/>
  <c r="AR231" i="40" s="1"/>
  <c r="C131" i="53"/>
  <c r="AP227" i="40"/>
  <c r="AR227" i="40" s="1"/>
  <c r="C127" i="53"/>
  <c r="AP223" i="40"/>
  <c r="AR223" i="40" s="1"/>
  <c r="C123" i="53"/>
  <c r="AP219" i="40"/>
  <c r="AR219" i="40" s="1"/>
  <c r="C119" i="53"/>
  <c r="AP215" i="40"/>
  <c r="AR215" i="40" s="1"/>
  <c r="C115" i="53"/>
  <c r="AP211" i="40"/>
  <c r="AR211" i="40" s="1"/>
  <c r="C111" i="53"/>
  <c r="AP207" i="40"/>
  <c r="AR207" i="40" s="1"/>
  <c r="N22" i="40"/>
  <c r="N17" i="40"/>
  <c r="I17" i="2"/>
  <c r="I22" i="2" s="1"/>
  <c r="M218" i="40"/>
  <c r="C122" i="53"/>
  <c r="L240" i="40"/>
  <c r="C144" i="53"/>
  <c r="L232" i="40"/>
  <c r="C136" i="53"/>
  <c r="L239" i="40"/>
  <c r="J143" i="37"/>
  <c r="J135" i="37"/>
  <c r="J127" i="37"/>
  <c r="J123" i="37"/>
  <c r="J111" i="37"/>
  <c r="J142" i="37"/>
  <c r="J138" i="37"/>
  <c r="J134" i="37"/>
  <c r="J130" i="37"/>
  <c r="J126" i="37"/>
  <c r="J122" i="37"/>
  <c r="J118" i="37"/>
  <c r="J114" i="37"/>
  <c r="N114" i="37" s="1"/>
  <c r="L235" i="40"/>
  <c r="J139" i="37"/>
  <c r="L215" i="40"/>
  <c r="J119" i="37"/>
  <c r="N119" i="37" s="1"/>
  <c r="W237" i="40"/>
  <c r="J141" i="37"/>
  <c r="J137" i="37"/>
  <c r="W229" i="40"/>
  <c r="J133" i="37"/>
  <c r="J129" i="37"/>
  <c r="J125" i="37"/>
  <c r="L217" i="40"/>
  <c r="J121" i="37"/>
  <c r="N121" i="37" s="1"/>
  <c r="J117" i="37"/>
  <c r="J113" i="37"/>
  <c r="M227" i="40"/>
  <c r="J131" i="37"/>
  <c r="J115" i="37"/>
  <c r="J144" i="37"/>
  <c r="N144" i="37" s="1"/>
  <c r="J140" i="37"/>
  <c r="J136" i="37"/>
  <c r="L228" i="40"/>
  <c r="J132" i="37"/>
  <c r="J128" i="37"/>
  <c r="J124" i="37"/>
  <c r="J120" i="37"/>
  <c r="J116" i="37"/>
  <c r="J112" i="37"/>
  <c r="J17" i="2"/>
  <c r="J22" i="2" s="1"/>
  <c r="J145" i="37"/>
  <c r="M215" i="40"/>
  <c r="M207" i="40"/>
  <c r="M231" i="40"/>
  <c r="L231" i="40"/>
  <c r="L207" i="40"/>
  <c r="M223" i="40"/>
  <c r="L223" i="40"/>
  <c r="M239" i="40"/>
  <c r="AA326" i="40"/>
  <c r="S7" i="2" s="1"/>
  <c r="S17" i="2" s="1"/>
  <c r="S22" i="2" s="1"/>
  <c r="L236" i="40"/>
  <c r="M228" i="40"/>
  <c r="L220" i="40"/>
  <c r="M212" i="40"/>
  <c r="Z326" i="40"/>
  <c r="R7" i="2" s="1"/>
  <c r="L234" i="40"/>
  <c r="W226" i="40"/>
  <c r="L218" i="40"/>
  <c r="L210" i="40"/>
  <c r="W233" i="40"/>
  <c r="W225" i="40"/>
  <c r="M217" i="40"/>
  <c r="L209" i="40"/>
  <c r="L211" i="40"/>
  <c r="M234" i="40"/>
  <c r="M226" i="40"/>
  <c r="M240" i="40"/>
  <c r="M232" i="40"/>
  <c r="L224" i="40"/>
  <c r="L216" i="40"/>
  <c r="L208" i="40"/>
  <c r="M235" i="40"/>
  <c r="M233" i="40"/>
  <c r="L226" i="40"/>
  <c r="W239" i="40"/>
  <c r="W215" i="40"/>
  <c r="L227" i="40"/>
  <c r="M241" i="40"/>
  <c r="L233" i="40"/>
  <c r="M225" i="40"/>
  <c r="L238" i="40"/>
  <c r="L230" i="40"/>
  <c r="L222" i="40"/>
  <c r="L214" i="40"/>
  <c r="L219" i="40"/>
  <c r="L241" i="40"/>
  <c r="L225" i="40"/>
  <c r="M237" i="40"/>
  <c r="M229" i="40"/>
  <c r="L221" i="40"/>
  <c r="L213" i="40"/>
  <c r="W217" i="40"/>
  <c r="W221" i="40"/>
  <c r="W213" i="40"/>
  <c r="W231" i="40"/>
  <c r="W223" i="40"/>
  <c r="M224" i="40"/>
  <c r="W241" i="40"/>
  <c r="W208" i="40"/>
  <c r="M208" i="40"/>
  <c r="W240" i="40"/>
  <c r="W236" i="40"/>
  <c r="W232" i="40"/>
  <c r="W228" i="40"/>
  <c r="W224" i="40"/>
  <c r="W220" i="40"/>
  <c r="W216" i="40"/>
  <c r="W212" i="40"/>
  <c r="W207" i="40"/>
  <c r="W211" i="40"/>
  <c r="W235" i="40"/>
  <c r="W227" i="40"/>
  <c r="W219" i="40"/>
  <c r="W210" i="40"/>
  <c r="M216" i="40"/>
  <c r="W238" i="40"/>
  <c r="W234" i="40"/>
  <c r="W230" i="40"/>
  <c r="W222" i="40"/>
  <c r="W218" i="40"/>
  <c r="W214" i="40"/>
  <c r="W209" i="40"/>
  <c r="M222" i="40"/>
  <c r="L237" i="40"/>
  <c r="M221" i="40"/>
  <c r="L212" i="40"/>
  <c r="L229" i="40"/>
  <c r="M211" i="40"/>
  <c r="M210" i="40"/>
  <c r="M209" i="40"/>
  <c r="M238" i="40"/>
  <c r="M214" i="40"/>
  <c r="M220" i="40"/>
  <c r="M230" i="40"/>
  <c r="M213" i="40"/>
  <c r="M236" i="40"/>
  <c r="M219" i="40"/>
  <c r="U209" i="53"/>
  <c r="I39" i="9" s="1"/>
  <c r="H209" i="53"/>
  <c r="I13" i="9" s="1"/>
  <c r="K209" i="53"/>
  <c r="I18" i="9" s="1"/>
  <c r="B16" i="22"/>
  <c r="A17" i="22"/>
  <c r="R17" i="2" l="1"/>
  <c r="R22" i="2" s="1"/>
  <c r="N237" i="40"/>
  <c r="N241" i="40"/>
  <c r="N213" i="40"/>
  <c r="N218" i="40"/>
  <c r="N212" i="40"/>
  <c r="N207" i="40"/>
  <c r="N217" i="40"/>
  <c r="N240" i="40"/>
  <c r="N222" i="40"/>
  <c r="N238" i="40"/>
  <c r="N234" i="40"/>
  <c r="N239" i="40"/>
  <c r="N229" i="40"/>
  <c r="N214" i="40"/>
  <c r="N230" i="40"/>
  <c r="N233" i="40"/>
  <c r="N227" i="40"/>
  <c r="N216" i="40"/>
  <c r="N209" i="40"/>
  <c r="N210" i="40"/>
  <c r="N220" i="40"/>
  <c r="N236" i="40"/>
  <c r="N223" i="40"/>
  <c r="N231" i="40"/>
  <c r="N215" i="40"/>
  <c r="N221" i="40"/>
  <c r="N226" i="40"/>
  <c r="N228" i="40"/>
  <c r="N232" i="40"/>
  <c r="N225" i="40"/>
  <c r="N219" i="40"/>
  <c r="N208" i="40"/>
  <c r="N224" i="40"/>
  <c r="N211" i="40"/>
  <c r="N235" i="40"/>
  <c r="K116" i="37"/>
  <c r="L116" i="37" s="1"/>
  <c r="M116" i="37" s="1"/>
  <c r="K124" i="37"/>
  <c r="K132" i="37"/>
  <c r="K144" i="37"/>
  <c r="L144" i="37" s="1"/>
  <c r="K129" i="37"/>
  <c r="L129" i="37" s="1"/>
  <c r="M129" i="37" s="1"/>
  <c r="K126" i="37"/>
  <c r="L126" i="37" s="1"/>
  <c r="M126" i="37" s="1"/>
  <c r="K134" i="37"/>
  <c r="K123" i="37"/>
  <c r="L123" i="37" s="1"/>
  <c r="M123" i="37" s="1"/>
  <c r="K143" i="37"/>
  <c r="L143" i="37" s="1"/>
  <c r="K136" i="37"/>
  <c r="L136" i="37" s="1"/>
  <c r="M136" i="37" s="1"/>
  <c r="K131" i="37"/>
  <c r="L131" i="37" s="1"/>
  <c r="M131" i="37" s="1"/>
  <c r="K121" i="37"/>
  <c r="K119" i="37"/>
  <c r="K142" i="37"/>
  <c r="K140" i="37"/>
  <c r="L140" i="37" s="1"/>
  <c r="K115" i="37"/>
  <c r="K117" i="37"/>
  <c r="K137" i="37"/>
  <c r="L137" i="37" s="1"/>
  <c r="M137" i="37" s="1"/>
  <c r="K114" i="37"/>
  <c r="L114" i="37" s="1"/>
  <c r="M114" i="37" s="1"/>
  <c r="K122" i="37"/>
  <c r="L122" i="37" s="1"/>
  <c r="M122" i="37" s="1"/>
  <c r="K138" i="37"/>
  <c r="L138" i="37" s="1"/>
  <c r="M138" i="37" s="1"/>
  <c r="K111" i="37"/>
  <c r="L111" i="37" s="1"/>
  <c r="M111" i="37" s="1"/>
  <c r="K135" i="37"/>
  <c r="L135" i="37" s="1"/>
  <c r="M135" i="37" s="1"/>
  <c r="K113" i="37"/>
  <c r="K141" i="37"/>
  <c r="L141" i="37" s="1"/>
  <c r="K118" i="37"/>
  <c r="K112" i="37"/>
  <c r="L112" i="37" s="1"/>
  <c r="M112" i="37" s="1"/>
  <c r="K120" i="37"/>
  <c r="K128" i="37"/>
  <c r="L128" i="37" s="1"/>
  <c r="M128" i="37" s="1"/>
  <c r="K125" i="37"/>
  <c r="L125" i="37" s="1"/>
  <c r="M125" i="37" s="1"/>
  <c r="K133" i="37"/>
  <c r="L133" i="37" s="1"/>
  <c r="M133" i="37" s="1"/>
  <c r="K139" i="37"/>
  <c r="L139" i="37" s="1"/>
  <c r="K130" i="37"/>
  <c r="K127" i="37"/>
  <c r="K145" i="37"/>
  <c r="L145" i="37" s="1"/>
  <c r="M139" i="37" l="1"/>
  <c r="R139" i="37" s="1"/>
  <c r="T122" i="37"/>
  <c r="U122" i="37"/>
  <c r="R122" i="37"/>
  <c r="S122" i="37"/>
  <c r="T133" i="37"/>
  <c r="S133" i="37"/>
  <c r="U133" i="37"/>
  <c r="R133" i="37"/>
  <c r="S135" i="37"/>
  <c r="T135" i="37"/>
  <c r="U135" i="37"/>
  <c r="R135" i="37"/>
  <c r="T114" i="37"/>
  <c r="U114" i="37"/>
  <c r="R114" i="37"/>
  <c r="S114" i="37"/>
  <c r="T137" i="37"/>
  <c r="S137" i="37"/>
  <c r="U137" i="37"/>
  <c r="R137" i="37"/>
  <c r="T128" i="37"/>
  <c r="S128" i="37"/>
  <c r="U128" i="37"/>
  <c r="R128" i="37"/>
  <c r="T138" i="37"/>
  <c r="U138" i="37"/>
  <c r="R138" i="37"/>
  <c r="S138" i="37"/>
  <c r="U136" i="37"/>
  <c r="T136" i="37"/>
  <c r="R136" i="37"/>
  <c r="S136" i="37"/>
  <c r="T123" i="37"/>
  <c r="S123" i="37"/>
  <c r="U123" i="37"/>
  <c r="R123" i="37"/>
  <c r="T129" i="37"/>
  <c r="U129" i="37"/>
  <c r="R129" i="37"/>
  <c r="S129" i="37"/>
  <c r="T112" i="37"/>
  <c r="U112" i="37"/>
  <c r="R112" i="37"/>
  <c r="S112" i="37"/>
  <c r="L113" i="37"/>
  <c r="M113" i="37" s="1"/>
  <c r="L115" i="37"/>
  <c r="M115" i="37" s="1"/>
  <c r="L119" i="37"/>
  <c r="M119" i="37" s="1"/>
  <c r="T131" i="37"/>
  <c r="S131" i="37"/>
  <c r="U131" i="37"/>
  <c r="R131" i="37"/>
  <c r="T126" i="37"/>
  <c r="R126" i="37"/>
  <c r="S126" i="37"/>
  <c r="U126" i="37"/>
  <c r="T116" i="37"/>
  <c r="R116" i="37"/>
  <c r="U116" i="37"/>
  <c r="S116" i="37"/>
  <c r="T125" i="37"/>
  <c r="U125" i="37"/>
  <c r="R125" i="37"/>
  <c r="S125" i="37"/>
  <c r="T111" i="37"/>
  <c r="U111" i="37"/>
  <c r="R111" i="37"/>
  <c r="S111" i="37"/>
  <c r="M145" i="37"/>
  <c r="T145" i="37" s="1"/>
  <c r="L130" i="37"/>
  <c r="M130" i="37" s="1"/>
  <c r="L127" i="37"/>
  <c r="M127" i="37" s="1"/>
  <c r="L120" i="37"/>
  <c r="M120" i="37" s="1"/>
  <c r="L118" i="37"/>
  <c r="M118" i="37" s="1"/>
  <c r="M141" i="37"/>
  <c r="L117" i="37"/>
  <c r="M117" i="37" s="1"/>
  <c r="M140" i="37"/>
  <c r="L142" i="37"/>
  <c r="M142" i="37" s="1"/>
  <c r="L121" i="37"/>
  <c r="M121" i="37" s="1"/>
  <c r="M143" i="37"/>
  <c r="L134" i="37"/>
  <c r="M134" i="37" s="1"/>
  <c r="M144" i="37"/>
  <c r="L132" i="37"/>
  <c r="M132" i="37" s="1"/>
  <c r="L124" i="37"/>
  <c r="M124" i="37" s="1"/>
  <c r="D3" i="2"/>
  <c r="S139" i="37" l="1"/>
  <c r="U139" i="37"/>
  <c r="S145" i="37"/>
  <c r="T139" i="37"/>
  <c r="R142" i="37"/>
  <c r="U142" i="37"/>
  <c r="T142" i="37"/>
  <c r="S142" i="37"/>
  <c r="T121" i="37"/>
  <c r="U121" i="37"/>
  <c r="R121" i="37"/>
  <c r="S121" i="37"/>
  <c r="T144" i="37"/>
  <c r="R144" i="37"/>
  <c r="S144" i="37"/>
  <c r="U144" i="37"/>
  <c r="U145" i="37"/>
  <c r="R140" i="37"/>
  <c r="U140" i="37"/>
  <c r="T140" i="37"/>
  <c r="S140" i="37"/>
  <c r="T119" i="37"/>
  <c r="U119" i="37"/>
  <c r="S119" i="37"/>
  <c r="R119" i="37"/>
  <c r="R143" i="37"/>
  <c r="U143" i="37"/>
  <c r="T143" i="37"/>
  <c r="S143" i="37"/>
  <c r="T118" i="37"/>
  <c r="R118" i="37"/>
  <c r="S118" i="37"/>
  <c r="U118" i="37"/>
  <c r="R145" i="37"/>
  <c r="U124" i="37"/>
  <c r="T124" i="37"/>
  <c r="S124" i="37"/>
  <c r="R124" i="37"/>
  <c r="T117" i="37"/>
  <c r="U117" i="37"/>
  <c r="R117" i="37"/>
  <c r="S117" i="37"/>
  <c r="T127" i="37"/>
  <c r="S127" i="37"/>
  <c r="U127" i="37"/>
  <c r="R127" i="37"/>
  <c r="T115" i="37"/>
  <c r="U115" i="37"/>
  <c r="R115" i="37"/>
  <c r="S115" i="37"/>
  <c r="P33" i="2"/>
  <c r="Q33" i="2" s="1"/>
  <c r="T132" i="37"/>
  <c r="S132" i="37"/>
  <c r="U132" i="37"/>
  <c r="R132" i="37"/>
  <c r="T134" i="37"/>
  <c r="U134" i="37"/>
  <c r="R134" i="37"/>
  <c r="S134" i="37"/>
  <c r="R141" i="37"/>
  <c r="U141" i="37"/>
  <c r="S141" i="37"/>
  <c r="T141" i="37"/>
  <c r="T120" i="37"/>
  <c r="U120" i="37"/>
  <c r="R120" i="37"/>
  <c r="S120" i="37"/>
  <c r="T130" i="37"/>
  <c r="U130" i="37"/>
  <c r="S130" i="37"/>
  <c r="R130" i="37"/>
  <c r="T113" i="37"/>
  <c r="S113" i="37"/>
  <c r="U113" i="37"/>
  <c r="R113" i="37"/>
  <c r="AB62" i="26" l="1"/>
  <c r="AC62" i="26"/>
  <c r="AA62" i="26"/>
  <c r="AC55" i="26"/>
  <c r="AB55" i="26"/>
  <c r="AA55" i="26"/>
  <c r="Y62" i="26"/>
  <c r="X62" i="26"/>
  <c r="W62" i="26"/>
  <c r="AD261" i="40" s="1"/>
  <c r="S62" i="26"/>
  <c r="S55" i="26"/>
  <c r="Y55" i="26"/>
  <c r="X55" i="26"/>
  <c r="W55" i="26"/>
  <c r="Y324" i="40"/>
  <c r="X324" i="40"/>
  <c r="U324" i="40"/>
  <c r="T324" i="40"/>
  <c r="V294" i="40"/>
  <c r="AQ294" i="40" s="1"/>
  <c r="AR294" i="40" s="1"/>
  <c r="V295" i="40"/>
  <c r="AQ295" i="40" s="1"/>
  <c r="AR295" i="40" s="1"/>
  <c r="V296" i="40"/>
  <c r="AQ296" i="40" s="1"/>
  <c r="AR296" i="40" s="1"/>
  <c r="V322" i="40"/>
  <c r="AQ322" i="40" s="1"/>
  <c r="AR322" i="40" s="1"/>
  <c r="V323" i="40"/>
  <c r="AQ323" i="40" s="1"/>
  <c r="AR323" i="40" s="1"/>
  <c r="B27" i="2"/>
  <c r="B26" i="2"/>
  <c r="D13" i="52"/>
  <c r="C13" i="52"/>
  <c r="W295" i="40" l="1"/>
  <c r="W294" i="40"/>
  <c r="W323" i="40"/>
  <c r="W322" i="40"/>
  <c r="W296" i="40"/>
  <c r="F375" i="40"/>
  <c r="E12" i="52"/>
  <c r="C12" i="45"/>
  <c r="C44" i="46"/>
  <c r="C42" i="46"/>
  <c r="C39" i="46"/>
  <c r="N106" i="37" l="1"/>
  <c r="V106" i="37"/>
  <c r="N107" i="37"/>
  <c r="V107" i="37"/>
  <c r="N108" i="37"/>
  <c r="V108" i="37"/>
  <c r="F202" i="40"/>
  <c r="F203" i="40"/>
  <c r="F204" i="40"/>
  <c r="F205" i="40"/>
  <c r="F206" i="40"/>
  <c r="E21" i="52"/>
  <c r="E20" i="52"/>
  <c r="E19" i="52"/>
  <c r="E18" i="52"/>
  <c r="E17" i="52"/>
  <c r="E16" i="52"/>
  <c r="E15" i="52"/>
  <c r="E7" i="52"/>
  <c r="C110" i="53" l="1"/>
  <c r="AP206" i="40"/>
  <c r="AR206" i="40" s="1"/>
  <c r="C108" i="53"/>
  <c r="AP204" i="40"/>
  <c r="AR204" i="40" s="1"/>
  <c r="C106" i="53"/>
  <c r="AP202" i="40"/>
  <c r="AR202" i="40" s="1"/>
  <c r="C109" i="53"/>
  <c r="AP205" i="40"/>
  <c r="AR205" i="40" s="1"/>
  <c r="C107" i="53"/>
  <c r="AP203" i="40"/>
  <c r="AR203" i="40" s="1"/>
  <c r="W203" i="40"/>
  <c r="W206" i="40"/>
  <c r="J110" i="37"/>
  <c r="W202" i="40"/>
  <c r="W205" i="40"/>
  <c r="J109" i="37"/>
  <c r="W204" i="40"/>
  <c r="L206" i="40"/>
  <c r="M206" i="40"/>
  <c r="L205" i="40"/>
  <c r="M205" i="40"/>
  <c r="J108" i="37"/>
  <c r="K108" i="37" s="1"/>
  <c r="L204" i="40"/>
  <c r="M204" i="40"/>
  <c r="J107" i="37"/>
  <c r="K107" i="37" s="1"/>
  <c r="L107" i="37" s="1"/>
  <c r="M107" i="37" s="1"/>
  <c r="M203" i="40"/>
  <c r="L203" i="40"/>
  <c r="L202" i="40"/>
  <c r="M202" i="40"/>
  <c r="J106" i="37"/>
  <c r="K106" i="37" s="1"/>
  <c r="E13" i="52"/>
  <c r="N104" i="37"/>
  <c r="V104" i="37"/>
  <c r="N105" i="37"/>
  <c r="V105" i="37"/>
  <c r="N96" i="37"/>
  <c r="V96" i="37"/>
  <c r="V97" i="37"/>
  <c r="N98" i="37"/>
  <c r="V98" i="37"/>
  <c r="V99" i="37"/>
  <c r="N100" i="37"/>
  <c r="V100" i="37"/>
  <c r="N101" i="37"/>
  <c r="V101" i="37"/>
  <c r="N102" i="37"/>
  <c r="V102" i="37"/>
  <c r="N103" i="37"/>
  <c r="V103" i="37"/>
  <c r="F197" i="40"/>
  <c r="F198" i="40"/>
  <c r="F199" i="40"/>
  <c r="F200" i="40"/>
  <c r="F201" i="40"/>
  <c r="C101" i="53" l="1"/>
  <c r="AP197" i="40"/>
  <c r="AR197" i="40" s="1"/>
  <c r="C104" i="53"/>
  <c r="AP200" i="40"/>
  <c r="AR200" i="40" s="1"/>
  <c r="C103" i="53"/>
  <c r="AP199" i="40"/>
  <c r="AR199" i="40" s="1"/>
  <c r="C105" i="53"/>
  <c r="AP201" i="40"/>
  <c r="AR201" i="40" s="1"/>
  <c r="C102" i="53"/>
  <c r="AP198" i="40"/>
  <c r="AR198" i="40" s="1"/>
  <c r="N205" i="40"/>
  <c r="N203" i="40"/>
  <c r="N202" i="40"/>
  <c r="N206" i="40"/>
  <c r="N204" i="40"/>
  <c r="L108" i="37"/>
  <c r="M108" i="37" s="1"/>
  <c r="S108" i="37" s="1"/>
  <c r="W198" i="40"/>
  <c r="W201" i="40"/>
  <c r="W197" i="40"/>
  <c r="K109" i="37"/>
  <c r="W200" i="40"/>
  <c r="W199" i="40"/>
  <c r="K110" i="37"/>
  <c r="L110" i="37" s="1"/>
  <c r="M110" i="37" s="1"/>
  <c r="L200" i="40"/>
  <c r="M200" i="40"/>
  <c r="L198" i="40"/>
  <c r="M198" i="40"/>
  <c r="L197" i="40"/>
  <c r="M197" i="40"/>
  <c r="L201" i="40"/>
  <c r="M201" i="40"/>
  <c r="L199" i="40"/>
  <c r="M199" i="40"/>
  <c r="L106" i="37"/>
  <c r="M106" i="37" s="1"/>
  <c r="U106" i="37" s="1"/>
  <c r="S107" i="37"/>
  <c r="T107" i="37"/>
  <c r="U107" i="37"/>
  <c r="R107" i="37"/>
  <c r="J103" i="37"/>
  <c r="K103" i="37" s="1"/>
  <c r="J102" i="37"/>
  <c r="K102" i="37" s="1"/>
  <c r="J101" i="37"/>
  <c r="K101" i="37" s="1"/>
  <c r="J105" i="37"/>
  <c r="K105" i="37" s="1"/>
  <c r="J104" i="37"/>
  <c r="K104" i="37" s="1"/>
  <c r="G7" i="9"/>
  <c r="D28" i="9"/>
  <c r="D31" i="9" s="1"/>
  <c r="C28" i="9"/>
  <c r="C31" i="9" s="1"/>
  <c r="A13" i="10"/>
  <c r="N198" i="40" l="1"/>
  <c r="N201" i="40"/>
  <c r="N199" i="40"/>
  <c r="N200" i="40"/>
  <c r="N197" i="40"/>
  <c r="R108" i="37"/>
  <c r="T108" i="37"/>
  <c r="I31" i="9"/>
  <c r="U108" i="37"/>
  <c r="T110" i="37"/>
  <c r="U110" i="37"/>
  <c r="R110" i="37"/>
  <c r="S110" i="37"/>
  <c r="L109" i="37"/>
  <c r="M109" i="37" s="1"/>
  <c r="D30" i="9"/>
  <c r="D29" i="9"/>
  <c r="C30" i="9"/>
  <c r="C29" i="9"/>
  <c r="T106" i="37"/>
  <c r="S106" i="37"/>
  <c r="R106" i="37"/>
  <c r="L101" i="37"/>
  <c r="M101" i="37" s="1"/>
  <c r="R101" i="37" s="1"/>
  <c r="L102" i="37"/>
  <c r="M102" i="37" s="1"/>
  <c r="U102" i="37" s="1"/>
  <c r="L103" i="37"/>
  <c r="M103" i="37" s="1"/>
  <c r="R103" i="37" s="1"/>
  <c r="L104" i="37"/>
  <c r="M104" i="37" s="1"/>
  <c r="T104" i="37" s="1"/>
  <c r="L105" i="37"/>
  <c r="M105" i="37" s="1"/>
  <c r="S105" i="37" s="1"/>
  <c r="T109" i="37" l="1"/>
  <c r="S109" i="37"/>
  <c r="U109" i="37"/>
  <c r="R109" i="37"/>
  <c r="U101" i="37"/>
  <c r="S101" i="37"/>
  <c r="T101" i="37"/>
  <c r="R105" i="37"/>
  <c r="S102" i="37"/>
  <c r="T102" i="37"/>
  <c r="S103" i="37"/>
  <c r="R102" i="37"/>
  <c r="T103" i="37"/>
  <c r="S104" i="37"/>
  <c r="R104" i="37"/>
  <c r="U103" i="37"/>
  <c r="T105" i="37"/>
  <c r="U105" i="37"/>
  <c r="U104" i="37"/>
  <c r="L54" i="45" l="1"/>
  <c r="K54" i="45"/>
  <c r="D54" i="45"/>
  <c r="E54" i="45" s="1"/>
  <c r="G123" i="40" s="1"/>
  <c r="H123" i="40" s="1"/>
  <c r="C54" i="45"/>
  <c r="G122" i="40" s="1"/>
  <c r="H122" i="40" s="1"/>
  <c r="J54" i="45"/>
  <c r="L52" i="45"/>
  <c r="H51" i="45"/>
  <c r="I51" i="45" s="1"/>
  <c r="F51" i="45"/>
  <c r="G51" i="45" s="1"/>
  <c r="L50" i="45"/>
  <c r="K50" i="45"/>
  <c r="D50" i="45"/>
  <c r="E50" i="45" s="1"/>
  <c r="AZ83" i="40" s="1"/>
  <c r="J50" i="45"/>
  <c r="H49" i="45"/>
  <c r="I49" i="45" s="1"/>
  <c r="F49" i="45"/>
  <c r="G49" i="45" s="1"/>
  <c r="K48" i="45"/>
  <c r="L48" i="45"/>
  <c r="H46" i="45"/>
  <c r="I46" i="45" s="1"/>
  <c r="F46" i="45"/>
  <c r="G46" i="45" s="1"/>
  <c r="L45" i="45"/>
  <c r="J45" i="45"/>
  <c r="L44" i="45"/>
  <c r="J44" i="45"/>
  <c r="K43" i="45"/>
  <c r="L43" i="45"/>
  <c r="L42" i="45"/>
  <c r="H41" i="45"/>
  <c r="I41" i="45" s="1"/>
  <c r="J40" i="45"/>
  <c r="K39" i="45"/>
  <c r="C39" i="45"/>
  <c r="G94" i="40" s="1"/>
  <c r="H94" i="40" s="1"/>
  <c r="L39" i="45"/>
  <c r="J38" i="45"/>
  <c r="K35" i="45"/>
  <c r="L35" i="45"/>
  <c r="H34" i="45"/>
  <c r="I34" i="45" s="1"/>
  <c r="F34" i="45"/>
  <c r="G34" i="45" s="1"/>
  <c r="J34" i="45"/>
  <c r="L33" i="45"/>
  <c r="K33" i="45"/>
  <c r="D33" i="45"/>
  <c r="E33" i="45" s="1"/>
  <c r="C33" i="45"/>
  <c r="J33" i="45"/>
  <c r="H32" i="45"/>
  <c r="I32" i="45" s="1"/>
  <c r="F32" i="45"/>
  <c r="G32" i="45" s="1"/>
  <c r="D32" i="45"/>
  <c r="E32" i="45" s="1"/>
  <c r="K31" i="45"/>
  <c r="C31" i="45"/>
  <c r="G66" i="40" s="1"/>
  <c r="H66" i="40" s="1"/>
  <c r="L31" i="45"/>
  <c r="H30" i="45"/>
  <c r="I30" i="45" s="1"/>
  <c r="F30" i="45"/>
  <c r="G30" i="45" s="1"/>
  <c r="D30" i="45"/>
  <c r="E30" i="45" s="1"/>
  <c r="L29" i="45"/>
  <c r="K29" i="45"/>
  <c r="D29" i="45"/>
  <c r="E29" i="45" s="1"/>
  <c r="J29" i="45"/>
  <c r="J28" i="45"/>
  <c r="H26" i="45"/>
  <c r="I26" i="45" s="1"/>
  <c r="J25" i="45"/>
  <c r="G25" i="45"/>
  <c r="C25" i="45"/>
  <c r="K22" i="45"/>
  <c r="J20" i="45"/>
  <c r="L19" i="45"/>
  <c r="H18" i="45"/>
  <c r="I18" i="45" s="1"/>
  <c r="K17" i="45"/>
  <c r="C17" i="45"/>
  <c r="F16" i="45"/>
  <c r="G16" i="45" s="1"/>
  <c r="L16" i="45"/>
  <c r="L15" i="45"/>
  <c r="K15" i="45"/>
  <c r="D15" i="45"/>
  <c r="E15" i="45" s="1"/>
  <c r="J15" i="45"/>
  <c r="K14" i="45"/>
  <c r="J13" i="45"/>
  <c r="J23" i="45" l="1"/>
  <c r="K23" i="45"/>
  <c r="D23" i="45"/>
  <c r="E23" i="45" s="1"/>
  <c r="C23" i="45"/>
  <c r="L24" i="45"/>
  <c r="D24" i="45"/>
  <c r="E24" i="45" s="1"/>
  <c r="J37" i="45"/>
  <c r="L37" i="45"/>
  <c r="K37" i="45"/>
  <c r="D37" i="45"/>
  <c r="E37" i="45" s="1"/>
  <c r="J11" i="45"/>
  <c r="D11" i="45"/>
  <c r="E11" i="45" s="1"/>
  <c r="L11" i="45"/>
  <c r="C11" i="45"/>
  <c r="H19" i="45"/>
  <c r="I19" i="45" s="1"/>
  <c r="D19" i="45"/>
  <c r="E19" i="45" s="1"/>
  <c r="F24" i="45"/>
  <c r="G24" i="45" s="1"/>
  <c r="C37" i="45"/>
  <c r="H38" i="45"/>
  <c r="I38" i="45" s="1"/>
  <c r="J58" i="45"/>
  <c r="L58" i="45"/>
  <c r="K58" i="45"/>
  <c r="D58" i="45"/>
  <c r="E58" i="45" s="1"/>
  <c r="C58" i="45"/>
  <c r="H11" i="45"/>
  <c r="I11" i="45" s="1"/>
  <c r="L18" i="45"/>
  <c r="K18" i="45"/>
  <c r="E18" i="45"/>
  <c r="J18" i="45"/>
  <c r="C18" i="45"/>
  <c r="AY36" i="40" s="1"/>
  <c r="C19" i="45"/>
  <c r="H23" i="45"/>
  <c r="I23" i="45" s="1"/>
  <c r="J24" i="45"/>
  <c r="H37" i="45"/>
  <c r="I37" i="45" s="1"/>
  <c r="J41" i="45"/>
  <c r="L41" i="45"/>
  <c r="K41" i="45"/>
  <c r="D41" i="45"/>
  <c r="E41" i="45" s="1"/>
  <c r="H58" i="45"/>
  <c r="I58" i="45" s="1"/>
  <c r="K11" i="45"/>
  <c r="J17" i="45"/>
  <c r="F17" i="45"/>
  <c r="G17" i="45" s="1"/>
  <c r="F18" i="45"/>
  <c r="G18" i="45" s="1"/>
  <c r="K19" i="45"/>
  <c r="L23" i="45"/>
  <c r="J36" i="45"/>
  <c r="H36" i="45"/>
  <c r="I36" i="45" s="1"/>
  <c r="F36" i="45"/>
  <c r="G36" i="45" s="1"/>
  <c r="C41" i="45"/>
  <c r="H53" i="45"/>
  <c r="I53" i="45" s="1"/>
  <c r="F53" i="45"/>
  <c r="G53" i="45" s="1"/>
  <c r="L56" i="45"/>
  <c r="K56" i="45"/>
  <c r="C56" i="45"/>
  <c r="K59" i="45"/>
  <c r="L59" i="45"/>
  <c r="H59" i="45"/>
  <c r="I59" i="45" s="1"/>
  <c r="D59" i="45"/>
  <c r="E59" i="45" s="1"/>
  <c r="H45" i="45"/>
  <c r="I45" i="45" s="1"/>
  <c r="L46" i="45"/>
  <c r="L49" i="45"/>
  <c r="H15" i="45"/>
  <c r="I15" i="45" s="1"/>
  <c r="J16" i="45"/>
  <c r="H29" i="45"/>
  <c r="I29" i="45" s="1"/>
  <c r="L30" i="45"/>
  <c r="L32" i="45"/>
  <c r="D44" i="45"/>
  <c r="E44" i="45" s="1"/>
  <c r="C45" i="45"/>
  <c r="D46" i="45"/>
  <c r="E46" i="45" s="1"/>
  <c r="D49" i="45"/>
  <c r="E49" i="45" s="1"/>
  <c r="H50" i="45"/>
  <c r="I50" i="45" s="1"/>
  <c r="C52" i="45"/>
  <c r="C15" i="45"/>
  <c r="D16" i="45"/>
  <c r="E16" i="45" s="1"/>
  <c r="AY35" i="40" s="1"/>
  <c r="C29" i="45"/>
  <c r="H33" i="45"/>
  <c r="I33" i="45" s="1"/>
  <c r="C35" i="45"/>
  <c r="C43" i="45"/>
  <c r="D45" i="45"/>
  <c r="E45" i="45" s="1"/>
  <c r="K45" i="45"/>
  <c r="C48" i="45"/>
  <c r="C50" i="45"/>
  <c r="AZ82" i="40" s="1"/>
  <c r="K52" i="45"/>
  <c r="H54" i="45"/>
  <c r="I54" i="45" s="1"/>
  <c r="K12" i="45"/>
  <c r="L21" i="45"/>
  <c r="H21" i="45"/>
  <c r="I21" i="45" s="1"/>
  <c r="D21" i="45"/>
  <c r="E21" i="45" s="1"/>
  <c r="L22" i="45"/>
  <c r="L27" i="45"/>
  <c r="H27" i="45"/>
  <c r="I27" i="45" s="1"/>
  <c r="D27" i="45"/>
  <c r="E27" i="45" s="1"/>
  <c r="K27" i="45"/>
  <c r="F27" i="45"/>
  <c r="G27" i="45" s="1"/>
  <c r="J27" i="45"/>
  <c r="K57" i="45"/>
  <c r="C57" i="45"/>
  <c r="F57" i="45"/>
  <c r="G57" i="45" s="1"/>
  <c r="L57" i="45"/>
  <c r="D57" i="45"/>
  <c r="E57" i="45" s="1"/>
  <c r="C14" i="45"/>
  <c r="AY32" i="40" s="1"/>
  <c r="H14" i="45"/>
  <c r="I14" i="45" s="1"/>
  <c r="D26" i="45"/>
  <c r="E26" i="45" s="1"/>
  <c r="K42" i="45"/>
  <c r="C42" i="45"/>
  <c r="H42" i="45"/>
  <c r="I42" i="45" s="1"/>
  <c r="F42" i="45"/>
  <c r="G42" i="45" s="1"/>
  <c r="K55" i="45"/>
  <c r="C55" i="45"/>
  <c r="F55" i="45"/>
  <c r="G55" i="45" s="1"/>
  <c r="L55" i="45"/>
  <c r="D55" i="45"/>
  <c r="E55" i="45" s="1"/>
  <c r="H57" i="45"/>
  <c r="I57" i="45" s="1"/>
  <c r="J12" i="45"/>
  <c r="D14" i="45"/>
  <c r="J14" i="45"/>
  <c r="K16" i="45"/>
  <c r="C16" i="45"/>
  <c r="AY34" i="40" s="1"/>
  <c r="H16" i="45"/>
  <c r="I16" i="45" s="1"/>
  <c r="L17" i="45"/>
  <c r="H17" i="45"/>
  <c r="I17" i="45" s="1"/>
  <c r="D17" i="45"/>
  <c r="E17" i="45" s="1"/>
  <c r="J21" i="45"/>
  <c r="D22" i="45"/>
  <c r="E22" i="45" s="1"/>
  <c r="J22" i="45"/>
  <c r="K24" i="45"/>
  <c r="C24" i="45"/>
  <c r="H24" i="45"/>
  <c r="I24" i="45" s="1"/>
  <c r="L25" i="45"/>
  <c r="H25" i="45"/>
  <c r="I25" i="45" s="1"/>
  <c r="D25" i="45"/>
  <c r="E25" i="45" s="1"/>
  <c r="K25" i="45"/>
  <c r="K40" i="45"/>
  <c r="C40" i="45"/>
  <c r="F40" i="45"/>
  <c r="G40" i="45" s="1"/>
  <c r="D40" i="45"/>
  <c r="E40" i="45" s="1"/>
  <c r="L40" i="45"/>
  <c r="D42" i="45"/>
  <c r="E42" i="45" s="1"/>
  <c r="K44" i="45"/>
  <c r="C44" i="45"/>
  <c r="H44" i="45"/>
  <c r="I44" i="45" s="1"/>
  <c r="F44" i="45"/>
  <c r="G44" i="45" s="1"/>
  <c r="H55" i="45"/>
  <c r="I55" i="45" s="1"/>
  <c r="J57" i="45"/>
  <c r="H12" i="45"/>
  <c r="I12" i="45" s="1"/>
  <c r="L13" i="45"/>
  <c r="H13" i="45"/>
  <c r="I13" i="45" s="1"/>
  <c r="D13" i="45"/>
  <c r="E13" i="45" s="1"/>
  <c r="L14" i="45"/>
  <c r="K20" i="45"/>
  <c r="C20" i="45"/>
  <c r="H20" i="45"/>
  <c r="I20" i="45" s="1"/>
  <c r="K26" i="45"/>
  <c r="C26" i="45"/>
  <c r="L26" i="45"/>
  <c r="F26" i="45"/>
  <c r="G26" i="45" s="1"/>
  <c r="J26" i="45"/>
  <c r="K28" i="45"/>
  <c r="C28" i="45"/>
  <c r="H28" i="45"/>
  <c r="I28" i="45" s="1"/>
  <c r="F28" i="45"/>
  <c r="G28" i="45" s="1"/>
  <c r="D12" i="45"/>
  <c r="E12" i="45" s="1"/>
  <c r="D20" i="45"/>
  <c r="E20" i="45" s="1"/>
  <c r="C21" i="45"/>
  <c r="C22" i="45"/>
  <c r="H22" i="45"/>
  <c r="I22" i="45" s="1"/>
  <c r="C27" i="45"/>
  <c r="D28" i="45"/>
  <c r="E28" i="45" s="1"/>
  <c r="F12" i="45"/>
  <c r="G12" i="45" s="1"/>
  <c r="L12" i="45"/>
  <c r="F13" i="45"/>
  <c r="G13" i="45" s="1"/>
  <c r="K13" i="45"/>
  <c r="F14" i="45"/>
  <c r="G14" i="45" s="1"/>
  <c r="G20" i="45"/>
  <c r="L20" i="45"/>
  <c r="F21" i="45"/>
  <c r="G21" i="45" s="1"/>
  <c r="K21" i="45"/>
  <c r="F22" i="45"/>
  <c r="G22" i="45" s="1"/>
  <c r="L28" i="45"/>
  <c r="K38" i="45"/>
  <c r="C38" i="45"/>
  <c r="F38" i="45"/>
  <c r="G38" i="45" s="1"/>
  <c r="L38" i="45"/>
  <c r="D38" i="45"/>
  <c r="E38" i="45" s="1"/>
  <c r="H40" i="45"/>
  <c r="I40" i="45" s="1"/>
  <c r="J42" i="45"/>
  <c r="J55" i="45"/>
  <c r="K53" i="45"/>
  <c r="C53" i="45"/>
  <c r="K34" i="45"/>
  <c r="C34" i="45"/>
  <c r="K36" i="45"/>
  <c r="C36" i="45"/>
  <c r="K51" i="45"/>
  <c r="C51" i="45"/>
  <c r="J51" i="45"/>
  <c r="J53" i="45"/>
  <c r="F11" i="45"/>
  <c r="G11" i="45" s="1"/>
  <c r="F15" i="45"/>
  <c r="G15" i="45" s="1"/>
  <c r="F19" i="45"/>
  <c r="G19" i="45" s="1"/>
  <c r="G23" i="45"/>
  <c r="K30" i="45"/>
  <c r="C30" i="45"/>
  <c r="J30" i="45"/>
  <c r="K32" i="45"/>
  <c r="C32" i="45"/>
  <c r="J32" i="45"/>
  <c r="D34" i="45"/>
  <c r="E34" i="45" s="1"/>
  <c r="L34" i="45"/>
  <c r="D36" i="45"/>
  <c r="E36" i="45" s="1"/>
  <c r="L36" i="45"/>
  <c r="K46" i="45"/>
  <c r="C46" i="45"/>
  <c r="J46" i="45"/>
  <c r="K49" i="45"/>
  <c r="C49" i="45"/>
  <c r="J49" i="45"/>
  <c r="D51" i="45"/>
  <c r="E51" i="45" s="1"/>
  <c r="L51" i="45"/>
  <c r="D53" i="45"/>
  <c r="E53" i="45" s="1"/>
  <c r="L53" i="45"/>
  <c r="F31" i="45"/>
  <c r="G31" i="45" s="1"/>
  <c r="J31" i="45"/>
  <c r="F35" i="45"/>
  <c r="G35" i="45" s="1"/>
  <c r="J35" i="45"/>
  <c r="F39" i="45"/>
  <c r="G39" i="45" s="1"/>
  <c r="J39" i="45"/>
  <c r="F43" i="45"/>
  <c r="G43" i="45" s="1"/>
  <c r="J43" i="45"/>
  <c r="F48" i="45"/>
  <c r="G48" i="45" s="1"/>
  <c r="J48" i="45"/>
  <c r="F52" i="45"/>
  <c r="G52" i="45" s="1"/>
  <c r="J52" i="45"/>
  <c r="F56" i="45"/>
  <c r="G56" i="45" s="1"/>
  <c r="J56" i="45"/>
  <c r="F59" i="45"/>
  <c r="G59" i="45" s="1"/>
  <c r="J59" i="45"/>
  <c r="F29" i="45"/>
  <c r="G29" i="45" s="1"/>
  <c r="D31" i="45"/>
  <c r="E31" i="45" s="1"/>
  <c r="H31" i="45"/>
  <c r="I31" i="45" s="1"/>
  <c r="F33" i="45"/>
  <c r="G33" i="45" s="1"/>
  <c r="D35" i="45"/>
  <c r="E35" i="45" s="1"/>
  <c r="H35" i="45"/>
  <c r="I35" i="45" s="1"/>
  <c r="F37" i="45"/>
  <c r="G37" i="45" s="1"/>
  <c r="D39" i="45"/>
  <c r="E39" i="45" s="1"/>
  <c r="H39" i="45"/>
  <c r="I39" i="45" s="1"/>
  <c r="F41" i="45"/>
  <c r="G41" i="45" s="1"/>
  <c r="D43" i="45"/>
  <c r="E43" i="45" s="1"/>
  <c r="H43" i="45"/>
  <c r="I43" i="45" s="1"/>
  <c r="F45" i="45"/>
  <c r="G45" i="45" s="1"/>
  <c r="D48" i="45"/>
  <c r="E48" i="45" s="1"/>
  <c r="H48" i="45"/>
  <c r="I48" i="45" s="1"/>
  <c r="F50" i="45"/>
  <c r="G50" i="45" s="1"/>
  <c r="D52" i="45"/>
  <c r="E52" i="45" s="1"/>
  <c r="H52" i="45"/>
  <c r="I52" i="45" s="1"/>
  <c r="F54" i="45"/>
  <c r="G54" i="45" s="1"/>
  <c r="D56" i="45"/>
  <c r="E56" i="45" s="1"/>
  <c r="H56" i="45"/>
  <c r="I56" i="45" s="1"/>
  <c r="F58" i="45"/>
  <c r="G58" i="45" s="1"/>
  <c r="C59" i="45"/>
  <c r="F37" i="39"/>
  <c r="F366" i="40" s="1"/>
  <c r="B366" i="40"/>
  <c r="B365" i="40"/>
  <c r="F345" i="40"/>
  <c r="AP345" i="40" s="1"/>
  <c r="J37" i="39"/>
  <c r="F383" i="40" s="1"/>
  <c r="AP383" i="40" s="1"/>
  <c r="B383" i="40"/>
  <c r="V346" i="40"/>
  <c r="AQ346" i="40" s="1"/>
  <c r="F346" i="40"/>
  <c r="AP346" i="40" s="1"/>
  <c r="B346" i="40"/>
  <c r="E37" i="39"/>
  <c r="K3" i="4"/>
  <c r="K4" i="4"/>
  <c r="K2" i="4"/>
  <c r="I4" i="9"/>
  <c r="B2" i="46"/>
  <c r="A2" i="22"/>
  <c r="B14" i="22"/>
  <c r="A11" i="22"/>
  <c r="V293" i="40"/>
  <c r="AQ293" i="40" s="1"/>
  <c r="AR293" i="40" s="1"/>
  <c r="V292" i="40"/>
  <c r="AQ292" i="40" s="1"/>
  <c r="AR292" i="40" s="1"/>
  <c r="V291" i="40"/>
  <c r="AQ291" i="40" s="1"/>
  <c r="AR291" i="40" s="1"/>
  <c r="V290" i="40"/>
  <c r="AQ290" i="40" s="1"/>
  <c r="AR290" i="40" s="1"/>
  <c r="V289" i="40"/>
  <c r="AQ289" i="40" s="1"/>
  <c r="AR289" i="40" s="1"/>
  <c r="V288" i="40"/>
  <c r="AQ288" i="40" s="1"/>
  <c r="AR288" i="40" s="1"/>
  <c r="V287" i="40"/>
  <c r="AQ287" i="40" s="1"/>
  <c r="AR287" i="40" s="1"/>
  <c r="V286" i="40"/>
  <c r="AQ286" i="40" s="1"/>
  <c r="AR286" i="40" s="1"/>
  <c r="V285" i="40"/>
  <c r="AQ285" i="40" s="1"/>
  <c r="AR285" i="40" s="1"/>
  <c r="V284" i="40"/>
  <c r="AQ284" i="40" s="1"/>
  <c r="AR284" i="40" s="1"/>
  <c r="V283" i="40"/>
  <c r="AQ283" i="40" s="1"/>
  <c r="AR283" i="40" s="1"/>
  <c r="V196" i="40"/>
  <c r="AQ196" i="40" s="1"/>
  <c r="F196" i="40"/>
  <c r="V195" i="40"/>
  <c r="AQ195" i="40" s="1"/>
  <c r="F195" i="40"/>
  <c r="V194" i="40"/>
  <c r="AQ194" i="40" s="1"/>
  <c r="F194" i="40"/>
  <c r="V193" i="40"/>
  <c r="AQ193" i="40" s="1"/>
  <c r="F193" i="40"/>
  <c r="V192" i="40"/>
  <c r="AQ192" i="40" s="1"/>
  <c r="F192" i="40"/>
  <c r="N85" i="37"/>
  <c r="V85" i="37"/>
  <c r="N86" i="37"/>
  <c r="V86" i="37"/>
  <c r="V87" i="37"/>
  <c r="V88" i="37"/>
  <c r="N89" i="37"/>
  <c r="V89" i="37"/>
  <c r="N90" i="37"/>
  <c r="V90" i="37"/>
  <c r="N91" i="37"/>
  <c r="V91" i="37"/>
  <c r="V92" i="37"/>
  <c r="N93" i="37"/>
  <c r="V93" i="37"/>
  <c r="N94" i="37"/>
  <c r="V94" i="37"/>
  <c r="N95" i="37"/>
  <c r="V95" i="37"/>
  <c r="F186" i="40"/>
  <c r="V181" i="40"/>
  <c r="AQ181" i="40" s="1"/>
  <c r="V182" i="40"/>
  <c r="AQ182" i="40" s="1"/>
  <c r="V183" i="40"/>
  <c r="AQ183" i="40" s="1"/>
  <c r="V184" i="40"/>
  <c r="AQ184" i="40" s="1"/>
  <c r="V185" i="40"/>
  <c r="AQ185" i="40" s="1"/>
  <c r="V187" i="40"/>
  <c r="AQ187" i="40" s="1"/>
  <c r="V188" i="40"/>
  <c r="AQ188" i="40" s="1"/>
  <c r="V189" i="40"/>
  <c r="AQ189" i="40" s="1"/>
  <c r="V190" i="40"/>
  <c r="AQ190" i="40" s="1"/>
  <c r="V191" i="40"/>
  <c r="AQ191" i="40" s="1"/>
  <c r="F191" i="40"/>
  <c r="F190" i="40"/>
  <c r="F189" i="40"/>
  <c r="F188" i="40"/>
  <c r="F187" i="40"/>
  <c r="F185" i="40"/>
  <c r="F184" i="40"/>
  <c r="F183" i="40"/>
  <c r="F182" i="40"/>
  <c r="F181" i="40"/>
  <c r="V12" i="37"/>
  <c r="E56" i="46"/>
  <c r="E51" i="46"/>
  <c r="E50" i="46"/>
  <c r="D75" i="10"/>
  <c r="A72" i="10"/>
  <c r="A73" i="10"/>
  <c r="A74" i="10"/>
  <c r="A75" i="10"/>
  <c r="A70" i="10"/>
  <c r="F47" i="22"/>
  <c r="A1" i="46"/>
  <c r="AH245" i="40"/>
  <c r="AL245" i="40"/>
  <c r="AD245" i="40"/>
  <c r="Y245" i="40"/>
  <c r="X245" i="40"/>
  <c r="U245" i="40"/>
  <c r="T245" i="40"/>
  <c r="O245" i="40"/>
  <c r="C390" i="40"/>
  <c r="C374" i="40"/>
  <c r="B30" i="40"/>
  <c r="V443" i="40"/>
  <c r="AQ443" i="40" s="1"/>
  <c r="AR443" i="40" s="1"/>
  <c r="W418" i="40"/>
  <c r="F419" i="40"/>
  <c r="AP419" i="40" s="1"/>
  <c r="V269" i="40"/>
  <c r="AQ269" i="40" s="1"/>
  <c r="AR269" i="40" s="1"/>
  <c r="V268" i="40"/>
  <c r="AQ268" i="40" s="1"/>
  <c r="AR268" i="40" s="1"/>
  <c r="V96" i="40"/>
  <c r="AQ96" i="40" s="1"/>
  <c r="V80" i="40"/>
  <c r="AQ80" i="40" s="1"/>
  <c r="V120" i="40"/>
  <c r="AQ120" i="40" s="1"/>
  <c r="V140" i="40"/>
  <c r="AQ140" i="40" s="1"/>
  <c r="V138" i="40"/>
  <c r="AQ138" i="40" s="1"/>
  <c r="V136" i="40"/>
  <c r="AQ136" i="40" s="1"/>
  <c r="V46" i="40"/>
  <c r="AQ46" i="40" s="1"/>
  <c r="V38" i="40"/>
  <c r="AQ38" i="40" s="1"/>
  <c r="V32" i="40"/>
  <c r="AQ32" i="40" s="1"/>
  <c r="A11" i="10"/>
  <c r="A10" i="10"/>
  <c r="A9" i="10"/>
  <c r="A12" i="10"/>
  <c r="B423" i="40"/>
  <c r="B422" i="40"/>
  <c r="B421" i="40"/>
  <c r="B420" i="40"/>
  <c r="B431" i="40"/>
  <c r="B426" i="40"/>
  <c r="B425" i="40"/>
  <c r="B436" i="40"/>
  <c r="B435" i="40"/>
  <c r="B434" i="40"/>
  <c r="B418" i="40"/>
  <c r="F410" i="40"/>
  <c r="AP410" i="40" s="1"/>
  <c r="B410" i="40"/>
  <c r="B414" i="40"/>
  <c r="B443" i="40"/>
  <c r="E5" i="4"/>
  <c r="F8" i="2"/>
  <c r="F9" i="2"/>
  <c r="F10" i="2"/>
  <c r="F11" i="2"/>
  <c r="F12" i="2"/>
  <c r="F13" i="2"/>
  <c r="F14" i="2"/>
  <c r="F15" i="2"/>
  <c r="F16" i="2"/>
  <c r="E16" i="2"/>
  <c r="E15" i="2"/>
  <c r="E14" i="2"/>
  <c r="E13" i="2"/>
  <c r="E12" i="2"/>
  <c r="E11" i="2"/>
  <c r="E10" i="2"/>
  <c r="E9" i="2"/>
  <c r="E8" i="2"/>
  <c r="L3" i="2"/>
  <c r="C394" i="40"/>
  <c r="C397" i="40"/>
  <c r="C353" i="40"/>
  <c r="C330" i="40"/>
  <c r="C170" i="40"/>
  <c r="C245" i="40" s="1"/>
  <c r="V62" i="26"/>
  <c r="AL261" i="40"/>
  <c r="AH375" i="40"/>
  <c r="AH387" i="40" s="1"/>
  <c r="Z10" i="2" s="1"/>
  <c r="E8" i="54" s="1"/>
  <c r="AL375" i="40"/>
  <c r="AL387" i="40" s="1"/>
  <c r="AD10" i="2" s="1"/>
  <c r="F8" i="54" s="1"/>
  <c r="V267" i="40"/>
  <c r="AQ267" i="40" s="1"/>
  <c r="AR267" i="40" s="1"/>
  <c r="V266" i="40"/>
  <c r="AQ266" i="40" s="1"/>
  <c r="AR266" i="40" s="1"/>
  <c r="V265" i="40"/>
  <c r="AQ265" i="40" s="1"/>
  <c r="AR265" i="40" s="1"/>
  <c r="V264" i="40"/>
  <c r="AQ264" i="40" s="1"/>
  <c r="F5" i="2"/>
  <c r="E5" i="2"/>
  <c r="C31" i="40"/>
  <c r="V59" i="37"/>
  <c r="V58" i="37"/>
  <c r="V57" i="37"/>
  <c r="V49" i="37"/>
  <c r="V38" i="37"/>
  <c r="V37" i="37"/>
  <c r="A37" i="37"/>
  <c r="A29" i="37"/>
  <c r="V5" i="37"/>
  <c r="B49" i="40"/>
  <c r="B48" i="40"/>
  <c r="B47" i="40"/>
  <c r="B46" i="40"/>
  <c r="F46" i="40"/>
  <c r="AP46" i="40" s="1"/>
  <c r="AR46" i="40" s="1"/>
  <c r="B141" i="40"/>
  <c r="F140" i="40"/>
  <c r="AP140" i="40" s="1"/>
  <c r="B140" i="40"/>
  <c r="B139" i="40"/>
  <c r="F138" i="40"/>
  <c r="AP138" i="40" s="1"/>
  <c r="B138" i="40"/>
  <c r="B137" i="40"/>
  <c r="F136" i="40"/>
  <c r="AP136" i="40" s="1"/>
  <c r="B136" i="40"/>
  <c r="AU122" i="40"/>
  <c r="AU123" i="40"/>
  <c r="F120" i="40"/>
  <c r="AP120" i="40" s="1"/>
  <c r="B121" i="40"/>
  <c r="B120" i="40"/>
  <c r="B267" i="40"/>
  <c r="B268" i="40"/>
  <c r="F96" i="40"/>
  <c r="AP96" i="40" s="1"/>
  <c r="AW94" i="40"/>
  <c r="B99" i="40"/>
  <c r="V98" i="40"/>
  <c r="AQ98" i="40" s="1"/>
  <c r="F98" i="40"/>
  <c r="AP98" i="40" s="1"/>
  <c r="B98" i="40"/>
  <c r="B97" i="40"/>
  <c r="F80" i="40"/>
  <c r="AP80" i="40" s="1"/>
  <c r="B269" i="40"/>
  <c r="AW66" i="40"/>
  <c r="B33" i="40"/>
  <c r="B32" i="40"/>
  <c r="F32" i="40"/>
  <c r="AP32" i="40" s="1"/>
  <c r="N19" i="2"/>
  <c r="AJ19" i="2" s="1"/>
  <c r="AK19" i="2" s="1"/>
  <c r="N20" i="2"/>
  <c r="AJ20" i="2" s="1"/>
  <c r="AK20" i="2" s="1"/>
  <c r="N18" i="2"/>
  <c r="AJ18" i="2" s="1"/>
  <c r="P16" i="2"/>
  <c r="P486" i="40"/>
  <c r="H16" i="2" s="1"/>
  <c r="P476" i="40"/>
  <c r="H15" i="2" s="1"/>
  <c r="X476" i="40"/>
  <c r="P15" i="2" s="1"/>
  <c r="P459" i="40"/>
  <c r="H14" i="2" s="1"/>
  <c r="X459" i="40"/>
  <c r="P14" i="2" s="1"/>
  <c r="P451" i="40"/>
  <c r="H13" i="2" s="1"/>
  <c r="X451" i="40"/>
  <c r="P13" i="2" s="1"/>
  <c r="P438" i="40"/>
  <c r="H12" i="2" s="1"/>
  <c r="X438" i="40"/>
  <c r="P12" i="2" s="1"/>
  <c r="P406" i="40"/>
  <c r="H11" i="2" s="1"/>
  <c r="X406" i="40"/>
  <c r="P11" i="2" s="1"/>
  <c r="P387" i="40"/>
  <c r="H10" i="2" s="1"/>
  <c r="X387" i="40"/>
  <c r="P10" i="2" s="1"/>
  <c r="P371" i="40"/>
  <c r="H9" i="2" s="1"/>
  <c r="X371" i="40"/>
  <c r="P9" i="2" s="1"/>
  <c r="P349" i="40"/>
  <c r="H8" i="2" s="1"/>
  <c r="X349" i="40"/>
  <c r="P8" i="2" s="1"/>
  <c r="V273" i="40"/>
  <c r="AQ273" i="40" s="1"/>
  <c r="AR273" i="40" s="1"/>
  <c r="V274" i="40"/>
  <c r="V275" i="40"/>
  <c r="V276" i="40"/>
  <c r="V277" i="40"/>
  <c r="AQ277" i="40" s="1"/>
  <c r="AR277" i="40" s="1"/>
  <c r="X257" i="40"/>
  <c r="X27" i="40"/>
  <c r="P6" i="2" s="1"/>
  <c r="X11" i="40"/>
  <c r="P5" i="2" s="1"/>
  <c r="P11" i="40"/>
  <c r="H5" i="2" s="1"/>
  <c r="P27" i="40"/>
  <c r="H6" i="2" s="1"/>
  <c r="A1" i="36"/>
  <c r="A1" i="2"/>
  <c r="V474" i="40"/>
  <c r="AQ474" i="40" s="1"/>
  <c r="AR474" i="40" s="1"/>
  <c r="Y257" i="40"/>
  <c r="O257" i="40"/>
  <c r="V180" i="40"/>
  <c r="AQ180" i="40" s="1"/>
  <c r="V179" i="40"/>
  <c r="AQ179" i="40" s="1"/>
  <c r="V178" i="40"/>
  <c r="AQ178" i="40" s="1"/>
  <c r="V177" i="40"/>
  <c r="AQ177" i="40" s="1"/>
  <c r="V176" i="40"/>
  <c r="AQ176" i="40" s="1"/>
  <c r="V175" i="40"/>
  <c r="AQ175" i="40" s="1"/>
  <c r="V174" i="40"/>
  <c r="AQ174" i="40" s="1"/>
  <c r="V173" i="40"/>
  <c r="AQ173" i="40" s="1"/>
  <c r="V172" i="40"/>
  <c r="AQ172" i="40" s="1"/>
  <c r="V171" i="40"/>
  <c r="AQ171" i="40" s="1"/>
  <c r="AR171" i="40" s="1"/>
  <c r="O476" i="40"/>
  <c r="G15" i="2" s="1"/>
  <c r="Y476" i="40"/>
  <c r="Q15" i="2" s="1"/>
  <c r="Y486" i="40"/>
  <c r="Q16" i="2" s="1"/>
  <c r="Y459" i="40"/>
  <c r="Q14" i="2" s="1"/>
  <c r="Y451" i="40"/>
  <c r="Q13" i="2" s="1"/>
  <c r="Y438" i="40"/>
  <c r="Q12" i="2" s="1"/>
  <c r="Y406" i="40"/>
  <c r="Q11" i="2" s="1"/>
  <c r="Y387" i="40"/>
  <c r="Q10" i="2" s="1"/>
  <c r="Y371" i="40"/>
  <c r="Q9" i="2" s="1"/>
  <c r="Y349" i="40"/>
  <c r="Q8" i="2" s="1"/>
  <c r="Y27" i="40"/>
  <c r="Q6" i="2" s="1"/>
  <c r="Y11" i="40"/>
  <c r="Q5" i="2" s="1"/>
  <c r="V436" i="40"/>
  <c r="AQ436" i="40" s="1"/>
  <c r="AR436" i="40" s="1"/>
  <c r="V435" i="40"/>
  <c r="AQ435" i="40" s="1"/>
  <c r="AR435" i="40" s="1"/>
  <c r="V78" i="40"/>
  <c r="AQ78" i="40" s="1"/>
  <c r="O486" i="40"/>
  <c r="G16" i="2" s="1"/>
  <c r="O459" i="40"/>
  <c r="G14" i="2" s="1"/>
  <c r="O451" i="40"/>
  <c r="G13" i="2" s="1"/>
  <c r="O438" i="40"/>
  <c r="G12" i="2" s="1"/>
  <c r="O406" i="40"/>
  <c r="G11" i="2" s="1"/>
  <c r="O387" i="40"/>
  <c r="G10" i="2" s="1"/>
  <c r="O371" i="40"/>
  <c r="G9" i="2" s="1"/>
  <c r="O349" i="40"/>
  <c r="G8" i="2" s="1"/>
  <c r="O11" i="40"/>
  <c r="G5" i="2" s="1"/>
  <c r="O27" i="40"/>
  <c r="G6" i="2" s="1"/>
  <c r="V76" i="37"/>
  <c r="V77" i="37"/>
  <c r="V78" i="37"/>
  <c r="N79" i="37"/>
  <c r="V79" i="37"/>
  <c r="V80" i="37"/>
  <c r="N81" i="37"/>
  <c r="V81" i="37"/>
  <c r="V82" i="37"/>
  <c r="V83" i="37"/>
  <c r="V84" i="37"/>
  <c r="A76" i="37"/>
  <c r="A77" i="37"/>
  <c r="A78" i="37"/>
  <c r="A79" i="37"/>
  <c r="A80" i="37"/>
  <c r="A81" i="37"/>
  <c r="A82" i="37"/>
  <c r="A83" i="37"/>
  <c r="A84" i="37"/>
  <c r="V75" i="37"/>
  <c r="F180" i="40"/>
  <c r="F179" i="40"/>
  <c r="F178" i="40"/>
  <c r="F177" i="40"/>
  <c r="F176" i="40"/>
  <c r="AP176" i="40" s="1"/>
  <c r="AR176" i="40" s="1"/>
  <c r="F175" i="40"/>
  <c r="AP175" i="40" s="1"/>
  <c r="AR175" i="40" s="1"/>
  <c r="F174" i="40"/>
  <c r="AP174" i="40" s="1"/>
  <c r="AR174" i="40" s="1"/>
  <c r="F173" i="40"/>
  <c r="AP173" i="40" s="1"/>
  <c r="AR173" i="40" s="1"/>
  <c r="F172" i="40"/>
  <c r="AP172" i="40" s="1"/>
  <c r="AR172" i="40" s="1"/>
  <c r="N84" i="37"/>
  <c r="A15" i="10"/>
  <c r="A28" i="37"/>
  <c r="V2" i="26"/>
  <c r="F78" i="40"/>
  <c r="AP78" i="40" s="1"/>
  <c r="V20" i="40"/>
  <c r="AQ20" i="40" s="1"/>
  <c r="AR20" i="40" s="1"/>
  <c r="V6" i="37"/>
  <c r="V7" i="37"/>
  <c r="V8" i="37"/>
  <c r="V13" i="37"/>
  <c r="V14" i="37"/>
  <c r="V15" i="37"/>
  <c r="V16" i="37"/>
  <c r="V17" i="37"/>
  <c r="V19" i="37"/>
  <c r="V20" i="37"/>
  <c r="V21" i="37"/>
  <c r="V22" i="37"/>
  <c r="V23" i="37"/>
  <c r="V30" i="37"/>
  <c r="V31" i="37"/>
  <c r="V33" i="37"/>
  <c r="V35" i="37"/>
  <c r="V36" i="37"/>
  <c r="V39" i="37"/>
  <c r="V40" i="37"/>
  <c r="V42" i="37"/>
  <c r="V43" i="37"/>
  <c r="V44" i="37"/>
  <c r="V45" i="37"/>
  <c r="V46" i="37"/>
  <c r="V48" i="37"/>
  <c r="V50" i="37"/>
  <c r="V52" i="37"/>
  <c r="V53" i="37"/>
  <c r="V55" i="37"/>
  <c r="V56" i="37"/>
  <c r="V61" i="37"/>
  <c r="V63" i="37"/>
  <c r="V64" i="37"/>
  <c r="V65" i="37"/>
  <c r="V67" i="37"/>
  <c r="V68" i="37"/>
  <c r="V69" i="37"/>
  <c r="V70" i="37"/>
  <c r="V71" i="37"/>
  <c r="V72" i="37"/>
  <c r="O4" i="26"/>
  <c r="O5" i="26"/>
  <c r="O6" i="26"/>
  <c r="O7" i="26"/>
  <c r="O8" i="26"/>
  <c r="O9" i="26"/>
  <c r="O10" i="26"/>
  <c r="O11" i="26"/>
  <c r="O12" i="26"/>
  <c r="O13" i="26"/>
  <c r="O14" i="26"/>
  <c r="O15" i="26"/>
  <c r="O16" i="26"/>
  <c r="O17" i="26"/>
  <c r="O18" i="26"/>
  <c r="O19" i="26"/>
  <c r="O20" i="26"/>
  <c r="O21" i="26"/>
  <c r="O22" i="26"/>
  <c r="O23" i="26"/>
  <c r="O24" i="26"/>
  <c r="O25" i="26"/>
  <c r="O26" i="26"/>
  <c r="O27" i="26"/>
  <c r="O28" i="26"/>
  <c r="O29" i="26"/>
  <c r="O50" i="26"/>
  <c r="O51" i="26"/>
  <c r="O52" i="26"/>
  <c r="O53" i="26"/>
  <c r="V256" i="40"/>
  <c r="F36" i="40"/>
  <c r="AP36" i="40" s="1"/>
  <c r="F38" i="40"/>
  <c r="AP38" i="40" s="1"/>
  <c r="AR38" i="40" s="1"/>
  <c r="F48" i="40"/>
  <c r="AP48" i="40" s="1"/>
  <c r="F50" i="40"/>
  <c r="AP50" i="40" s="1"/>
  <c r="F52" i="40"/>
  <c r="AP52" i="40" s="1"/>
  <c r="F55" i="40"/>
  <c r="C25" i="46" s="1"/>
  <c r="F56" i="40"/>
  <c r="AP56" i="40" s="1"/>
  <c r="F60" i="40"/>
  <c r="AP60" i="40" s="1"/>
  <c r="F62" i="40"/>
  <c r="AP62" i="40" s="1"/>
  <c r="F64" i="40"/>
  <c r="AP64" i="40" s="1"/>
  <c r="F66" i="40"/>
  <c r="AP66" i="40" s="1"/>
  <c r="F68" i="40"/>
  <c r="AP68" i="40" s="1"/>
  <c r="F76" i="40"/>
  <c r="F82" i="40"/>
  <c r="AP82" i="40" s="1"/>
  <c r="F84" i="40"/>
  <c r="AP84" i="40" s="1"/>
  <c r="F88" i="40"/>
  <c r="AP88" i="40" s="1"/>
  <c r="F92" i="40"/>
  <c r="AP92" i="40" s="1"/>
  <c r="F94" i="40"/>
  <c r="AP94" i="40" s="1"/>
  <c r="F100" i="40"/>
  <c r="AP100" i="40" s="1"/>
  <c r="F102" i="40"/>
  <c r="AP102" i="40" s="1"/>
  <c r="F106" i="40"/>
  <c r="AP106" i="40" s="1"/>
  <c r="F108" i="40"/>
  <c r="AP108" i="40" s="1"/>
  <c r="F110" i="40"/>
  <c r="AP110" i="40" s="1"/>
  <c r="F112" i="40"/>
  <c r="AP112" i="40" s="1"/>
  <c r="F114" i="40"/>
  <c r="AP114" i="40" s="1"/>
  <c r="F118" i="40"/>
  <c r="AP118" i="40" s="1"/>
  <c r="F122" i="40"/>
  <c r="AP122" i="40" s="1"/>
  <c r="F126" i="40"/>
  <c r="AP126" i="40" s="1"/>
  <c r="F128" i="40"/>
  <c r="AP128" i="40" s="1"/>
  <c r="F132" i="40"/>
  <c r="AP132" i="40" s="1"/>
  <c r="F134" i="40"/>
  <c r="AP134" i="40" s="1"/>
  <c r="F144" i="40"/>
  <c r="AP144" i="40" s="1"/>
  <c r="F148" i="40"/>
  <c r="AP148" i="40" s="1"/>
  <c r="F150" i="40"/>
  <c r="AP150" i="40" s="1"/>
  <c r="F152" i="40"/>
  <c r="AP152" i="40" s="1"/>
  <c r="F156" i="40"/>
  <c r="AP156" i="40" s="1"/>
  <c r="F158" i="40"/>
  <c r="AP158" i="40" s="1"/>
  <c r="F160" i="40"/>
  <c r="F162" i="40"/>
  <c r="AP162" i="40" s="1"/>
  <c r="F164" i="40"/>
  <c r="AP164" i="40" s="1"/>
  <c r="F166" i="40"/>
  <c r="AP166" i="40" s="1"/>
  <c r="V255" i="40"/>
  <c r="V254" i="40"/>
  <c r="V253" i="40"/>
  <c r="V252" i="40"/>
  <c r="N48" i="37"/>
  <c r="N61" i="37"/>
  <c r="C6" i="4"/>
  <c r="V251" i="40"/>
  <c r="V270" i="40"/>
  <c r="AQ270" i="40" s="1"/>
  <c r="AR270" i="40" s="1"/>
  <c r="V278" i="40"/>
  <c r="AQ278" i="40" s="1"/>
  <c r="AR278" i="40" s="1"/>
  <c r="V279" i="40"/>
  <c r="AQ279" i="40" s="1"/>
  <c r="AR279" i="40" s="1"/>
  <c r="V280" i="40"/>
  <c r="AQ280" i="40" s="1"/>
  <c r="AR280" i="40" s="1"/>
  <c r="V281" i="40"/>
  <c r="AQ281" i="40" s="1"/>
  <c r="AR281" i="40" s="1"/>
  <c r="V282" i="40"/>
  <c r="AQ282" i="40" s="1"/>
  <c r="AR282" i="40" s="1"/>
  <c r="B34" i="40"/>
  <c r="B62" i="26"/>
  <c r="B60" i="26"/>
  <c r="G2" i="10"/>
  <c r="F2" i="10"/>
  <c r="A67" i="10"/>
  <c r="A64" i="10"/>
  <c r="A62" i="10"/>
  <c r="A61" i="10"/>
  <c r="A60" i="10"/>
  <c r="A59" i="10"/>
  <c r="A58" i="10"/>
  <c r="A57" i="10"/>
  <c r="A53" i="10"/>
  <c r="A51" i="10"/>
  <c r="A50" i="10"/>
  <c r="A49" i="10"/>
  <c r="A48" i="10"/>
  <c r="A47" i="10"/>
  <c r="A46" i="10"/>
  <c r="A42" i="10"/>
  <c r="A40" i="10"/>
  <c r="A39" i="10"/>
  <c r="A38" i="10"/>
  <c r="A36" i="10"/>
  <c r="A35" i="10"/>
  <c r="A17" i="10"/>
  <c r="A16" i="10"/>
  <c r="A14" i="10"/>
  <c r="A8" i="10"/>
  <c r="A6" i="10"/>
  <c r="A5" i="10"/>
  <c r="A2" i="10"/>
  <c r="D21" i="9"/>
  <c r="D15" i="9"/>
  <c r="F49" i="9"/>
  <c r="F50" i="9"/>
  <c r="F51" i="9"/>
  <c r="F52" i="9"/>
  <c r="F53" i="9"/>
  <c r="F62" i="9"/>
  <c r="F63" i="9"/>
  <c r="F48" i="9"/>
  <c r="D35" i="9"/>
  <c r="D36" i="9"/>
  <c r="D34" i="9"/>
  <c r="H63" i="9"/>
  <c r="H62" i="9"/>
  <c r="H53" i="9"/>
  <c r="H52" i="9"/>
  <c r="H51" i="9"/>
  <c r="H50" i="9"/>
  <c r="H49" i="9"/>
  <c r="H48" i="9"/>
  <c r="H35" i="9"/>
  <c r="H36" i="9"/>
  <c r="H34" i="9"/>
  <c r="H21" i="9"/>
  <c r="H15" i="9"/>
  <c r="H8" i="9"/>
  <c r="H10" i="9"/>
  <c r="H7" i="9"/>
  <c r="B69" i="9"/>
  <c r="B67" i="9"/>
  <c r="B66" i="9"/>
  <c r="B52" i="9"/>
  <c r="B51" i="9"/>
  <c r="B50" i="9"/>
  <c r="B49" i="9"/>
  <c r="B48" i="9"/>
  <c r="B46" i="9"/>
  <c r="B44" i="9"/>
  <c r="B42" i="9"/>
  <c r="B40" i="9"/>
  <c r="B39" i="9"/>
  <c r="B38" i="9"/>
  <c r="B36" i="9"/>
  <c r="B35" i="9"/>
  <c r="B34" i="9"/>
  <c r="B30" i="9"/>
  <c r="B29" i="9"/>
  <c r="B27" i="9"/>
  <c r="B25" i="9"/>
  <c r="B23" i="9"/>
  <c r="B21" i="9"/>
  <c r="B19" i="9"/>
  <c r="B18" i="9"/>
  <c r="B17" i="9"/>
  <c r="B15" i="9"/>
  <c r="B14" i="9"/>
  <c r="B13" i="9"/>
  <c r="B12" i="9"/>
  <c r="B10" i="9"/>
  <c r="B8" i="9"/>
  <c r="B7" i="9"/>
  <c r="B6" i="9"/>
  <c r="A2" i="9"/>
  <c r="B4" i="9"/>
  <c r="B55" i="26"/>
  <c r="P1" i="26"/>
  <c r="O1" i="26"/>
  <c r="N1" i="26"/>
  <c r="J1" i="26"/>
  <c r="S1" i="26"/>
  <c r="AA1" i="26"/>
  <c r="S2" i="26"/>
  <c r="D2" i="26"/>
  <c r="B3" i="26"/>
  <c r="AD375" i="40"/>
  <c r="V2" i="37"/>
  <c r="U2" i="37"/>
  <c r="R2" i="37"/>
  <c r="N2" i="37"/>
  <c r="M2" i="37"/>
  <c r="J2" i="37"/>
  <c r="X2" i="37"/>
  <c r="L2" i="37"/>
  <c r="K2" i="37"/>
  <c r="W2" i="37"/>
  <c r="N1" i="37"/>
  <c r="A1" i="37"/>
  <c r="B166" i="40"/>
  <c r="B164" i="40"/>
  <c r="B162" i="40"/>
  <c r="B160" i="40"/>
  <c r="B158" i="40"/>
  <c r="B156" i="40"/>
  <c r="B152" i="40"/>
  <c r="B150" i="40"/>
  <c r="B148" i="40"/>
  <c r="B144" i="40"/>
  <c r="B134" i="40"/>
  <c r="B132" i="40"/>
  <c r="B128" i="40"/>
  <c r="B126" i="40"/>
  <c r="B122" i="40"/>
  <c r="B118" i="40"/>
  <c r="B114" i="40"/>
  <c r="B112" i="40"/>
  <c r="B110" i="40"/>
  <c r="B108" i="40"/>
  <c r="B106" i="40"/>
  <c r="B102" i="40"/>
  <c r="B100" i="40"/>
  <c r="B94" i="40"/>
  <c r="B92" i="40"/>
  <c r="B88" i="40"/>
  <c r="B84" i="40"/>
  <c r="B82" i="40"/>
  <c r="B76" i="40"/>
  <c r="B68" i="40"/>
  <c r="B66" i="40"/>
  <c r="B64" i="40"/>
  <c r="B62" i="40"/>
  <c r="B60" i="40"/>
  <c r="B56" i="40"/>
  <c r="B54" i="40"/>
  <c r="B52" i="40"/>
  <c r="B50" i="40"/>
  <c r="B38" i="40"/>
  <c r="B36" i="40"/>
  <c r="K5" i="39"/>
  <c r="C5" i="39"/>
  <c r="B5" i="39"/>
  <c r="B464" i="40"/>
  <c r="B170" i="40"/>
  <c r="A4" i="37"/>
  <c r="A488" i="40"/>
  <c r="B486" i="40"/>
  <c r="B484" i="40"/>
  <c r="B483" i="40"/>
  <c r="B482" i="40"/>
  <c r="B481" i="40"/>
  <c r="B480" i="40"/>
  <c r="B479" i="40"/>
  <c r="B476" i="40"/>
  <c r="B473" i="40"/>
  <c r="B472" i="40"/>
  <c r="B471" i="40"/>
  <c r="B470" i="40"/>
  <c r="B469" i="40"/>
  <c r="B468" i="40"/>
  <c r="B467" i="40"/>
  <c r="B466" i="40"/>
  <c r="B465" i="40"/>
  <c r="B463" i="40"/>
  <c r="B462" i="40"/>
  <c r="B459" i="40"/>
  <c r="B457" i="40"/>
  <c r="B456" i="40"/>
  <c r="B455" i="40"/>
  <c r="B454" i="40"/>
  <c r="B451" i="40"/>
  <c r="B449" i="40"/>
  <c r="B448" i="40"/>
  <c r="B447" i="40"/>
  <c r="B446" i="40"/>
  <c r="B445" i="40"/>
  <c r="B444" i="40"/>
  <c r="B442" i="40"/>
  <c r="B441" i="40"/>
  <c r="B438" i="40"/>
  <c r="B433" i="40"/>
  <c r="B424" i="40"/>
  <c r="B419" i="40"/>
  <c r="B417" i="40"/>
  <c r="B416" i="40"/>
  <c r="B415" i="40"/>
  <c r="B409" i="40"/>
  <c r="B406" i="40"/>
  <c r="B404" i="40"/>
  <c r="B403" i="40"/>
  <c r="B402" i="40"/>
  <c r="B401" i="40"/>
  <c r="B400" i="40"/>
  <c r="B399" i="40"/>
  <c r="B398" i="40"/>
  <c r="B397" i="40"/>
  <c r="B395" i="40"/>
  <c r="B393" i="40"/>
  <c r="B392" i="40"/>
  <c r="B391" i="40"/>
  <c r="B390" i="40"/>
  <c r="B387" i="40"/>
  <c r="B385" i="40"/>
  <c r="B384" i="40"/>
  <c r="B382" i="40"/>
  <c r="B381" i="40"/>
  <c r="B380" i="40"/>
  <c r="B379" i="40"/>
  <c r="B378" i="40"/>
  <c r="B377" i="40"/>
  <c r="B376" i="40"/>
  <c r="B375" i="40"/>
  <c r="B374" i="40"/>
  <c r="B371" i="40"/>
  <c r="B369" i="40"/>
  <c r="B368" i="40"/>
  <c r="B363" i="40"/>
  <c r="B362" i="40"/>
  <c r="B360" i="40"/>
  <c r="B359" i="40"/>
  <c r="B358" i="40"/>
  <c r="B357" i="40"/>
  <c r="B356" i="40"/>
  <c r="B355" i="40"/>
  <c r="B354" i="40"/>
  <c r="B353" i="40"/>
  <c r="B352" i="40"/>
  <c r="B349" i="40"/>
  <c r="B347" i="40"/>
  <c r="B345" i="40"/>
  <c r="B344" i="40"/>
  <c r="B343" i="40"/>
  <c r="B342" i="40"/>
  <c r="B341" i="40"/>
  <c r="B339" i="40"/>
  <c r="B337" i="40"/>
  <c r="B336" i="40"/>
  <c r="B335" i="40"/>
  <c r="B333" i="40"/>
  <c r="B332" i="40"/>
  <c r="B331" i="40"/>
  <c r="B329" i="40"/>
  <c r="B326" i="40"/>
  <c r="B324" i="40"/>
  <c r="B272" i="40"/>
  <c r="B270" i="40"/>
  <c r="B266" i="40"/>
  <c r="B265" i="40"/>
  <c r="B264" i="40"/>
  <c r="B263" i="40"/>
  <c r="B261" i="40"/>
  <c r="B260" i="40"/>
  <c r="B259" i="40"/>
  <c r="B258" i="40"/>
  <c r="B257" i="40"/>
  <c r="B256" i="40"/>
  <c r="B255" i="40"/>
  <c r="B254" i="40"/>
  <c r="B253" i="40"/>
  <c r="B252" i="40"/>
  <c r="B251" i="40"/>
  <c r="B250" i="40"/>
  <c r="B248" i="40"/>
  <c r="B247" i="40"/>
  <c r="B245" i="40"/>
  <c r="B167" i="40"/>
  <c r="B165" i="40"/>
  <c r="B163" i="40"/>
  <c r="B161" i="40"/>
  <c r="B159" i="40"/>
  <c r="B157" i="40"/>
  <c r="B153" i="40"/>
  <c r="B151" i="40"/>
  <c r="B149" i="40"/>
  <c r="B145" i="40"/>
  <c r="B135" i="40"/>
  <c r="B133" i="40"/>
  <c r="B129" i="40"/>
  <c r="B127" i="40"/>
  <c r="B123" i="40"/>
  <c r="B119" i="40"/>
  <c r="B115" i="40"/>
  <c r="B113" i="40"/>
  <c r="B111" i="40"/>
  <c r="B109" i="40"/>
  <c r="B107" i="40"/>
  <c r="B103" i="40"/>
  <c r="B101" i="40"/>
  <c r="B95" i="40"/>
  <c r="B93" i="40"/>
  <c r="B89" i="40"/>
  <c r="B85" i="40"/>
  <c r="B83" i="40"/>
  <c r="B77" i="40"/>
  <c r="B69" i="40"/>
  <c r="B67" i="40"/>
  <c r="B65" i="40"/>
  <c r="B63" i="40"/>
  <c r="B61" i="40"/>
  <c r="B57" i="40"/>
  <c r="B53" i="40"/>
  <c r="B51" i="40"/>
  <c r="B39" i="40"/>
  <c r="B37" i="40"/>
  <c r="B35" i="40"/>
  <c r="B27" i="40"/>
  <c r="B11" i="40"/>
  <c r="B25" i="40"/>
  <c r="B24" i="40"/>
  <c r="B21" i="40"/>
  <c r="B20" i="40"/>
  <c r="B19" i="40"/>
  <c r="B18" i="40"/>
  <c r="B17" i="40"/>
  <c r="B16" i="40"/>
  <c r="B15" i="40"/>
  <c r="B14" i="40"/>
  <c r="B5" i="40"/>
  <c r="B4" i="40"/>
  <c r="D339" i="40"/>
  <c r="D261" i="40"/>
  <c r="D248" i="40"/>
  <c r="D247" i="40"/>
  <c r="F30" i="40"/>
  <c r="F31" i="40"/>
  <c r="E31" i="40"/>
  <c r="E30" i="40"/>
  <c r="V3" i="40"/>
  <c r="U3" i="40"/>
  <c r="T3" i="40"/>
  <c r="T2" i="40"/>
  <c r="M3" i="2"/>
  <c r="L2" i="2"/>
  <c r="A1" i="10"/>
  <c r="A1" i="9"/>
  <c r="B22" i="2"/>
  <c r="B21" i="2"/>
  <c r="B20" i="2"/>
  <c r="B19" i="2"/>
  <c r="B18" i="2"/>
  <c r="B17" i="2"/>
  <c r="B16" i="2"/>
  <c r="B15" i="2"/>
  <c r="B14" i="2"/>
  <c r="B13" i="2"/>
  <c r="B12" i="2"/>
  <c r="B11" i="2"/>
  <c r="B10" i="2"/>
  <c r="B9" i="2"/>
  <c r="B8" i="2"/>
  <c r="B7" i="2"/>
  <c r="B6" i="2"/>
  <c r="B5" i="2"/>
  <c r="A3" i="2"/>
  <c r="A34" i="22"/>
  <c r="B37" i="22"/>
  <c r="A43" i="22"/>
  <c r="A42" i="22"/>
  <c r="A41" i="22"/>
  <c r="A40" i="22"/>
  <c r="A39" i="22"/>
  <c r="A38" i="22"/>
  <c r="B31" i="22"/>
  <c r="B30" i="22"/>
  <c r="D27" i="22"/>
  <c r="D26" i="22"/>
  <c r="A35" i="22"/>
  <c r="A33" i="22"/>
  <c r="A27" i="22"/>
  <c r="A26" i="22"/>
  <c r="A23" i="22"/>
  <c r="D21" i="22"/>
  <c r="A21" i="22"/>
  <c r="A13" i="22"/>
  <c r="A15" i="22"/>
  <c r="A18" i="22"/>
  <c r="A19" i="22"/>
  <c r="V166" i="40"/>
  <c r="AQ166" i="40" s="1"/>
  <c r="V164" i="40"/>
  <c r="AQ164" i="40" s="1"/>
  <c r="V162" i="40"/>
  <c r="AQ162" i="40" s="1"/>
  <c r="V160" i="40"/>
  <c r="AQ160" i="40" s="1"/>
  <c r="V158" i="40"/>
  <c r="AQ158" i="40" s="1"/>
  <c r="V156" i="40"/>
  <c r="AQ156" i="40" s="1"/>
  <c r="V152" i="40"/>
  <c r="AQ152" i="40" s="1"/>
  <c r="V150" i="40"/>
  <c r="AQ150" i="40" s="1"/>
  <c r="V148" i="40"/>
  <c r="AQ148" i="40" s="1"/>
  <c r="V144" i="40"/>
  <c r="AQ144" i="40" s="1"/>
  <c r="V134" i="40"/>
  <c r="AQ134" i="40" s="1"/>
  <c r="V132" i="40"/>
  <c r="AQ132" i="40" s="1"/>
  <c r="V128" i="40"/>
  <c r="AQ128" i="40" s="1"/>
  <c r="V126" i="40"/>
  <c r="AQ126" i="40" s="1"/>
  <c r="V122" i="40"/>
  <c r="AQ122" i="40" s="1"/>
  <c r="V118" i="40"/>
  <c r="AQ118" i="40" s="1"/>
  <c r="V114" i="40"/>
  <c r="AQ114" i="40" s="1"/>
  <c r="V112" i="40"/>
  <c r="AQ112" i="40" s="1"/>
  <c r="V110" i="40"/>
  <c r="AQ110" i="40" s="1"/>
  <c r="V108" i="40"/>
  <c r="AQ108" i="40" s="1"/>
  <c r="V106" i="40"/>
  <c r="AQ106" i="40" s="1"/>
  <c r="V102" i="40"/>
  <c r="AQ102" i="40" s="1"/>
  <c r="V100" i="40"/>
  <c r="AQ100" i="40" s="1"/>
  <c r="V94" i="40"/>
  <c r="AQ94" i="40" s="1"/>
  <c r="V92" i="40"/>
  <c r="AQ92" i="40" s="1"/>
  <c r="V88" i="40"/>
  <c r="AQ88" i="40" s="1"/>
  <c r="V84" i="40"/>
  <c r="AQ84" i="40" s="1"/>
  <c r="V82" i="40"/>
  <c r="AQ82" i="40" s="1"/>
  <c r="V76" i="40"/>
  <c r="AQ76" i="40" s="1"/>
  <c r="V68" i="40"/>
  <c r="AQ68" i="40" s="1"/>
  <c r="V66" i="40"/>
  <c r="AQ66" i="40" s="1"/>
  <c r="V64" i="40"/>
  <c r="AQ64" i="40" s="1"/>
  <c r="V62" i="40"/>
  <c r="AQ62" i="40" s="1"/>
  <c r="V60" i="40"/>
  <c r="AQ60" i="40" s="1"/>
  <c r="V56" i="40"/>
  <c r="AQ56" i="40" s="1"/>
  <c r="V52" i="40"/>
  <c r="AQ52" i="40" s="1"/>
  <c r="V50" i="40"/>
  <c r="AQ50" i="40" s="1"/>
  <c r="V48" i="40"/>
  <c r="AQ48" i="40" s="1"/>
  <c r="V36" i="40"/>
  <c r="AQ36" i="40" s="1"/>
  <c r="V34" i="40"/>
  <c r="AQ34" i="40" s="1"/>
  <c r="V55" i="40"/>
  <c r="AQ55" i="40" s="1"/>
  <c r="F11" i="40"/>
  <c r="D5" i="2" s="1"/>
  <c r="F476" i="40"/>
  <c r="V463" i="40"/>
  <c r="AQ463" i="40" s="1"/>
  <c r="V465" i="40"/>
  <c r="AQ465" i="40" s="1"/>
  <c r="AR465" i="40" s="1"/>
  <c r="V466" i="40"/>
  <c r="AQ466" i="40" s="1"/>
  <c r="AR466" i="40" s="1"/>
  <c r="V467" i="40"/>
  <c r="AQ467" i="40" s="1"/>
  <c r="AR467" i="40" s="1"/>
  <c r="V468" i="40"/>
  <c r="AQ468" i="40" s="1"/>
  <c r="AR468" i="40" s="1"/>
  <c r="V470" i="40"/>
  <c r="AQ470" i="40" s="1"/>
  <c r="AR470" i="40" s="1"/>
  <c r="V471" i="40"/>
  <c r="AQ471" i="40" s="1"/>
  <c r="AR471" i="40" s="1"/>
  <c r="V472" i="40"/>
  <c r="AQ472" i="40" s="1"/>
  <c r="AR472" i="40" s="1"/>
  <c r="V473" i="40"/>
  <c r="AQ473" i="40" s="1"/>
  <c r="AR473" i="40" s="1"/>
  <c r="I7" i="9"/>
  <c r="G8" i="9"/>
  <c r="G10" i="9"/>
  <c r="I10" i="9" s="1"/>
  <c r="I34" i="9"/>
  <c r="V455" i="40"/>
  <c r="AQ455" i="40" s="1"/>
  <c r="V456" i="40"/>
  <c r="AQ456" i="40" s="1"/>
  <c r="V457" i="40"/>
  <c r="AQ457" i="40" s="1"/>
  <c r="F451" i="40"/>
  <c r="V442" i="40"/>
  <c r="AQ442" i="40" s="1"/>
  <c r="V444" i="40"/>
  <c r="AQ444" i="40" s="1"/>
  <c r="AR444" i="40" s="1"/>
  <c r="V445" i="40"/>
  <c r="AQ445" i="40" s="1"/>
  <c r="AR445" i="40" s="1"/>
  <c r="V446" i="40"/>
  <c r="AQ446" i="40" s="1"/>
  <c r="AR446" i="40" s="1"/>
  <c r="V447" i="40"/>
  <c r="AQ447" i="40" s="1"/>
  <c r="AR447" i="40" s="1"/>
  <c r="V448" i="40"/>
  <c r="AQ448" i="40" s="1"/>
  <c r="AR448" i="40" s="1"/>
  <c r="V449" i="40"/>
  <c r="AQ449" i="40" s="1"/>
  <c r="AR449" i="40" s="1"/>
  <c r="V410" i="40"/>
  <c r="AQ410" i="40" s="1"/>
  <c r="V414" i="40"/>
  <c r="AQ414" i="40" s="1"/>
  <c r="AR414" i="40" s="1"/>
  <c r="V415" i="40"/>
  <c r="AQ415" i="40" s="1"/>
  <c r="AR415" i="40" s="1"/>
  <c r="V416" i="40"/>
  <c r="AQ416" i="40" s="1"/>
  <c r="AR416" i="40" s="1"/>
  <c r="V417" i="40"/>
  <c r="AQ417" i="40" s="1"/>
  <c r="AR417" i="40" s="1"/>
  <c r="V419" i="40"/>
  <c r="AQ419" i="40" s="1"/>
  <c r="V424" i="40"/>
  <c r="AQ424" i="40" s="1"/>
  <c r="AR424" i="40" s="1"/>
  <c r="V433" i="40"/>
  <c r="AQ433" i="40" s="1"/>
  <c r="AR433" i="40" s="1"/>
  <c r="F391" i="40"/>
  <c r="AP391" i="40" s="1"/>
  <c r="F392" i="40"/>
  <c r="AP392" i="40" s="1"/>
  <c r="F393" i="40"/>
  <c r="AP393" i="40" s="1"/>
  <c r="F395" i="40"/>
  <c r="AP395" i="40" s="1"/>
  <c r="F398" i="40"/>
  <c r="AP398" i="40" s="1"/>
  <c r="F399" i="40"/>
  <c r="AP399" i="40" s="1"/>
  <c r="F400" i="40"/>
  <c r="AP400" i="40" s="1"/>
  <c r="F401" i="40"/>
  <c r="AP401" i="40" s="1"/>
  <c r="F402" i="40"/>
  <c r="AP402" i="40" s="1"/>
  <c r="F403" i="40"/>
  <c r="AP403" i="40" s="1"/>
  <c r="V391" i="40"/>
  <c r="AQ391" i="40" s="1"/>
  <c r="V392" i="40"/>
  <c r="AQ392" i="40" s="1"/>
  <c r="V393" i="40"/>
  <c r="AQ393" i="40" s="1"/>
  <c r="V395" i="40"/>
  <c r="AQ395" i="40" s="1"/>
  <c r="V398" i="40"/>
  <c r="AQ398" i="40" s="1"/>
  <c r="V399" i="40"/>
  <c r="AQ399" i="40" s="1"/>
  <c r="V400" i="40"/>
  <c r="AQ400" i="40" s="1"/>
  <c r="V401" i="40"/>
  <c r="AQ401" i="40" s="1"/>
  <c r="V402" i="40"/>
  <c r="AQ402" i="40" s="1"/>
  <c r="V403" i="40"/>
  <c r="AQ403" i="40" s="1"/>
  <c r="V404" i="40"/>
  <c r="AQ404" i="40" s="1"/>
  <c r="AR404" i="40" s="1"/>
  <c r="F376" i="40"/>
  <c r="AP376" i="40" s="1"/>
  <c r="H37" i="39"/>
  <c r="F377" i="40" s="1"/>
  <c r="AP377" i="40" s="1"/>
  <c r="F378" i="40"/>
  <c r="AP378" i="40" s="1"/>
  <c r="F380" i="40"/>
  <c r="AP380" i="40" s="1"/>
  <c r="I37" i="39"/>
  <c r="F384" i="40" s="1"/>
  <c r="AP384" i="40" s="1"/>
  <c r="V375" i="40"/>
  <c r="AQ375" i="40" s="1"/>
  <c r="V376" i="40"/>
  <c r="AQ376" i="40" s="1"/>
  <c r="V377" i="40"/>
  <c r="AQ377" i="40" s="1"/>
  <c r="V378" i="40"/>
  <c r="AQ378" i="40" s="1"/>
  <c r="V379" i="40"/>
  <c r="AQ379" i="40" s="1"/>
  <c r="AR379" i="40" s="1"/>
  <c r="V380" i="40"/>
  <c r="AQ380" i="40" s="1"/>
  <c r="V381" i="40"/>
  <c r="AQ381" i="40" s="1"/>
  <c r="AR381" i="40" s="1"/>
  <c r="V382" i="40"/>
  <c r="AQ382" i="40" s="1"/>
  <c r="AR382" i="40" s="1"/>
  <c r="V383" i="40"/>
  <c r="AQ383" i="40" s="1"/>
  <c r="V384" i="40"/>
  <c r="AQ384" i="40" s="1"/>
  <c r="V385" i="40"/>
  <c r="AQ385" i="40" s="1"/>
  <c r="AR385" i="40" s="1"/>
  <c r="F354" i="40"/>
  <c r="AP354" i="40" s="1"/>
  <c r="F355" i="40"/>
  <c r="AP355" i="40" s="1"/>
  <c r="F356" i="40"/>
  <c r="AP356" i="40" s="1"/>
  <c r="F357" i="40"/>
  <c r="AP357" i="40" s="1"/>
  <c r="F358" i="40"/>
  <c r="AP358" i="40" s="1"/>
  <c r="F359" i="40"/>
  <c r="AP359" i="40" s="1"/>
  <c r="F360" i="40"/>
  <c r="AP360" i="40" s="1"/>
  <c r="V360" i="40"/>
  <c r="AQ360" i="40" s="1"/>
  <c r="G37" i="39"/>
  <c r="F362" i="40" s="1"/>
  <c r="AP362" i="40" s="1"/>
  <c r="F363" i="40"/>
  <c r="AP363" i="40" s="1"/>
  <c r="D37" i="39"/>
  <c r="F368" i="40"/>
  <c r="AP368" i="40" s="1"/>
  <c r="V354" i="40"/>
  <c r="AQ354" i="40" s="1"/>
  <c r="AR354" i="40" s="1"/>
  <c r="V355" i="40"/>
  <c r="AQ355" i="40" s="1"/>
  <c r="V356" i="40"/>
  <c r="AQ356" i="40" s="1"/>
  <c r="V357" i="40"/>
  <c r="AQ357" i="40" s="1"/>
  <c r="V358" i="40"/>
  <c r="AQ358" i="40" s="1"/>
  <c r="V359" i="40"/>
  <c r="AQ359" i="40" s="1"/>
  <c r="V362" i="40"/>
  <c r="AQ362" i="40" s="1"/>
  <c r="AR362" i="40" s="1"/>
  <c r="V363" i="40"/>
  <c r="AQ363" i="40" s="1"/>
  <c r="AR363" i="40" s="1"/>
  <c r="V365" i="40"/>
  <c r="AQ365" i="40" s="1"/>
  <c r="V368" i="40"/>
  <c r="AQ368" i="40" s="1"/>
  <c r="AR368" i="40" s="1"/>
  <c r="V369" i="40"/>
  <c r="AQ369" i="40" s="1"/>
  <c r="AR369" i="40" s="1"/>
  <c r="F331" i="40"/>
  <c r="AP331" i="40" s="1"/>
  <c r="F332" i="40"/>
  <c r="AP332" i="40" s="1"/>
  <c r="F333" i="40"/>
  <c r="AP333" i="40" s="1"/>
  <c r="F336" i="40"/>
  <c r="AP336" i="40" s="1"/>
  <c r="F337" i="40"/>
  <c r="AP337" i="40" s="1"/>
  <c r="F339" i="40"/>
  <c r="AP339" i="40" s="1"/>
  <c r="F342" i="40"/>
  <c r="AP342" i="40" s="1"/>
  <c r="F343" i="40"/>
  <c r="AP343" i="40" s="1"/>
  <c r="F344" i="40"/>
  <c r="AP344" i="40" s="1"/>
  <c r="V331" i="40"/>
  <c r="AQ331" i="40" s="1"/>
  <c r="V332" i="40"/>
  <c r="AQ332" i="40" s="1"/>
  <c r="V333" i="40"/>
  <c r="AQ333" i="40" s="1"/>
  <c r="V336" i="40"/>
  <c r="AQ336" i="40" s="1"/>
  <c r="AR336" i="40" s="1"/>
  <c r="V337" i="40"/>
  <c r="AQ337" i="40" s="1"/>
  <c r="AR337" i="40" s="1"/>
  <c r="V339" i="40"/>
  <c r="AQ339" i="40" s="1"/>
  <c r="V342" i="40"/>
  <c r="AQ342" i="40" s="1"/>
  <c r="AR342" i="40" s="1"/>
  <c r="V343" i="40"/>
  <c r="AQ343" i="40" s="1"/>
  <c r="V344" i="40"/>
  <c r="AQ344" i="40" s="1"/>
  <c r="V345" i="40"/>
  <c r="AQ345" i="40" s="1"/>
  <c r="V347" i="40"/>
  <c r="AQ347" i="40" s="1"/>
  <c r="AR347" i="40" s="1"/>
  <c r="V15" i="40"/>
  <c r="AQ15" i="40" s="1"/>
  <c r="V16" i="40"/>
  <c r="AQ16" i="40" s="1"/>
  <c r="AR16" i="40" s="1"/>
  <c r="V17" i="40"/>
  <c r="AQ17" i="40" s="1"/>
  <c r="AR17" i="40" s="1"/>
  <c r="V18" i="40"/>
  <c r="AQ18" i="40" s="1"/>
  <c r="AR18" i="40" s="1"/>
  <c r="V19" i="40"/>
  <c r="AQ19" i="40" s="1"/>
  <c r="AR19" i="40" s="1"/>
  <c r="V21" i="40"/>
  <c r="AQ21" i="40" s="1"/>
  <c r="AR21" i="40" s="1"/>
  <c r="V22" i="40"/>
  <c r="AQ22" i="40" s="1"/>
  <c r="AR22" i="40" s="1"/>
  <c r="V23" i="40"/>
  <c r="AQ23" i="40" s="1"/>
  <c r="AR23" i="40" s="1"/>
  <c r="V24" i="40"/>
  <c r="AQ24" i="40" s="1"/>
  <c r="AR24" i="40" s="1"/>
  <c r="V25" i="40"/>
  <c r="AQ25" i="40" s="1"/>
  <c r="AR25" i="40" s="1"/>
  <c r="V5" i="40"/>
  <c r="AQ5" i="40" s="1"/>
  <c r="F486" i="40"/>
  <c r="V480" i="40"/>
  <c r="AQ480" i="40" s="1"/>
  <c r="V481" i="40"/>
  <c r="AQ481" i="40" s="1"/>
  <c r="AR481" i="40" s="1"/>
  <c r="V482" i="40"/>
  <c r="AQ482" i="40" s="1"/>
  <c r="AR482" i="40" s="1"/>
  <c r="V483" i="40"/>
  <c r="AQ483" i="40" s="1"/>
  <c r="AR483" i="40" s="1"/>
  <c r="V484" i="40"/>
  <c r="AQ484" i="40" s="1"/>
  <c r="AR484" i="40" s="1"/>
  <c r="V260" i="40"/>
  <c r="AQ260" i="40" s="1"/>
  <c r="AR260" i="40" s="1"/>
  <c r="V261" i="40"/>
  <c r="AQ261" i="40" s="1"/>
  <c r="T257" i="40"/>
  <c r="U257" i="40"/>
  <c r="V247" i="40"/>
  <c r="AQ247" i="40" s="1"/>
  <c r="V248" i="40"/>
  <c r="AQ248" i="40" s="1"/>
  <c r="U11" i="40"/>
  <c r="M5" i="2" s="1"/>
  <c r="U27" i="40"/>
  <c r="M6" i="2" s="1"/>
  <c r="U349" i="40"/>
  <c r="M8" i="2" s="1"/>
  <c r="U371" i="40"/>
  <c r="M9" i="2" s="1"/>
  <c r="U387" i="40"/>
  <c r="M10" i="2" s="1"/>
  <c r="U406" i="40"/>
  <c r="M11" i="2" s="1"/>
  <c r="U438" i="40"/>
  <c r="M12" i="2" s="1"/>
  <c r="U451" i="40"/>
  <c r="M13" i="2" s="1"/>
  <c r="U459" i="40"/>
  <c r="M14" i="2" s="1"/>
  <c r="U476" i="40"/>
  <c r="M15" i="2" s="1"/>
  <c r="U486" i="40"/>
  <c r="M16" i="2" s="1"/>
  <c r="T11" i="40"/>
  <c r="L5" i="2" s="1"/>
  <c r="T27" i="40"/>
  <c r="L6" i="2" s="1"/>
  <c r="T349" i="40"/>
  <c r="L8" i="2" s="1"/>
  <c r="T371" i="40"/>
  <c r="L9" i="2" s="1"/>
  <c r="T387" i="40"/>
  <c r="L10" i="2" s="1"/>
  <c r="T406" i="40"/>
  <c r="L11" i="2" s="1"/>
  <c r="T438" i="40"/>
  <c r="L12" i="2" s="1"/>
  <c r="T451" i="40"/>
  <c r="L13" i="2" s="1"/>
  <c r="T459" i="40"/>
  <c r="L14" i="2" s="1"/>
  <c r="T476" i="40"/>
  <c r="L15" i="2" s="1"/>
  <c r="T486" i="40"/>
  <c r="L16" i="2" s="1"/>
  <c r="Q2" i="2"/>
  <c r="I9" i="4"/>
  <c r="F248" i="40"/>
  <c r="AP248" i="40" s="1"/>
  <c r="AD27" i="40"/>
  <c r="V6" i="2" s="1"/>
  <c r="AD349" i="40"/>
  <c r="V8" i="2" s="1"/>
  <c r="D6" i="54" s="1"/>
  <c r="AD371" i="40"/>
  <c r="V9" i="2" s="1"/>
  <c r="D7" i="54" s="1"/>
  <c r="AD406" i="40"/>
  <c r="V11" i="2" s="1"/>
  <c r="D9" i="54" s="1"/>
  <c r="AD438" i="40"/>
  <c r="V12" i="2" s="1"/>
  <c r="D10" i="54" s="1"/>
  <c r="AD451" i="40"/>
  <c r="V13" i="2" s="1"/>
  <c r="D11" i="54" s="1"/>
  <c r="AD476" i="40"/>
  <c r="V15" i="2" s="1"/>
  <c r="AD486" i="40"/>
  <c r="V16" i="2" s="1"/>
  <c r="D14" i="54" s="1"/>
  <c r="Z5" i="2"/>
  <c r="AH27" i="40"/>
  <c r="Z6" i="2" s="1"/>
  <c r="E4" i="54" s="1"/>
  <c r="AH349" i="40"/>
  <c r="Z8" i="2" s="1"/>
  <c r="E6" i="54" s="1"/>
  <c r="AH371" i="40"/>
  <c r="Z9" i="2" s="1"/>
  <c r="E7" i="54" s="1"/>
  <c r="AH406" i="40"/>
  <c r="Z11" i="2" s="1"/>
  <c r="E9" i="54" s="1"/>
  <c r="AH438" i="40"/>
  <c r="Z12" i="2" s="1"/>
  <c r="E10" i="54" s="1"/>
  <c r="AH451" i="40"/>
  <c r="Z13" i="2" s="1"/>
  <c r="E11" i="54" s="1"/>
  <c r="AH476" i="40"/>
  <c r="Z15" i="2" s="1"/>
  <c r="E13" i="54" s="1"/>
  <c r="AH486" i="40"/>
  <c r="Z16" i="2" s="1"/>
  <c r="E14" i="54" s="1"/>
  <c r="AL27" i="40"/>
  <c r="AD6" i="2" s="1"/>
  <c r="F4" i="54" s="1"/>
  <c r="AL349" i="40"/>
  <c r="AD8" i="2" s="1"/>
  <c r="F6" i="54" s="1"/>
  <c r="AL371" i="40"/>
  <c r="AD9" i="2" s="1"/>
  <c r="F7" i="54" s="1"/>
  <c r="AL406" i="40"/>
  <c r="AD11" i="2" s="1"/>
  <c r="F9" i="54" s="1"/>
  <c r="AL438" i="40"/>
  <c r="AD12" i="2" s="1"/>
  <c r="F10" i="54" s="1"/>
  <c r="AL451" i="40"/>
  <c r="AD13" i="2" s="1"/>
  <c r="F11" i="54" s="1"/>
  <c r="AL476" i="40"/>
  <c r="AL486" i="40"/>
  <c r="AD16" i="2" s="1"/>
  <c r="I41" i="10"/>
  <c r="D5" i="4"/>
  <c r="I13" i="10"/>
  <c r="I29" i="10"/>
  <c r="I37" i="10"/>
  <c r="I38" i="10"/>
  <c r="I39" i="10"/>
  <c r="I42" i="10"/>
  <c r="K4" i="9"/>
  <c r="L4" i="9"/>
  <c r="M4" i="9"/>
  <c r="I15" i="9"/>
  <c r="I21" i="9"/>
  <c r="I48" i="9"/>
  <c r="I49" i="9"/>
  <c r="I50" i="9"/>
  <c r="I51" i="9"/>
  <c r="I52" i="9"/>
  <c r="I53" i="9"/>
  <c r="I62" i="9"/>
  <c r="I63" i="9"/>
  <c r="K69" i="9"/>
  <c r="AD457" i="40" s="1"/>
  <c r="L69" i="9"/>
  <c r="AH457" i="40" s="1"/>
  <c r="M69" i="9"/>
  <c r="AL457" i="40" s="1"/>
  <c r="W2" i="26"/>
  <c r="X2" i="26"/>
  <c r="Y2" i="26"/>
  <c r="AB2" i="26"/>
  <c r="AC2" i="26"/>
  <c r="M247" i="40"/>
  <c r="G5" i="26"/>
  <c r="G6" i="26"/>
  <c r="M6" i="26" s="1"/>
  <c r="G7" i="26"/>
  <c r="C216" i="53" s="1"/>
  <c r="G8" i="26"/>
  <c r="G9" i="26"/>
  <c r="G10" i="26"/>
  <c r="M10" i="26" s="1"/>
  <c r="G11" i="26"/>
  <c r="G12" i="26"/>
  <c r="G13" i="26"/>
  <c r="G14" i="26"/>
  <c r="G15" i="26"/>
  <c r="C224" i="53" s="1"/>
  <c r="G16" i="26"/>
  <c r="C225" i="53" s="1"/>
  <c r="G17" i="26"/>
  <c r="C226" i="53" s="1"/>
  <c r="G18" i="26"/>
  <c r="C227" i="53" s="1"/>
  <c r="G19" i="26"/>
  <c r="C228" i="53" s="1"/>
  <c r="G20" i="26"/>
  <c r="G21" i="26"/>
  <c r="C230" i="53" s="1"/>
  <c r="G22" i="26"/>
  <c r="C231" i="53" s="1"/>
  <c r="G23" i="26"/>
  <c r="C232" i="53" s="1"/>
  <c r="G24" i="26"/>
  <c r="C233" i="53" s="1"/>
  <c r="G25" i="26"/>
  <c r="C234" i="53" s="1"/>
  <c r="G26" i="26"/>
  <c r="C235" i="53" s="1"/>
  <c r="G27" i="26"/>
  <c r="C236" i="53" s="1"/>
  <c r="G28" i="26"/>
  <c r="G29" i="26"/>
  <c r="C238" i="53" s="1"/>
  <c r="G50" i="26"/>
  <c r="C259" i="53" s="1"/>
  <c r="G51" i="26"/>
  <c r="C260" i="53" s="1"/>
  <c r="G52" i="26"/>
  <c r="C261" i="53" s="1"/>
  <c r="G53" i="26"/>
  <c r="C262" i="53" s="1"/>
  <c r="D55" i="26"/>
  <c r="C247" i="40" s="1"/>
  <c r="I35" i="9"/>
  <c r="AD247" i="40"/>
  <c r="AH247" i="40"/>
  <c r="AL247" i="40"/>
  <c r="G59" i="26"/>
  <c r="C266" i="53" s="1"/>
  <c r="G60" i="26"/>
  <c r="C267" i="53" s="1"/>
  <c r="D62" i="26"/>
  <c r="I36" i="9" s="1"/>
  <c r="AH261" i="40"/>
  <c r="K23" i="9"/>
  <c r="AD455" i="40" s="1"/>
  <c r="L44" i="9"/>
  <c r="AH456" i="40" s="1"/>
  <c r="M23" i="9"/>
  <c r="AL455" i="40" s="1"/>
  <c r="A75" i="37"/>
  <c r="AD2" i="40"/>
  <c r="AH2" i="40"/>
  <c r="AL2" i="40"/>
  <c r="V3" i="2"/>
  <c r="Z3" i="2"/>
  <c r="AD3" i="2"/>
  <c r="L23" i="9"/>
  <c r="AH455" i="40" s="1"/>
  <c r="N83" i="37"/>
  <c r="N36" i="37"/>
  <c r="M44" i="9"/>
  <c r="AL456" i="40" s="1"/>
  <c r="K44" i="9"/>
  <c r="AD456" i="40" s="1"/>
  <c r="N82" i="37"/>
  <c r="N52" i="37"/>
  <c r="N45" i="37"/>
  <c r="F27" i="40"/>
  <c r="F34" i="40"/>
  <c r="AP34" i="40" s="1"/>
  <c r="N71" i="37"/>
  <c r="N70" i="37"/>
  <c r="N69" i="37"/>
  <c r="N67" i="37"/>
  <c r="N65" i="37"/>
  <c r="N64" i="37"/>
  <c r="N63" i="37"/>
  <c r="N56" i="37"/>
  <c r="N55" i="37"/>
  <c r="N53" i="37"/>
  <c r="N49" i="37"/>
  <c r="N46" i="37"/>
  <c r="N44" i="37"/>
  <c r="N42" i="37"/>
  <c r="N39" i="37"/>
  <c r="N35" i="37"/>
  <c r="N23" i="37"/>
  <c r="N22" i="37"/>
  <c r="N21" i="37"/>
  <c r="N20" i="37"/>
  <c r="N28" i="37"/>
  <c r="N29" i="37"/>
  <c r="N37" i="37"/>
  <c r="N38" i="37"/>
  <c r="N43" i="37"/>
  <c r="N59" i="37"/>
  <c r="AX123" i="40"/>
  <c r="I8" i="10"/>
  <c r="AU94" i="40"/>
  <c r="AX94" i="40"/>
  <c r="AW123" i="40"/>
  <c r="C261" i="40"/>
  <c r="AR339" i="40" l="1"/>
  <c r="AQ274" i="40"/>
  <c r="AR274" i="40" s="1"/>
  <c r="N32" i="52"/>
  <c r="AQ275" i="40"/>
  <c r="AR275" i="40" s="1"/>
  <c r="N31" i="52"/>
  <c r="AQ276" i="40"/>
  <c r="AR276" i="40" s="1"/>
  <c r="N33" i="52"/>
  <c r="AY63" i="40"/>
  <c r="AR346" i="40"/>
  <c r="J27" i="37"/>
  <c r="AP76" i="40"/>
  <c r="AR76" i="40" s="1"/>
  <c r="J69" i="37"/>
  <c r="AP160" i="40"/>
  <c r="AR160" i="40" s="1"/>
  <c r="AR331" i="40"/>
  <c r="AR32" i="40"/>
  <c r="AR56" i="40"/>
  <c r="AQ459" i="40"/>
  <c r="AR392" i="40"/>
  <c r="AP349" i="40"/>
  <c r="AR248" i="40"/>
  <c r="AP55" i="40"/>
  <c r="AR55" i="40" s="1"/>
  <c r="AP438" i="40"/>
  <c r="AR410" i="40"/>
  <c r="AQ476" i="40"/>
  <c r="AR476" i="40" s="1"/>
  <c r="AR463" i="40"/>
  <c r="AQ451" i="40"/>
  <c r="AR451" i="40" s="1"/>
  <c r="AR442" i="40"/>
  <c r="AP406" i="40"/>
  <c r="AR391" i="40"/>
  <c r="AR15" i="40"/>
  <c r="AQ27" i="40"/>
  <c r="AQ486" i="40"/>
  <c r="AR486" i="40" s="1"/>
  <c r="AR480" i="40"/>
  <c r="AR345" i="40"/>
  <c r="AR383" i="40"/>
  <c r="AR419" i="40"/>
  <c r="AR36" i="40"/>
  <c r="AR48" i="40"/>
  <c r="AR50" i="40"/>
  <c r="AR52" i="40"/>
  <c r="AR112" i="40"/>
  <c r="AR134" i="40"/>
  <c r="AR393" i="40"/>
  <c r="AR395" i="40"/>
  <c r="AR398" i="40"/>
  <c r="AR399" i="40"/>
  <c r="AR400" i="40"/>
  <c r="AR401" i="40"/>
  <c r="AR402" i="40"/>
  <c r="AR403" i="40"/>
  <c r="AR376" i="40"/>
  <c r="AR377" i="40"/>
  <c r="AR378" i="40"/>
  <c r="AR380" i="40"/>
  <c r="AR384" i="40"/>
  <c r="AR355" i="40"/>
  <c r="AR356" i="40"/>
  <c r="AR357" i="40"/>
  <c r="AR358" i="40"/>
  <c r="AR359" i="40"/>
  <c r="AR360" i="40"/>
  <c r="AR332" i="40"/>
  <c r="AR333" i="40"/>
  <c r="AR343" i="40"/>
  <c r="AR344" i="40"/>
  <c r="AR34" i="40"/>
  <c r="AQ11" i="40"/>
  <c r="AR11" i="40" s="1"/>
  <c r="AR5" i="40"/>
  <c r="AQ438" i="40"/>
  <c r="AQ406" i="40"/>
  <c r="AQ349" i="40"/>
  <c r="C269" i="53"/>
  <c r="N27" i="37"/>
  <c r="K27" i="37"/>
  <c r="L27" i="37" s="1"/>
  <c r="M27" i="37" s="1"/>
  <c r="W280" i="40"/>
  <c r="W474" i="40"/>
  <c r="W275" i="40"/>
  <c r="W283" i="40"/>
  <c r="W293" i="40"/>
  <c r="W482" i="40"/>
  <c r="W19" i="40"/>
  <c r="W416" i="40"/>
  <c r="W442" i="40"/>
  <c r="W472" i="40"/>
  <c r="W279" i="40"/>
  <c r="W274" i="40"/>
  <c r="W284" i="40"/>
  <c r="W278" i="40"/>
  <c r="W273" i="40"/>
  <c r="W265" i="40"/>
  <c r="W268" i="40"/>
  <c r="W285" i="40"/>
  <c r="W473" i="40"/>
  <c r="W480" i="40"/>
  <c r="W17" i="40"/>
  <c r="W382" i="40"/>
  <c r="W414" i="40"/>
  <c r="W470" i="40"/>
  <c r="W270" i="40"/>
  <c r="W266" i="40"/>
  <c r="W269" i="40"/>
  <c r="W286" i="40"/>
  <c r="W16" i="40"/>
  <c r="W381" i="40"/>
  <c r="W468" i="40"/>
  <c r="W435" i="40"/>
  <c r="W267" i="40"/>
  <c r="W287" i="40"/>
  <c r="W444" i="40"/>
  <c r="V11" i="40"/>
  <c r="W15" i="40"/>
  <c r="W449" i="40"/>
  <c r="W467" i="40"/>
  <c r="W20" i="40"/>
  <c r="W436" i="40"/>
  <c r="W288" i="40"/>
  <c r="W25" i="40"/>
  <c r="W369" i="40"/>
  <c r="W448" i="40"/>
  <c r="W443" i="40"/>
  <c r="W289" i="40"/>
  <c r="W18" i="40"/>
  <c r="W415" i="40"/>
  <c r="W471" i="40"/>
  <c r="W347" i="40"/>
  <c r="W379" i="40"/>
  <c r="W404" i="40"/>
  <c r="W24" i="40"/>
  <c r="W433" i="40"/>
  <c r="W447" i="40"/>
  <c r="W465" i="40"/>
  <c r="W290" i="40"/>
  <c r="W483" i="40"/>
  <c r="W417" i="40"/>
  <c r="W481" i="40"/>
  <c r="W260" i="40"/>
  <c r="W23" i="40"/>
  <c r="W463" i="40"/>
  <c r="W282" i="40"/>
  <c r="W277" i="40"/>
  <c r="W291" i="40"/>
  <c r="W21" i="40"/>
  <c r="W385" i="40"/>
  <c r="W484" i="40"/>
  <c r="W22" i="40"/>
  <c r="W445" i="40"/>
  <c r="W281" i="40"/>
  <c r="W276" i="40"/>
  <c r="W292" i="40"/>
  <c r="AP366" i="40"/>
  <c r="AR366" i="40" s="1"/>
  <c r="W366" i="40"/>
  <c r="P66" i="37"/>
  <c r="P26" i="37"/>
  <c r="P9" i="37"/>
  <c r="Q54" i="37"/>
  <c r="O10" i="37"/>
  <c r="Q66" i="37"/>
  <c r="Q26" i="37"/>
  <c r="Q51" i="37"/>
  <c r="O51" i="37"/>
  <c r="AY62" i="40"/>
  <c r="AY33" i="40"/>
  <c r="AX33" i="40" s="1"/>
  <c r="E14" i="45"/>
  <c r="G139" i="40"/>
  <c r="G137" i="40"/>
  <c r="G141" i="40"/>
  <c r="G140" i="40"/>
  <c r="G136" i="40"/>
  <c r="H136" i="40" s="1"/>
  <c r="G138" i="40"/>
  <c r="D4" i="54"/>
  <c r="E3" i="54"/>
  <c r="AY37" i="40"/>
  <c r="AW37" i="40" s="1"/>
  <c r="C81" i="53"/>
  <c r="AP177" i="40"/>
  <c r="AR177" i="40" s="1"/>
  <c r="C87" i="53"/>
  <c r="AP183" i="40"/>
  <c r="AR183" i="40" s="1"/>
  <c r="C92" i="53"/>
  <c r="AP188" i="40"/>
  <c r="AR188" i="40" s="1"/>
  <c r="C96" i="53"/>
  <c r="AP192" i="40"/>
  <c r="AR192" i="40" s="1"/>
  <c r="C98" i="53"/>
  <c r="AP194" i="40"/>
  <c r="AR194" i="40" s="1"/>
  <c r="C100" i="53"/>
  <c r="AP196" i="40"/>
  <c r="AR196" i="40" s="1"/>
  <c r="C82" i="53"/>
  <c r="AP178" i="40"/>
  <c r="AR178" i="40" s="1"/>
  <c r="C88" i="53"/>
  <c r="AP184" i="40"/>
  <c r="AR184" i="40" s="1"/>
  <c r="C93" i="53"/>
  <c r="AP189" i="40"/>
  <c r="AR189" i="40" s="1"/>
  <c r="D16" i="2"/>
  <c r="AI16" i="2" s="1"/>
  <c r="D13" i="2"/>
  <c r="C83" i="53"/>
  <c r="AP179" i="40"/>
  <c r="AR179" i="40" s="1"/>
  <c r="C85" i="53"/>
  <c r="AP181" i="40"/>
  <c r="AR181" i="40" s="1"/>
  <c r="C89" i="53"/>
  <c r="AP185" i="40"/>
  <c r="AR185" i="40" s="1"/>
  <c r="C94" i="53"/>
  <c r="AP190" i="40"/>
  <c r="AR190" i="40" s="1"/>
  <c r="C90" i="53"/>
  <c r="AP186" i="40"/>
  <c r="AR186" i="40" s="1"/>
  <c r="C97" i="53"/>
  <c r="AP193" i="40"/>
  <c r="AR193" i="40" s="1"/>
  <c r="C99" i="53"/>
  <c r="AP195" i="40"/>
  <c r="AR195" i="40" s="1"/>
  <c r="D6" i="2"/>
  <c r="AI6" i="2" s="1"/>
  <c r="AR27" i="40"/>
  <c r="D15" i="2"/>
  <c r="AD387" i="40"/>
  <c r="V10" i="2" s="1"/>
  <c r="D8" i="54" s="1"/>
  <c r="AP375" i="40"/>
  <c r="C84" i="53"/>
  <c r="AP180" i="40"/>
  <c r="AR180" i="40" s="1"/>
  <c r="C86" i="53"/>
  <c r="AP182" i="40"/>
  <c r="AR182" i="40" s="1"/>
  <c r="C91" i="53"/>
  <c r="AP187" i="40"/>
  <c r="AR187" i="40" s="1"/>
  <c r="C95" i="53"/>
  <c r="AP191" i="40"/>
  <c r="AR191" i="40" s="1"/>
  <c r="C229" i="53"/>
  <c r="L20" i="26"/>
  <c r="L28" i="26"/>
  <c r="C237" i="53"/>
  <c r="K33" i="26"/>
  <c r="P33" i="26" s="1"/>
  <c r="K39" i="26"/>
  <c r="P39" i="26" s="1"/>
  <c r="K40" i="26"/>
  <c r="P40" i="26" s="1"/>
  <c r="O20" i="2"/>
  <c r="O19" i="2"/>
  <c r="G161" i="40"/>
  <c r="G151" i="40"/>
  <c r="G163" i="40"/>
  <c r="G153" i="40"/>
  <c r="G159" i="40"/>
  <c r="G149" i="40"/>
  <c r="G95" i="40"/>
  <c r="G79" i="40"/>
  <c r="G113" i="40"/>
  <c r="G98" i="40"/>
  <c r="G114" i="40"/>
  <c r="G133" i="40"/>
  <c r="H133" i="40" s="1"/>
  <c r="G111" i="40"/>
  <c r="H111" i="40" s="1"/>
  <c r="G119" i="40"/>
  <c r="H119" i="40" s="1"/>
  <c r="G162" i="40"/>
  <c r="G158" i="40"/>
  <c r="H158" i="40" s="1"/>
  <c r="G152" i="40"/>
  <c r="G148" i="40"/>
  <c r="G160" i="40"/>
  <c r="H160" i="40" s="1"/>
  <c r="G150" i="40"/>
  <c r="G80" i="40"/>
  <c r="G50" i="40"/>
  <c r="G115" i="40"/>
  <c r="G108" i="40"/>
  <c r="H108" i="40" s="1"/>
  <c r="G106" i="40"/>
  <c r="H106" i="40" s="1"/>
  <c r="G78" i="40"/>
  <c r="G112" i="40"/>
  <c r="G48" i="40"/>
  <c r="G107" i="40"/>
  <c r="G109" i="40"/>
  <c r="G51" i="40"/>
  <c r="G67" i="40"/>
  <c r="G132" i="40"/>
  <c r="G118" i="40"/>
  <c r="G110" i="40"/>
  <c r="G47" i="40"/>
  <c r="G99" i="40"/>
  <c r="G84" i="40"/>
  <c r="G88" i="40"/>
  <c r="H88" i="40" s="1"/>
  <c r="G76" i="40"/>
  <c r="G102" i="40"/>
  <c r="G39" i="40"/>
  <c r="G81" i="40"/>
  <c r="G61" i="40"/>
  <c r="G89" i="40"/>
  <c r="H89" i="40" s="1"/>
  <c r="G77" i="40"/>
  <c r="G85" i="40"/>
  <c r="G49" i="40"/>
  <c r="G46" i="40"/>
  <c r="G60" i="40"/>
  <c r="G103" i="40"/>
  <c r="G38" i="40"/>
  <c r="C41" i="46"/>
  <c r="C29" i="54"/>
  <c r="C30" i="54"/>
  <c r="J76" i="37"/>
  <c r="N76" i="37" s="1"/>
  <c r="C76" i="53"/>
  <c r="J77" i="37"/>
  <c r="C77" i="53"/>
  <c r="C28" i="54"/>
  <c r="C31" i="54"/>
  <c r="J79" i="37"/>
  <c r="K79" i="37" s="1"/>
  <c r="C79" i="53"/>
  <c r="J80" i="37"/>
  <c r="C80" i="53"/>
  <c r="J78" i="37"/>
  <c r="N78" i="37" s="1"/>
  <c r="C78" i="53"/>
  <c r="M26" i="26"/>
  <c r="V147" i="37"/>
  <c r="AW35" i="40"/>
  <c r="AX36" i="40"/>
  <c r="M52" i="26"/>
  <c r="M24" i="26"/>
  <c r="N8" i="26"/>
  <c r="C217" i="53"/>
  <c r="L51" i="26"/>
  <c r="J23" i="26"/>
  <c r="N15" i="26"/>
  <c r="M50" i="26"/>
  <c r="M22" i="26"/>
  <c r="M14" i="26"/>
  <c r="C223" i="53"/>
  <c r="L6" i="26"/>
  <c r="C215" i="53"/>
  <c r="M29" i="26"/>
  <c r="J21" i="26"/>
  <c r="M13" i="26"/>
  <c r="C222" i="53"/>
  <c r="N5" i="26"/>
  <c r="C214" i="53"/>
  <c r="N28" i="26"/>
  <c r="J20" i="26"/>
  <c r="N12" i="26"/>
  <c r="C221" i="53"/>
  <c r="J27" i="26"/>
  <c r="J19" i="26"/>
  <c r="M11" i="26"/>
  <c r="C220" i="53"/>
  <c r="L18" i="26"/>
  <c r="N10" i="26"/>
  <c r="C219" i="53"/>
  <c r="L25" i="26"/>
  <c r="J17" i="26"/>
  <c r="M9" i="26"/>
  <c r="C218" i="53"/>
  <c r="N53" i="26"/>
  <c r="C213" i="53"/>
  <c r="C64" i="53"/>
  <c r="M150" i="40"/>
  <c r="L150" i="40"/>
  <c r="M118" i="40"/>
  <c r="L118" i="40"/>
  <c r="M94" i="40"/>
  <c r="L94" i="40"/>
  <c r="M64" i="40"/>
  <c r="L64" i="40"/>
  <c r="M38" i="40"/>
  <c r="L38" i="40"/>
  <c r="M120" i="40"/>
  <c r="L120" i="40"/>
  <c r="L148" i="40"/>
  <c r="M148" i="40"/>
  <c r="C46" i="53"/>
  <c r="M114" i="40"/>
  <c r="L114" i="40"/>
  <c r="M92" i="40"/>
  <c r="L92" i="40"/>
  <c r="M62" i="40"/>
  <c r="L62" i="40"/>
  <c r="M36" i="40"/>
  <c r="L36" i="40"/>
  <c r="M34" i="40"/>
  <c r="L34" i="40"/>
  <c r="M164" i="40"/>
  <c r="L164" i="40"/>
  <c r="M144" i="40"/>
  <c r="L144" i="40"/>
  <c r="M112" i="40"/>
  <c r="L112" i="40"/>
  <c r="C33" i="53"/>
  <c r="L88" i="40"/>
  <c r="M88" i="40"/>
  <c r="M60" i="40"/>
  <c r="L60" i="40"/>
  <c r="M140" i="40"/>
  <c r="L140" i="40"/>
  <c r="M162" i="40"/>
  <c r="L162" i="40"/>
  <c r="C56" i="53"/>
  <c r="M134" i="40"/>
  <c r="L134" i="40"/>
  <c r="C44" i="53"/>
  <c r="M110" i="40"/>
  <c r="L110" i="40"/>
  <c r="C31" i="53"/>
  <c r="M84" i="40"/>
  <c r="L84" i="40"/>
  <c r="L56" i="40"/>
  <c r="M56" i="40"/>
  <c r="M96" i="40"/>
  <c r="L96" i="40"/>
  <c r="C69" i="53"/>
  <c r="M160" i="40"/>
  <c r="L160" i="40"/>
  <c r="C55" i="53"/>
  <c r="M132" i="40"/>
  <c r="L132" i="40"/>
  <c r="C43" i="53"/>
  <c r="M108" i="40"/>
  <c r="L108" i="40"/>
  <c r="C30" i="53"/>
  <c r="M82" i="40"/>
  <c r="L82" i="40"/>
  <c r="L78" i="40"/>
  <c r="M78" i="40"/>
  <c r="M80" i="40"/>
  <c r="L80" i="40"/>
  <c r="L136" i="40"/>
  <c r="M136" i="40"/>
  <c r="M46" i="40"/>
  <c r="L46" i="40"/>
  <c r="M158" i="40"/>
  <c r="L158" i="40"/>
  <c r="M128" i="40"/>
  <c r="L128" i="40"/>
  <c r="C42" i="53"/>
  <c r="M106" i="40"/>
  <c r="L106" i="40"/>
  <c r="M76" i="40"/>
  <c r="L76" i="40"/>
  <c r="C15" i="53"/>
  <c r="M52" i="40"/>
  <c r="L52" i="40"/>
  <c r="M156" i="40"/>
  <c r="L156" i="40"/>
  <c r="M126" i="40"/>
  <c r="L126" i="40"/>
  <c r="M102" i="40"/>
  <c r="L102" i="40"/>
  <c r="M68" i="40"/>
  <c r="L68" i="40"/>
  <c r="C14" i="53"/>
  <c r="M50" i="40"/>
  <c r="L50" i="40"/>
  <c r="M152" i="40"/>
  <c r="L152" i="40"/>
  <c r="M122" i="40"/>
  <c r="L122" i="40"/>
  <c r="M100" i="40"/>
  <c r="L100" i="40"/>
  <c r="M66" i="40"/>
  <c r="L66" i="40"/>
  <c r="C13" i="53"/>
  <c r="M48" i="40"/>
  <c r="L48" i="40"/>
  <c r="L98" i="40"/>
  <c r="M98" i="40"/>
  <c r="M138" i="40"/>
  <c r="L138" i="40"/>
  <c r="M166" i="40"/>
  <c r="L166" i="40"/>
  <c r="C16" i="53"/>
  <c r="M55" i="40"/>
  <c r="L55" i="40"/>
  <c r="J28" i="37"/>
  <c r="K28" i="37" s="1"/>
  <c r="C28" i="53"/>
  <c r="L186" i="40"/>
  <c r="M186" i="40"/>
  <c r="AR156" i="40"/>
  <c r="C67" i="53"/>
  <c r="AR126" i="40"/>
  <c r="C52" i="53"/>
  <c r="AR102" i="40"/>
  <c r="C40" i="53"/>
  <c r="J23" i="37"/>
  <c r="K23" i="37" s="1"/>
  <c r="C23" i="53"/>
  <c r="J37" i="37"/>
  <c r="K37" i="37" s="1"/>
  <c r="C37" i="53"/>
  <c r="J59" i="37"/>
  <c r="K59" i="37" s="1"/>
  <c r="C59" i="53"/>
  <c r="C27" i="46"/>
  <c r="J6" i="37"/>
  <c r="K6" i="37" s="1"/>
  <c r="C6" i="53"/>
  <c r="J65" i="37"/>
  <c r="K65" i="37" s="1"/>
  <c r="L65" i="37" s="1"/>
  <c r="M65" i="37" s="1"/>
  <c r="T65" i="37" s="1"/>
  <c r="C65" i="53"/>
  <c r="AR122" i="40"/>
  <c r="C50" i="53"/>
  <c r="AR100" i="40"/>
  <c r="C39" i="53"/>
  <c r="AR66" i="40"/>
  <c r="C22" i="53"/>
  <c r="J29" i="37"/>
  <c r="K29" i="37" s="1"/>
  <c r="L29" i="37" s="1"/>
  <c r="C29" i="53"/>
  <c r="AR128" i="40"/>
  <c r="C53" i="53"/>
  <c r="J48" i="37"/>
  <c r="K48" i="37" s="1"/>
  <c r="C48" i="53"/>
  <c r="J36" i="37"/>
  <c r="K36" i="37" s="1"/>
  <c r="C36" i="53"/>
  <c r="J21" i="37"/>
  <c r="K21" i="37" s="1"/>
  <c r="L21" i="37" s="1"/>
  <c r="M21" i="37" s="1"/>
  <c r="C21" i="53"/>
  <c r="M32" i="40"/>
  <c r="L32" i="40"/>
  <c r="J57" i="37"/>
  <c r="C57" i="53"/>
  <c r="C28" i="46"/>
  <c r="C12" i="53"/>
  <c r="C27" i="53"/>
  <c r="AR166" i="40"/>
  <c r="C72" i="53"/>
  <c r="AR148" i="40"/>
  <c r="C63" i="53"/>
  <c r="AR92" i="40"/>
  <c r="C35" i="53"/>
  <c r="AR62" i="40"/>
  <c r="C20" i="53"/>
  <c r="C8" i="53"/>
  <c r="AR164" i="40"/>
  <c r="C71" i="53"/>
  <c r="J61" i="37"/>
  <c r="K61" i="37" s="1"/>
  <c r="C61" i="53"/>
  <c r="J45" i="37"/>
  <c r="K45" i="37" s="1"/>
  <c r="C45" i="53"/>
  <c r="J19" i="37"/>
  <c r="C19" i="53"/>
  <c r="C7" i="53"/>
  <c r="AR98" i="40"/>
  <c r="C38" i="53"/>
  <c r="J68" i="37"/>
  <c r="C68" i="53"/>
  <c r="AR162" i="40"/>
  <c r="C70" i="53"/>
  <c r="C17" i="53"/>
  <c r="J58" i="37"/>
  <c r="N58" i="37" s="1"/>
  <c r="C58" i="53"/>
  <c r="W424" i="40"/>
  <c r="AR120" i="40"/>
  <c r="C49" i="53"/>
  <c r="L11" i="26"/>
  <c r="N13" i="26"/>
  <c r="L19" i="26"/>
  <c r="J9" i="26"/>
  <c r="L14" i="26"/>
  <c r="J5" i="37"/>
  <c r="F245" i="40"/>
  <c r="AP245" i="40" s="1"/>
  <c r="C5" i="53"/>
  <c r="L171" i="40"/>
  <c r="M171" i="40"/>
  <c r="A150" i="53"/>
  <c r="A7" i="37"/>
  <c r="A7" i="53"/>
  <c r="A21" i="37"/>
  <c r="A21" i="53"/>
  <c r="A36" i="37"/>
  <c r="A36" i="53"/>
  <c r="A48" i="37"/>
  <c r="A48" i="53"/>
  <c r="A64" i="37"/>
  <c r="A64" i="53"/>
  <c r="A6" i="37"/>
  <c r="A6" i="53"/>
  <c r="L177" i="40"/>
  <c r="M177" i="40"/>
  <c r="A38" i="37"/>
  <c r="A38" i="53"/>
  <c r="A57" i="37"/>
  <c r="A57" i="53"/>
  <c r="J93" i="37"/>
  <c r="K93" i="37" s="1"/>
  <c r="L93" i="37" s="1"/>
  <c r="M93" i="37" s="1"/>
  <c r="L189" i="40"/>
  <c r="M189" i="40"/>
  <c r="A154" i="53"/>
  <c r="A8" i="37"/>
  <c r="A8" i="53"/>
  <c r="A22" i="37"/>
  <c r="A22" i="53"/>
  <c r="A39" i="37"/>
  <c r="A39" i="53"/>
  <c r="A50" i="37"/>
  <c r="A50" i="53"/>
  <c r="A65" i="37"/>
  <c r="A65" i="53"/>
  <c r="J82" i="37"/>
  <c r="K82" i="37" s="1"/>
  <c r="L82" i="37" s="1"/>
  <c r="M82" i="37" s="1"/>
  <c r="L178" i="40"/>
  <c r="M178" i="40"/>
  <c r="L181" i="40"/>
  <c r="M181" i="40"/>
  <c r="L190" i="40"/>
  <c r="M190" i="40"/>
  <c r="J97" i="37"/>
  <c r="L193" i="40"/>
  <c r="M193" i="40"/>
  <c r="A156" i="53"/>
  <c r="A14" i="37"/>
  <c r="A14" i="53"/>
  <c r="A23" i="37"/>
  <c r="A23" i="53"/>
  <c r="A40" i="37"/>
  <c r="A40" i="53"/>
  <c r="A52" i="37"/>
  <c r="A52" i="53"/>
  <c r="A67" i="37"/>
  <c r="A67" i="53"/>
  <c r="J83" i="37"/>
  <c r="K83" i="37" s="1"/>
  <c r="M179" i="40"/>
  <c r="L179" i="40"/>
  <c r="A49" i="37"/>
  <c r="A49" i="53"/>
  <c r="A12" i="37"/>
  <c r="A12" i="53"/>
  <c r="L182" i="40"/>
  <c r="M182" i="40"/>
  <c r="M191" i="40"/>
  <c r="L191" i="40"/>
  <c r="A15" i="37"/>
  <c r="A15" i="53"/>
  <c r="A27" i="37"/>
  <c r="A27" i="53"/>
  <c r="A42" i="37"/>
  <c r="A42" i="53"/>
  <c r="A53" i="37"/>
  <c r="A53" i="53"/>
  <c r="A68" i="37"/>
  <c r="A68" i="53"/>
  <c r="L172" i="40"/>
  <c r="M172" i="40"/>
  <c r="J84" i="37"/>
  <c r="K84" i="37" s="1"/>
  <c r="L84" i="37" s="1"/>
  <c r="M84" i="37" s="1"/>
  <c r="S84" i="37" s="1"/>
  <c r="L180" i="40"/>
  <c r="M180" i="40"/>
  <c r="A58" i="37"/>
  <c r="A58" i="53"/>
  <c r="L183" i="40"/>
  <c r="M183" i="40"/>
  <c r="L194" i="40"/>
  <c r="M194" i="40"/>
  <c r="A16" i="37"/>
  <c r="A16" i="53"/>
  <c r="A30" i="37"/>
  <c r="A30" i="53"/>
  <c r="A43" i="37"/>
  <c r="A43" i="53"/>
  <c r="A55" i="37"/>
  <c r="A55" i="53"/>
  <c r="A69" i="37"/>
  <c r="A69" i="53"/>
  <c r="L173" i="40"/>
  <c r="M173" i="40"/>
  <c r="A153" i="53"/>
  <c r="A13" i="37"/>
  <c r="A13" i="53"/>
  <c r="L184" i="40"/>
  <c r="M184" i="40"/>
  <c r="A17" i="37"/>
  <c r="A17" i="53"/>
  <c r="A31" i="37"/>
  <c r="A31" i="53"/>
  <c r="A44" i="37"/>
  <c r="A44" i="53"/>
  <c r="A56" i="37"/>
  <c r="A56" i="53"/>
  <c r="A70" i="37"/>
  <c r="A70" i="53"/>
  <c r="L174" i="40"/>
  <c r="M174" i="40"/>
  <c r="L185" i="40"/>
  <c r="M185" i="40"/>
  <c r="J99" i="37"/>
  <c r="M195" i="40"/>
  <c r="L195" i="40"/>
  <c r="A148" i="53"/>
  <c r="A19" i="37"/>
  <c r="A19" i="53"/>
  <c r="A33" i="37"/>
  <c r="A33" i="53"/>
  <c r="A45" i="37"/>
  <c r="A45" i="53"/>
  <c r="A61" i="37"/>
  <c r="A61" i="53"/>
  <c r="A71" i="37"/>
  <c r="A71" i="53"/>
  <c r="M175" i="40"/>
  <c r="L175" i="40"/>
  <c r="A152" i="53"/>
  <c r="A59" i="37"/>
  <c r="A59" i="53"/>
  <c r="M187" i="40"/>
  <c r="L187" i="40"/>
  <c r="A149" i="53"/>
  <c r="A74" i="37"/>
  <c r="A74" i="53"/>
  <c r="A20" i="37"/>
  <c r="A20" i="53"/>
  <c r="A35" i="37"/>
  <c r="A35" i="53"/>
  <c r="A46" i="37"/>
  <c r="A46" i="53"/>
  <c r="A63" i="37"/>
  <c r="A63" i="53"/>
  <c r="A72" i="37"/>
  <c r="A72" i="53"/>
  <c r="L176" i="40"/>
  <c r="M176" i="40"/>
  <c r="A5" i="37"/>
  <c r="A5" i="53"/>
  <c r="A151" i="53"/>
  <c r="L188" i="40"/>
  <c r="M188" i="40"/>
  <c r="L192" i="40"/>
  <c r="M192" i="40"/>
  <c r="L196" i="40"/>
  <c r="M196" i="40"/>
  <c r="J75" i="37"/>
  <c r="K75" i="37" s="1"/>
  <c r="C75" i="53"/>
  <c r="AR152" i="40"/>
  <c r="J5" i="26"/>
  <c r="AR140" i="40"/>
  <c r="M8" i="26"/>
  <c r="J12" i="26"/>
  <c r="N14" i="26"/>
  <c r="N11" i="26"/>
  <c r="M17" i="26"/>
  <c r="L4" i="26"/>
  <c r="M21" i="26"/>
  <c r="J28" i="26"/>
  <c r="N18" i="26"/>
  <c r="AR68" i="40"/>
  <c r="L8" i="26"/>
  <c r="J18" i="26"/>
  <c r="J6" i="26"/>
  <c r="J10" i="26"/>
  <c r="L12" i="26"/>
  <c r="J22" i="26"/>
  <c r="L9" i="26"/>
  <c r="J13" i="26"/>
  <c r="L17" i="26"/>
  <c r="L21" i="26"/>
  <c r="AW32" i="40"/>
  <c r="AW34" i="40"/>
  <c r="N9" i="26"/>
  <c r="M4" i="26"/>
  <c r="N20" i="26"/>
  <c r="J8" i="26"/>
  <c r="M18" i="26"/>
  <c r="N6" i="26"/>
  <c r="L10" i="26"/>
  <c r="M12" i="26"/>
  <c r="L22" i="26"/>
  <c r="J11" i="26"/>
  <c r="L13" i="26"/>
  <c r="M19" i="26"/>
  <c r="M27" i="26"/>
  <c r="W56" i="40"/>
  <c r="W66" i="40"/>
  <c r="W100" i="40"/>
  <c r="W122" i="40"/>
  <c r="W134" i="40"/>
  <c r="V324" i="40"/>
  <c r="AQ324" i="40" s="1"/>
  <c r="N22" i="26"/>
  <c r="J38" i="37"/>
  <c r="K38" i="37" s="1"/>
  <c r="L27" i="26"/>
  <c r="J14" i="26"/>
  <c r="N27" i="26"/>
  <c r="W140" i="40"/>
  <c r="L24" i="26"/>
  <c r="C38" i="46"/>
  <c r="J52" i="26"/>
  <c r="I8" i="9"/>
  <c r="L23" i="26"/>
  <c r="N24" i="26"/>
  <c r="O55" i="26"/>
  <c r="M23" i="26"/>
  <c r="N4" i="26"/>
  <c r="N52" i="26"/>
  <c r="N17" i="26"/>
  <c r="I69" i="9"/>
  <c r="F457" i="40" s="1"/>
  <c r="AP457" i="40" s="1"/>
  <c r="AR457" i="40" s="1"/>
  <c r="G55" i="26"/>
  <c r="F247" i="40" s="1"/>
  <c r="AP247" i="40" s="1"/>
  <c r="AR247" i="40" s="1"/>
  <c r="G62" i="26"/>
  <c r="F261" i="40" s="1"/>
  <c r="AP261" i="40" s="1"/>
  <c r="AR261" i="40" s="1"/>
  <c r="W48" i="40"/>
  <c r="M53" i="26"/>
  <c r="AR108" i="40"/>
  <c r="M20" i="26"/>
  <c r="L52" i="26"/>
  <c r="AR94" i="40"/>
  <c r="N19" i="26"/>
  <c r="N21" i="26"/>
  <c r="L53" i="26"/>
  <c r="J24" i="26"/>
  <c r="M28" i="26"/>
  <c r="N23" i="26"/>
  <c r="F365" i="40"/>
  <c r="W118" i="40"/>
  <c r="L27" i="40"/>
  <c r="E6" i="2" s="1"/>
  <c r="J16" i="37"/>
  <c r="K16" i="37" s="1"/>
  <c r="L16" i="37" s="1"/>
  <c r="M16" i="37" s="1"/>
  <c r="U16" i="37" s="1"/>
  <c r="C26" i="46"/>
  <c r="E55" i="46"/>
  <c r="J14" i="37"/>
  <c r="C29" i="46"/>
  <c r="J13" i="37"/>
  <c r="N13" i="37" s="1"/>
  <c r="C31" i="46"/>
  <c r="J15" i="37"/>
  <c r="C30" i="46"/>
  <c r="W92" i="40"/>
  <c r="W138" i="40"/>
  <c r="J35" i="37"/>
  <c r="K35" i="37" s="1"/>
  <c r="L35" i="37" s="1"/>
  <c r="M35" i="37" s="1"/>
  <c r="S35" i="37" s="1"/>
  <c r="W331" i="40"/>
  <c r="W362" i="40"/>
  <c r="W68" i="40"/>
  <c r="J7" i="37"/>
  <c r="AR78" i="40"/>
  <c r="W164" i="40"/>
  <c r="W375" i="40"/>
  <c r="W248" i="40"/>
  <c r="W363" i="40"/>
  <c r="W36" i="40"/>
  <c r="W78" i="40"/>
  <c r="W393" i="40"/>
  <c r="W60" i="40"/>
  <c r="W112" i="40"/>
  <c r="W102" i="40"/>
  <c r="W126" i="40"/>
  <c r="AR60" i="40"/>
  <c r="J40" i="37"/>
  <c r="W52" i="40"/>
  <c r="J52" i="37"/>
  <c r="K52" i="37" s="1"/>
  <c r="L52" i="37" s="1"/>
  <c r="W342" i="40"/>
  <c r="W359" i="40"/>
  <c r="W355" i="40"/>
  <c r="J70" i="37"/>
  <c r="K70" i="37" s="1"/>
  <c r="L70" i="37" s="1"/>
  <c r="M70" i="37" s="1"/>
  <c r="S70" i="37" s="1"/>
  <c r="W152" i="40"/>
  <c r="W162" i="40"/>
  <c r="J56" i="37"/>
  <c r="K56" i="37" s="1"/>
  <c r="W98" i="40"/>
  <c r="J50" i="37"/>
  <c r="AR138" i="40"/>
  <c r="AR84" i="40"/>
  <c r="W356" i="40"/>
  <c r="W96" i="40"/>
  <c r="AR136" i="40"/>
  <c r="J42" i="37"/>
  <c r="K42" i="37" s="1"/>
  <c r="W346" i="40"/>
  <c r="J53" i="37"/>
  <c r="K53" i="37" s="1"/>
  <c r="L53" i="37" s="1"/>
  <c r="M53" i="37" s="1"/>
  <c r="W378" i="40"/>
  <c r="W5" i="40"/>
  <c r="AR96" i="40"/>
  <c r="W120" i="40"/>
  <c r="W55" i="40"/>
  <c r="V349" i="40"/>
  <c r="N8" i="2" s="1"/>
  <c r="AJ8" i="2" s="1"/>
  <c r="W336" i="40"/>
  <c r="V371" i="40"/>
  <c r="N9" i="2" s="1"/>
  <c r="AJ9" i="2" s="1"/>
  <c r="W380" i="40"/>
  <c r="W82" i="40"/>
  <c r="J49" i="37"/>
  <c r="K49" i="37" s="1"/>
  <c r="L49" i="37" s="1"/>
  <c r="M49" i="37" s="1"/>
  <c r="W38" i="40"/>
  <c r="V387" i="40"/>
  <c r="N10" i="2" s="1"/>
  <c r="AJ10" i="2" s="1"/>
  <c r="J43" i="37"/>
  <c r="AR118" i="40"/>
  <c r="W399" i="40"/>
  <c r="W148" i="40"/>
  <c r="J31" i="37"/>
  <c r="J22" i="37"/>
  <c r="K22" i="37" s="1"/>
  <c r="L22" i="37" s="1"/>
  <c r="M22" i="37" s="1"/>
  <c r="R22" i="37" s="1"/>
  <c r="W84" i="40"/>
  <c r="W368" i="40"/>
  <c r="V459" i="40"/>
  <c r="N14" i="2" s="1"/>
  <c r="AJ14" i="2" s="1"/>
  <c r="AR82" i="40"/>
  <c r="J17" i="37"/>
  <c r="AR144" i="40"/>
  <c r="W419" i="40"/>
  <c r="W64" i="40"/>
  <c r="AR64" i="40"/>
  <c r="J39" i="37"/>
  <c r="J63" i="37"/>
  <c r="K63" i="37" s="1"/>
  <c r="W357" i="40"/>
  <c r="J30" i="37"/>
  <c r="J71" i="37"/>
  <c r="K71" i="37" s="1"/>
  <c r="J67" i="37"/>
  <c r="K67" i="37" s="1"/>
  <c r="J46" i="37"/>
  <c r="K46" i="37" s="1"/>
  <c r="W108" i="40"/>
  <c r="W345" i="40"/>
  <c r="W50" i="40"/>
  <c r="W114" i="40"/>
  <c r="W128" i="40"/>
  <c r="W144" i="40"/>
  <c r="W136" i="40"/>
  <c r="W392" i="40"/>
  <c r="AR106" i="40"/>
  <c r="W376" i="40"/>
  <c r="AR114" i="40"/>
  <c r="W156" i="40"/>
  <c r="W106" i="40"/>
  <c r="W343" i="40"/>
  <c r="T326" i="40"/>
  <c r="L7" i="2" s="1"/>
  <c r="W344" i="40"/>
  <c r="W337" i="40"/>
  <c r="W358" i="40"/>
  <c r="W402" i="40"/>
  <c r="W398" i="40"/>
  <c r="W94" i="40"/>
  <c r="W391" i="40"/>
  <c r="V406" i="40"/>
  <c r="N11" i="2" s="1"/>
  <c r="AJ11" i="2" s="1"/>
  <c r="J55" i="37"/>
  <c r="K55" i="37" s="1"/>
  <c r="W132" i="40"/>
  <c r="J33" i="37"/>
  <c r="W339" i="40"/>
  <c r="J29" i="26"/>
  <c r="N29" i="26"/>
  <c r="M15" i="26"/>
  <c r="J15" i="26"/>
  <c r="L15" i="26"/>
  <c r="W160" i="40"/>
  <c r="J72" i="37"/>
  <c r="W166" i="40"/>
  <c r="AR150" i="40"/>
  <c r="J64" i="37"/>
  <c r="K64" i="37" s="1"/>
  <c r="J44" i="37"/>
  <c r="K44" i="37" s="1"/>
  <c r="L44" i="37" s="1"/>
  <c r="AR110" i="40"/>
  <c r="W110" i="40"/>
  <c r="W186" i="40"/>
  <c r="J90" i="37"/>
  <c r="K90" i="37" s="1"/>
  <c r="L90" i="37" s="1"/>
  <c r="N16" i="26"/>
  <c r="L16" i="26"/>
  <c r="J16" i="26"/>
  <c r="M16" i="26"/>
  <c r="W150" i="40"/>
  <c r="J50" i="26"/>
  <c r="L50" i="26"/>
  <c r="N50" i="26"/>
  <c r="AD15" i="2"/>
  <c r="V476" i="40"/>
  <c r="W466" i="40"/>
  <c r="W410" i="40"/>
  <c r="F438" i="40"/>
  <c r="W88" i="40"/>
  <c r="AR88" i="40"/>
  <c r="W383" i="40"/>
  <c r="L29" i="26"/>
  <c r="V486" i="40"/>
  <c r="N16" i="2" s="1"/>
  <c r="AJ16" i="2" s="1"/>
  <c r="AR132" i="40"/>
  <c r="M7" i="26"/>
  <c r="J7" i="26"/>
  <c r="N7" i="26"/>
  <c r="L7" i="26"/>
  <c r="F349" i="40"/>
  <c r="W332" i="40"/>
  <c r="J51" i="26"/>
  <c r="N51" i="26"/>
  <c r="M51" i="26"/>
  <c r="J26" i="26"/>
  <c r="N26" i="26"/>
  <c r="L26" i="26"/>
  <c r="J25" i="26"/>
  <c r="N25" i="26"/>
  <c r="M25" i="26"/>
  <c r="L5" i="26"/>
  <c r="M5" i="26"/>
  <c r="C8" i="4"/>
  <c r="K16" i="26" s="1"/>
  <c r="I11" i="4"/>
  <c r="C9" i="4" s="1"/>
  <c r="Q108" i="37" s="1"/>
  <c r="W401" i="40"/>
  <c r="F406" i="40"/>
  <c r="W446" i="40"/>
  <c r="V451" i="40"/>
  <c r="W76" i="40"/>
  <c r="J20" i="37"/>
  <c r="K20" i="37" s="1"/>
  <c r="J8" i="37"/>
  <c r="AR80" i="40"/>
  <c r="W80" i="40"/>
  <c r="V257" i="40"/>
  <c r="AQ257" i="40" s="1"/>
  <c r="W354" i="40"/>
  <c r="W360" i="40"/>
  <c r="W395" i="40"/>
  <c r="W403" i="40"/>
  <c r="W333" i="40"/>
  <c r="W62" i="40"/>
  <c r="W46" i="40"/>
  <c r="J12" i="37"/>
  <c r="N12" i="37" s="1"/>
  <c r="J96" i="37"/>
  <c r="J98" i="37"/>
  <c r="J100" i="37"/>
  <c r="W171" i="40"/>
  <c r="M27" i="40"/>
  <c r="F6" i="2" s="1"/>
  <c r="X326" i="40"/>
  <c r="P7" i="2" s="1"/>
  <c r="P17" i="2" s="1"/>
  <c r="V438" i="40"/>
  <c r="N12" i="2" s="1"/>
  <c r="AJ12" i="2" s="1"/>
  <c r="Y326" i="40"/>
  <c r="Q7" i="2" s="1"/>
  <c r="W400" i="40"/>
  <c r="I29" i="9"/>
  <c r="W181" i="40"/>
  <c r="W196" i="40"/>
  <c r="W182" i="40"/>
  <c r="U326" i="40"/>
  <c r="M7" i="2" s="1"/>
  <c r="M17" i="2" s="1"/>
  <c r="W193" i="40"/>
  <c r="W176" i="40"/>
  <c r="W195" i="40"/>
  <c r="W178" i="40"/>
  <c r="W175" i="40"/>
  <c r="AL326" i="40"/>
  <c r="AD7" i="2" s="1"/>
  <c r="F5" i="54" s="1"/>
  <c r="J85" i="37"/>
  <c r="K85" i="37" s="1"/>
  <c r="W177" i="40"/>
  <c r="J94" i="37"/>
  <c r="J92" i="37"/>
  <c r="AH326" i="40"/>
  <c r="Z7" i="2" s="1"/>
  <c r="E5" i="54" s="1"/>
  <c r="W190" i="40"/>
  <c r="J95" i="37"/>
  <c r="K95" i="37" s="1"/>
  <c r="W185" i="40"/>
  <c r="W173" i="40"/>
  <c r="W194" i="40"/>
  <c r="W187" i="40"/>
  <c r="W179" i="40"/>
  <c r="W172" i="40"/>
  <c r="W180" i="40"/>
  <c r="W183" i="40"/>
  <c r="W184" i="40"/>
  <c r="J88" i="37"/>
  <c r="J91" i="37"/>
  <c r="K91" i="37" s="1"/>
  <c r="L91" i="37" s="1"/>
  <c r="W174" i="40"/>
  <c r="J87" i="37"/>
  <c r="N87" i="37" s="1"/>
  <c r="J89" i="37"/>
  <c r="K89" i="37" s="1"/>
  <c r="L89" i="37" s="1"/>
  <c r="M89" i="37" s="1"/>
  <c r="U89" i="37" s="1"/>
  <c r="W192" i="40"/>
  <c r="V245" i="40"/>
  <c r="AQ245" i="40" s="1"/>
  <c r="W191" i="40"/>
  <c r="W377" i="40"/>
  <c r="J81" i="37"/>
  <c r="W189" i="40"/>
  <c r="J86" i="37"/>
  <c r="AD5" i="2"/>
  <c r="W188" i="40"/>
  <c r="F387" i="40"/>
  <c r="AD459" i="40"/>
  <c r="V14" i="2" s="1"/>
  <c r="AH459" i="40"/>
  <c r="Z14" i="2" s="1"/>
  <c r="E12" i="54" s="1"/>
  <c r="AL459" i="40"/>
  <c r="AD14" i="2" s="1"/>
  <c r="F12" i="54" s="1"/>
  <c r="W384" i="40"/>
  <c r="AD326" i="40"/>
  <c r="V7" i="2" s="1"/>
  <c r="V27" i="40"/>
  <c r="I30" i="9"/>
  <c r="I40" i="10"/>
  <c r="I34" i="10" s="1"/>
  <c r="W32" i="40"/>
  <c r="I45" i="10"/>
  <c r="I56" i="10"/>
  <c r="E6" i="4"/>
  <c r="D6" i="4"/>
  <c r="N68" i="37"/>
  <c r="AR158" i="40"/>
  <c r="W158" i="40"/>
  <c r="W34" i="40"/>
  <c r="AX66" i="40"/>
  <c r="AX122" i="40"/>
  <c r="AU66" i="40"/>
  <c r="AW122" i="40"/>
  <c r="N35" i="52" l="1"/>
  <c r="N52" i="52" s="1"/>
  <c r="K69" i="37"/>
  <c r="L69" i="37"/>
  <c r="M69" i="37" s="1"/>
  <c r="N5" i="37"/>
  <c r="J147" i="37"/>
  <c r="K7" i="37"/>
  <c r="N7" i="37"/>
  <c r="AR349" i="40"/>
  <c r="K77" i="37"/>
  <c r="N77" i="37"/>
  <c r="AW139" i="40"/>
  <c r="H139" i="40"/>
  <c r="AW137" i="40"/>
  <c r="H137" i="40"/>
  <c r="AU141" i="40"/>
  <c r="H141" i="40"/>
  <c r="AU140" i="40"/>
  <c r="H140" i="40"/>
  <c r="AX138" i="40"/>
  <c r="H138" i="40"/>
  <c r="AX161" i="40"/>
  <c r="H161" i="40"/>
  <c r="AX151" i="40"/>
  <c r="H151" i="40"/>
  <c r="AX163" i="40"/>
  <c r="H163" i="40"/>
  <c r="AW153" i="40"/>
  <c r="H153" i="40"/>
  <c r="AW159" i="40"/>
  <c r="H159" i="40"/>
  <c r="AW149" i="40"/>
  <c r="H149" i="40"/>
  <c r="AX95" i="40"/>
  <c r="H95" i="40"/>
  <c r="AU79" i="40"/>
  <c r="H79" i="40"/>
  <c r="AW113" i="40"/>
  <c r="H113" i="40"/>
  <c r="AW98" i="40"/>
  <c r="H98" i="40"/>
  <c r="AU114" i="40"/>
  <c r="H114" i="40"/>
  <c r="AU162" i="40"/>
  <c r="H162" i="40"/>
  <c r="AU152" i="40"/>
  <c r="H152" i="40"/>
  <c r="AW148" i="40"/>
  <c r="H148" i="40"/>
  <c r="AW150" i="40"/>
  <c r="H150" i="40"/>
  <c r="AU80" i="40"/>
  <c r="H80" i="40"/>
  <c r="AU50" i="40"/>
  <c r="H50" i="40"/>
  <c r="AU115" i="40"/>
  <c r="H115" i="40"/>
  <c r="AU78" i="40"/>
  <c r="H78" i="40"/>
  <c r="AW112" i="40"/>
  <c r="H112" i="40"/>
  <c r="AX48" i="40"/>
  <c r="H48" i="40"/>
  <c r="AU107" i="40"/>
  <c r="H107" i="40"/>
  <c r="AW109" i="40"/>
  <c r="H109" i="40"/>
  <c r="AU51" i="40"/>
  <c r="H51" i="40"/>
  <c r="AU67" i="40"/>
  <c r="H67" i="40"/>
  <c r="AU132" i="40"/>
  <c r="H132" i="40"/>
  <c r="AU118" i="40"/>
  <c r="H118" i="40"/>
  <c r="AU110" i="40"/>
  <c r="H110" i="40"/>
  <c r="AW47" i="40"/>
  <c r="H47" i="40"/>
  <c r="AX99" i="40"/>
  <c r="H99" i="40"/>
  <c r="AX84" i="40"/>
  <c r="H84" i="40"/>
  <c r="AW76" i="40"/>
  <c r="H76" i="40"/>
  <c r="AW102" i="40"/>
  <c r="H102" i="40"/>
  <c r="AX39" i="40"/>
  <c r="H39" i="40"/>
  <c r="AX81" i="40"/>
  <c r="H81" i="40"/>
  <c r="AW61" i="40"/>
  <c r="H61" i="40"/>
  <c r="AX77" i="40"/>
  <c r="H77" i="40"/>
  <c r="AW85" i="40"/>
  <c r="H85" i="40"/>
  <c r="AU49" i="40"/>
  <c r="H49" i="40"/>
  <c r="AU46" i="40"/>
  <c r="H46" i="40"/>
  <c r="AW60" i="40"/>
  <c r="H60" i="40"/>
  <c r="AW103" i="40"/>
  <c r="H103" i="40"/>
  <c r="AU38" i="40"/>
  <c r="H38" i="40"/>
  <c r="AR245" i="40"/>
  <c r="AR438" i="40"/>
  <c r="AR406" i="40"/>
  <c r="AP387" i="40"/>
  <c r="AR375" i="40"/>
  <c r="AK16" i="2"/>
  <c r="AQ387" i="40"/>
  <c r="W11" i="40"/>
  <c r="N5" i="2"/>
  <c r="O11" i="37"/>
  <c r="O54" i="37"/>
  <c r="P105" i="37"/>
  <c r="K32" i="26"/>
  <c r="P32" i="26" s="1"/>
  <c r="O62" i="37"/>
  <c r="Q60" i="37"/>
  <c r="O41" i="37"/>
  <c r="P47" i="37"/>
  <c r="O26" i="37"/>
  <c r="W26" i="37" s="1"/>
  <c r="X26" i="37" s="1"/>
  <c r="O66" i="37"/>
  <c r="Q27" i="37"/>
  <c r="P60" i="37"/>
  <c r="Q59" i="37"/>
  <c r="Q34" i="37"/>
  <c r="O47" i="37"/>
  <c r="P51" i="37"/>
  <c r="P41" i="37"/>
  <c r="Q62" i="37"/>
  <c r="Q9" i="37"/>
  <c r="O34" i="37"/>
  <c r="P62" i="37"/>
  <c r="P54" i="37"/>
  <c r="W54" i="37" s="1"/>
  <c r="X54" i="37" s="1"/>
  <c r="Q11" i="37"/>
  <c r="O32" i="37"/>
  <c r="P10" i="37"/>
  <c r="K38" i="26"/>
  <c r="P38" i="26" s="1"/>
  <c r="O18" i="37"/>
  <c r="Q24" i="37"/>
  <c r="P18" i="37"/>
  <c r="K36" i="26"/>
  <c r="P36" i="26" s="1"/>
  <c r="Q47" i="37"/>
  <c r="Q41" i="37"/>
  <c r="P11" i="37"/>
  <c r="W11" i="37" s="1"/>
  <c r="X11" i="37" s="1"/>
  <c r="K23" i="26"/>
  <c r="K49" i="26"/>
  <c r="P49" i="26" s="1"/>
  <c r="O60" i="37"/>
  <c r="Q32" i="37"/>
  <c r="P34" i="37"/>
  <c r="O27" i="37"/>
  <c r="K17" i="26"/>
  <c r="P17" i="26" s="1"/>
  <c r="Q69" i="37"/>
  <c r="K48" i="26"/>
  <c r="P48" i="26" s="1"/>
  <c r="Q10" i="37"/>
  <c r="O24" i="37"/>
  <c r="P24" i="37"/>
  <c r="K45" i="26"/>
  <c r="P45" i="26" s="1"/>
  <c r="O9" i="37"/>
  <c r="W9" i="37" s="1"/>
  <c r="X9" i="37" s="1"/>
  <c r="O25" i="37"/>
  <c r="P25" i="37"/>
  <c r="P27" i="37"/>
  <c r="K13" i="26"/>
  <c r="P13" i="26" s="1"/>
  <c r="K44" i="26"/>
  <c r="P44" i="26" s="1"/>
  <c r="Q18" i="37"/>
  <c r="Q25" i="37"/>
  <c r="P32" i="37"/>
  <c r="U27" i="37"/>
  <c r="T27" i="37"/>
  <c r="R27" i="37"/>
  <c r="S27" i="37"/>
  <c r="K33" i="37"/>
  <c r="N33" i="37"/>
  <c r="K50" i="37"/>
  <c r="Q50" i="37" s="1"/>
  <c r="N50" i="37"/>
  <c r="W41" i="37"/>
  <c r="X41" i="37" s="1"/>
  <c r="V17" i="2"/>
  <c r="K30" i="37"/>
  <c r="L30" i="37" s="1"/>
  <c r="M30" i="37" s="1"/>
  <c r="S30" i="37" s="1"/>
  <c r="N30" i="37"/>
  <c r="AW33" i="40"/>
  <c r="AX37" i="40"/>
  <c r="K97" i="37"/>
  <c r="L97" i="37" s="1"/>
  <c r="M97" i="37" s="1"/>
  <c r="N97" i="37"/>
  <c r="K88" i="37"/>
  <c r="L88" i="37" s="1"/>
  <c r="M88" i="37" s="1"/>
  <c r="T88" i="37" s="1"/>
  <c r="N88" i="37"/>
  <c r="K80" i="37"/>
  <c r="N80" i="37"/>
  <c r="K31" i="37"/>
  <c r="L31" i="37" s="1"/>
  <c r="M31" i="37" s="1"/>
  <c r="N31" i="37"/>
  <c r="K40" i="37"/>
  <c r="N40" i="37"/>
  <c r="W62" i="37"/>
  <c r="X62" i="37" s="1"/>
  <c r="W24" i="37"/>
  <c r="X24" i="37" s="1"/>
  <c r="W66" i="37"/>
  <c r="X66" i="37" s="1"/>
  <c r="W47" i="37"/>
  <c r="X47" i="37" s="1"/>
  <c r="W51" i="37"/>
  <c r="X51" i="37" s="1"/>
  <c r="AU102" i="40"/>
  <c r="L17" i="2"/>
  <c r="L22" i="2" s="1"/>
  <c r="Z17" i="2"/>
  <c r="E15" i="54" s="1"/>
  <c r="AI5" i="2"/>
  <c r="AD17" i="2"/>
  <c r="F15" i="54" s="1"/>
  <c r="F14" i="54" s="1"/>
  <c r="P22" i="2"/>
  <c r="Q17" i="2"/>
  <c r="Q22" i="2" s="1"/>
  <c r="S53" i="37"/>
  <c r="K99" i="37"/>
  <c r="O99" i="37" s="1"/>
  <c r="N99" i="37"/>
  <c r="AI15" i="2"/>
  <c r="C47" i="46"/>
  <c r="AI13" i="2"/>
  <c r="N186" i="40"/>
  <c r="D11" i="2"/>
  <c r="AI11" i="2" s="1"/>
  <c r="AK11" i="2" s="1"/>
  <c r="F371" i="40"/>
  <c r="W371" i="40" s="1"/>
  <c r="AP365" i="40"/>
  <c r="N175" i="40"/>
  <c r="N194" i="40"/>
  <c r="N191" i="40"/>
  <c r="N178" i="40"/>
  <c r="W457" i="40"/>
  <c r="K19" i="37"/>
  <c r="L19" i="37" s="1"/>
  <c r="M19" i="37" s="1"/>
  <c r="R19" i="37" s="1"/>
  <c r="N19" i="37"/>
  <c r="N182" i="40"/>
  <c r="N193" i="40"/>
  <c r="N188" i="40"/>
  <c r="N173" i="40"/>
  <c r="N196" i="40"/>
  <c r="K76" i="37"/>
  <c r="L76" i="37" s="1"/>
  <c r="M76" i="37" s="1"/>
  <c r="N38" i="40"/>
  <c r="N166" i="40"/>
  <c r="N68" i="40"/>
  <c r="N126" i="40"/>
  <c r="N52" i="40"/>
  <c r="N128" i="40"/>
  <c r="N46" i="40"/>
  <c r="N80" i="40"/>
  <c r="N82" i="40"/>
  <c r="N96" i="40"/>
  <c r="N84" i="40"/>
  <c r="N144" i="40"/>
  <c r="N34" i="40"/>
  <c r="N62" i="40"/>
  <c r="N114" i="40"/>
  <c r="N94" i="40"/>
  <c r="N32" i="40"/>
  <c r="N138" i="40"/>
  <c r="N48" i="40"/>
  <c r="N102" i="40"/>
  <c r="N156" i="40"/>
  <c r="N158" i="40"/>
  <c r="N132" i="40"/>
  <c r="N134" i="40"/>
  <c r="N112" i="40"/>
  <c r="N164" i="40"/>
  <c r="N36" i="40"/>
  <c r="N92" i="40"/>
  <c r="N171" i="40"/>
  <c r="K34" i="26"/>
  <c r="P34" i="26" s="1"/>
  <c r="K47" i="26"/>
  <c r="P47" i="26" s="1"/>
  <c r="K43" i="26"/>
  <c r="P43" i="26" s="1"/>
  <c r="K37" i="26"/>
  <c r="P37" i="26" s="1"/>
  <c r="K30" i="26"/>
  <c r="P30" i="26" s="1"/>
  <c r="P68" i="37"/>
  <c r="K31" i="26"/>
  <c r="P31" i="26" s="1"/>
  <c r="K46" i="26"/>
  <c r="P46" i="26" s="1"/>
  <c r="K42" i="26"/>
  <c r="P42" i="26" s="1"/>
  <c r="K35" i="26"/>
  <c r="P35" i="26" s="1"/>
  <c r="K41" i="26"/>
  <c r="P41" i="26" s="1"/>
  <c r="N187" i="40"/>
  <c r="N179" i="40"/>
  <c r="N100" i="40"/>
  <c r="N152" i="40"/>
  <c r="N76" i="40"/>
  <c r="N108" i="40"/>
  <c r="N110" i="40"/>
  <c r="N140" i="40"/>
  <c r="N150" i="40"/>
  <c r="N172" i="40"/>
  <c r="N177" i="40"/>
  <c r="N136" i="40"/>
  <c r="N78" i="40"/>
  <c r="N56" i="40"/>
  <c r="N192" i="40"/>
  <c r="N176" i="40"/>
  <c r="N174" i="40"/>
  <c r="N183" i="40"/>
  <c r="N180" i="40"/>
  <c r="N181" i="40"/>
  <c r="N189" i="40"/>
  <c r="N88" i="40"/>
  <c r="N148" i="40"/>
  <c r="N195" i="40"/>
  <c r="N185" i="40"/>
  <c r="N184" i="40"/>
  <c r="N190" i="40"/>
  <c r="N98" i="40"/>
  <c r="N66" i="40"/>
  <c r="N122" i="40"/>
  <c r="N50" i="40"/>
  <c r="N106" i="40"/>
  <c r="N160" i="40"/>
  <c r="N162" i="40"/>
  <c r="N60" i="40"/>
  <c r="N120" i="40"/>
  <c r="N64" i="40"/>
  <c r="N118" i="40"/>
  <c r="N55" i="40"/>
  <c r="AW80" i="40"/>
  <c r="K68" i="37"/>
  <c r="L68" i="37" s="1"/>
  <c r="AX112" i="40"/>
  <c r="AX51" i="40"/>
  <c r="AU113" i="40"/>
  <c r="AX113" i="40"/>
  <c r="AW46" i="40"/>
  <c r="AW51" i="40"/>
  <c r="AX102" i="40"/>
  <c r="AX46" i="40"/>
  <c r="AU61" i="40"/>
  <c r="AW114" i="40"/>
  <c r="AX49" i="40"/>
  <c r="AW67" i="40"/>
  <c r="AX47" i="40"/>
  <c r="AX115" i="40"/>
  <c r="AU95" i="40"/>
  <c r="AX114" i="40"/>
  <c r="AW115" i="40"/>
  <c r="AW95" i="40"/>
  <c r="AX103" i="40"/>
  <c r="AU48" i="40"/>
  <c r="AW48" i="40"/>
  <c r="AX60" i="40"/>
  <c r="AU98" i="40"/>
  <c r="AX78" i="40"/>
  <c r="AX67" i="40"/>
  <c r="AU47" i="40"/>
  <c r="AU39" i="40"/>
  <c r="AX50" i="40"/>
  <c r="AW50" i="40"/>
  <c r="AX61" i="40"/>
  <c r="AW79" i="40"/>
  <c r="AW49" i="40"/>
  <c r="AX79" i="40"/>
  <c r="AU81" i="40"/>
  <c r="AW81" i="40"/>
  <c r="AX38" i="40"/>
  <c r="AX98" i="40"/>
  <c r="AU60" i="40"/>
  <c r="AU99" i="40"/>
  <c r="AW39" i="40"/>
  <c r="AW99" i="40"/>
  <c r="AU112" i="40"/>
  <c r="AW38" i="40"/>
  <c r="AU103" i="40"/>
  <c r="AW78" i="40"/>
  <c r="AX80" i="40"/>
  <c r="L48" i="37"/>
  <c r="M48" i="37" s="1"/>
  <c r="U48" i="37" s="1"/>
  <c r="M29" i="37"/>
  <c r="S29" i="37" s="1"/>
  <c r="R65" i="37"/>
  <c r="O16" i="2"/>
  <c r="F13" i="54"/>
  <c r="U65" i="37"/>
  <c r="S65" i="37"/>
  <c r="P29" i="37"/>
  <c r="O65" i="37"/>
  <c r="L45" i="37"/>
  <c r="M45" i="37" s="1"/>
  <c r="R45" i="37" s="1"/>
  <c r="W261" i="40"/>
  <c r="C34" i="54"/>
  <c r="L28" i="37"/>
  <c r="M28" i="37" s="1"/>
  <c r="U28" i="37" s="1"/>
  <c r="C33" i="54"/>
  <c r="P23" i="26"/>
  <c r="AX35" i="40"/>
  <c r="AW36" i="40"/>
  <c r="E256" i="40"/>
  <c r="W256" i="40" s="1"/>
  <c r="Q28" i="37"/>
  <c r="P125" i="37"/>
  <c r="P121" i="37"/>
  <c r="P129" i="37"/>
  <c r="P141" i="37"/>
  <c r="P133" i="37"/>
  <c r="P142" i="37"/>
  <c r="P117" i="37"/>
  <c r="P113" i="37"/>
  <c r="P119" i="37"/>
  <c r="O110" i="37"/>
  <c r="Q114" i="37"/>
  <c r="O127" i="37"/>
  <c r="O135" i="37"/>
  <c r="Q121" i="37"/>
  <c r="O111" i="37"/>
  <c r="Q123" i="37"/>
  <c r="O130" i="37"/>
  <c r="Q115" i="37"/>
  <c r="O145" i="37"/>
  <c r="O112" i="37"/>
  <c r="Q144" i="37"/>
  <c r="Q119" i="37"/>
  <c r="Q142" i="37"/>
  <c r="O137" i="37"/>
  <c r="O134" i="37"/>
  <c r="Q136" i="37"/>
  <c r="Q132" i="37"/>
  <c r="O113" i="37"/>
  <c r="Q83" i="37"/>
  <c r="P109" i="37"/>
  <c r="P112" i="37"/>
  <c r="P131" i="37"/>
  <c r="P144" i="37"/>
  <c r="P137" i="37"/>
  <c r="P120" i="37"/>
  <c r="P134" i="37"/>
  <c r="P130" i="37"/>
  <c r="P138" i="37"/>
  <c r="P123" i="37"/>
  <c r="Q109" i="37"/>
  <c r="Q133" i="37"/>
  <c r="Q116" i="37"/>
  <c r="Q112" i="37"/>
  <c r="Q122" i="37"/>
  <c r="Q141" i="37"/>
  <c r="Q138" i="37"/>
  <c r="Q134" i="37"/>
  <c r="O123" i="37"/>
  <c r="Q126" i="37"/>
  <c r="Q139" i="37"/>
  <c r="Q143" i="37"/>
  <c r="O132" i="37"/>
  <c r="Q130" i="37"/>
  <c r="Q124" i="37"/>
  <c r="O140" i="37"/>
  <c r="Q137" i="37"/>
  <c r="Q117" i="37"/>
  <c r="N145" i="37"/>
  <c r="P110" i="37"/>
  <c r="P111" i="37"/>
  <c r="P136" i="37"/>
  <c r="P116" i="37"/>
  <c r="P143" i="37"/>
  <c r="P135" i="37"/>
  <c r="P124" i="37"/>
  <c r="P139" i="37"/>
  <c r="P122" i="37"/>
  <c r="O109" i="37"/>
  <c r="O141" i="37"/>
  <c r="O126" i="37"/>
  <c r="O133" i="37"/>
  <c r="O144" i="37"/>
  <c r="O124" i="37"/>
  <c r="Q128" i="37"/>
  <c r="Q140" i="37"/>
  <c r="Q118" i="37"/>
  <c r="Q131" i="37"/>
  <c r="O121" i="37"/>
  <c r="Q111" i="37"/>
  <c r="O138" i="37"/>
  <c r="Q129" i="37"/>
  <c r="Q145" i="37"/>
  <c r="O120" i="37"/>
  <c r="O125" i="37"/>
  <c r="O118" i="37"/>
  <c r="O42" i="37"/>
  <c r="P118" i="37"/>
  <c r="P140" i="37"/>
  <c r="P126" i="37"/>
  <c r="P145" i="37"/>
  <c r="P132" i="37"/>
  <c r="P114" i="37"/>
  <c r="P127" i="37"/>
  <c r="P128" i="37"/>
  <c r="P115" i="37"/>
  <c r="Q110" i="37"/>
  <c r="O116" i="37"/>
  <c r="O117" i="37"/>
  <c r="O131" i="37"/>
  <c r="O139" i="37"/>
  <c r="O143" i="37"/>
  <c r="O115" i="37"/>
  <c r="O142" i="37"/>
  <c r="Q120" i="37"/>
  <c r="Q113" i="37"/>
  <c r="Q135" i="37"/>
  <c r="O122" i="37"/>
  <c r="Q125" i="37"/>
  <c r="O128" i="37"/>
  <c r="O136" i="37"/>
  <c r="O114" i="37"/>
  <c r="O129" i="37"/>
  <c r="O119" i="37"/>
  <c r="Q127" i="37"/>
  <c r="C264" i="53"/>
  <c r="L61" i="37"/>
  <c r="M61" i="37" s="1"/>
  <c r="T61" i="37" s="1"/>
  <c r="L36" i="37"/>
  <c r="M36" i="37" s="1"/>
  <c r="R36" i="37" s="1"/>
  <c r="K58" i="37"/>
  <c r="L58" i="37" s="1"/>
  <c r="M58" i="37" s="1"/>
  <c r="T58" i="37" s="1"/>
  <c r="K57" i="37"/>
  <c r="L57" i="37" s="1"/>
  <c r="M57" i="37" s="1"/>
  <c r="N57" i="37"/>
  <c r="P57" i="37"/>
  <c r="K17" i="37"/>
  <c r="O17" i="37" s="1"/>
  <c r="N17" i="37"/>
  <c r="K72" i="37"/>
  <c r="O72" i="37" s="1"/>
  <c r="N72" i="37"/>
  <c r="L23" i="37"/>
  <c r="M23" i="37" s="1"/>
  <c r="U23" i="37" s="1"/>
  <c r="L59" i="37"/>
  <c r="M59" i="37" s="1"/>
  <c r="R59" i="37" s="1"/>
  <c r="P19" i="37"/>
  <c r="L83" i="37"/>
  <c r="M83" i="37" s="1"/>
  <c r="R83" i="37" s="1"/>
  <c r="W247" i="40"/>
  <c r="P83" i="37"/>
  <c r="L75" i="37"/>
  <c r="M75" i="37" s="1"/>
  <c r="S75" i="37" s="1"/>
  <c r="L38" i="37"/>
  <c r="M38" i="37" s="1"/>
  <c r="S38" i="37" s="1"/>
  <c r="K92" i="37"/>
  <c r="L92" i="37" s="1"/>
  <c r="M92" i="37" s="1"/>
  <c r="R92" i="37" s="1"/>
  <c r="N92" i="37"/>
  <c r="U84" i="37"/>
  <c r="T84" i="37"/>
  <c r="R84" i="37"/>
  <c r="M245" i="40"/>
  <c r="L245" i="40"/>
  <c r="N75" i="37"/>
  <c r="P42" i="37"/>
  <c r="Q75" i="37"/>
  <c r="O104" i="37"/>
  <c r="D11" i="4"/>
  <c r="O75" i="37"/>
  <c r="Q61" i="37"/>
  <c r="O23" i="37"/>
  <c r="AX34" i="40"/>
  <c r="K10" i="26"/>
  <c r="P10" i="26" s="1"/>
  <c r="P80" i="37"/>
  <c r="K19" i="26"/>
  <c r="P19" i="26" s="1"/>
  <c r="O83" i="37"/>
  <c r="Q23" i="37"/>
  <c r="O59" i="37"/>
  <c r="Q35" i="37"/>
  <c r="O61" i="37"/>
  <c r="O103" i="37"/>
  <c r="AX32" i="40"/>
  <c r="Q45" i="37"/>
  <c r="O36" i="37"/>
  <c r="O29" i="37"/>
  <c r="O48" i="37"/>
  <c r="O102" i="37"/>
  <c r="L247" i="40"/>
  <c r="AX140" i="40"/>
  <c r="P15" i="37"/>
  <c r="Q85" i="37"/>
  <c r="Q101" i="37"/>
  <c r="Q20" i="37"/>
  <c r="W349" i="40"/>
  <c r="C11" i="4"/>
  <c r="Q36" i="37"/>
  <c r="Q79" i="37"/>
  <c r="Q67" i="37"/>
  <c r="Q48" i="37"/>
  <c r="O84" i="37"/>
  <c r="O37" i="37"/>
  <c r="Q104" i="37"/>
  <c r="Q84" i="37"/>
  <c r="Q103" i="37"/>
  <c r="Q105" i="37"/>
  <c r="Q102" i="37"/>
  <c r="E11" i="4"/>
  <c r="Q29" i="37"/>
  <c r="Q95" i="37"/>
  <c r="O101" i="37"/>
  <c r="Q65" i="37"/>
  <c r="O45" i="37"/>
  <c r="O28" i="37"/>
  <c r="O69" i="37"/>
  <c r="O38" i="37"/>
  <c r="O105" i="37"/>
  <c r="P75" i="37"/>
  <c r="P45" i="37"/>
  <c r="K21" i="26"/>
  <c r="P21" i="26" s="1"/>
  <c r="P67" i="37"/>
  <c r="P38" i="37"/>
  <c r="K8" i="26"/>
  <c r="P8" i="26" s="1"/>
  <c r="P58" i="37"/>
  <c r="P59" i="37"/>
  <c r="P53" i="37"/>
  <c r="P23" i="37"/>
  <c r="P99" i="37"/>
  <c r="P97" i="37"/>
  <c r="P104" i="37"/>
  <c r="P101" i="37"/>
  <c r="K26" i="26"/>
  <c r="P26" i="26" s="1"/>
  <c r="K24" i="26"/>
  <c r="P24" i="26" s="1"/>
  <c r="P36" i="37"/>
  <c r="K11" i="26"/>
  <c r="P11" i="26" s="1"/>
  <c r="P48" i="37"/>
  <c r="K25" i="26"/>
  <c r="P25" i="26" s="1"/>
  <c r="K12" i="26"/>
  <c r="P12" i="26" s="1"/>
  <c r="P28" i="37"/>
  <c r="P65" i="37"/>
  <c r="K50" i="26"/>
  <c r="P50" i="26" s="1"/>
  <c r="K51" i="26"/>
  <c r="P51" i="26" s="1"/>
  <c r="K9" i="26"/>
  <c r="P9" i="26" s="1"/>
  <c r="P82" i="37"/>
  <c r="P87" i="37"/>
  <c r="P102" i="37"/>
  <c r="W365" i="40"/>
  <c r="L55" i="26"/>
  <c r="P55" i="37"/>
  <c r="L7" i="37"/>
  <c r="M7" i="37" s="1"/>
  <c r="K6" i="26"/>
  <c r="P6" i="26" s="1"/>
  <c r="P61" i="37"/>
  <c r="P93" i="37"/>
  <c r="P69" i="37"/>
  <c r="K14" i="26"/>
  <c r="P14" i="26" s="1"/>
  <c r="K22" i="26"/>
  <c r="P22" i="26" s="1"/>
  <c r="P84" i="37"/>
  <c r="P21" i="37"/>
  <c r="K27" i="26"/>
  <c r="P27" i="26" s="1"/>
  <c r="K15" i="26"/>
  <c r="P15" i="26" s="1"/>
  <c r="K28" i="26"/>
  <c r="P28" i="26" s="1"/>
  <c r="K5" i="26"/>
  <c r="P5" i="26" s="1"/>
  <c r="P94" i="37"/>
  <c r="P103" i="37"/>
  <c r="P76" i="37"/>
  <c r="K7" i="26"/>
  <c r="P7" i="26" s="1"/>
  <c r="O67" i="37"/>
  <c r="Q63" i="37"/>
  <c r="Q42" i="37"/>
  <c r="O108" i="37"/>
  <c r="O107" i="37"/>
  <c r="P37" i="37"/>
  <c r="O64" i="37"/>
  <c r="O55" i="37"/>
  <c r="Q71" i="37"/>
  <c r="P39" i="37"/>
  <c r="P43" i="37"/>
  <c r="Q56" i="37"/>
  <c r="O7" i="37"/>
  <c r="P14" i="37"/>
  <c r="P107" i="37"/>
  <c r="P52" i="37"/>
  <c r="P106" i="37"/>
  <c r="Q107" i="37"/>
  <c r="Q106" i="37"/>
  <c r="Q38" i="37"/>
  <c r="N55" i="26"/>
  <c r="O46" i="37"/>
  <c r="P108" i="37"/>
  <c r="O106" i="37"/>
  <c r="Q16" i="37"/>
  <c r="T16" i="37"/>
  <c r="AX162" i="40"/>
  <c r="AU85" i="40"/>
  <c r="AW152" i="40"/>
  <c r="AW140" i="40"/>
  <c r="AX152" i="40"/>
  <c r="AW162" i="40"/>
  <c r="AX85" i="40"/>
  <c r="R16" i="37"/>
  <c r="P16" i="37"/>
  <c r="S16" i="37"/>
  <c r="N16" i="37"/>
  <c r="O16" i="37"/>
  <c r="P5" i="37"/>
  <c r="K5" i="37"/>
  <c r="L5" i="37" s="1"/>
  <c r="K14" i="37"/>
  <c r="N14" i="37"/>
  <c r="K13" i="37"/>
  <c r="O13" i="37" s="1"/>
  <c r="P13" i="37"/>
  <c r="K15" i="37"/>
  <c r="N15" i="37"/>
  <c r="P17" i="37"/>
  <c r="P64" i="37"/>
  <c r="O71" i="37"/>
  <c r="P35" i="37"/>
  <c r="O53" i="37"/>
  <c r="T53" i="37"/>
  <c r="Q46" i="37"/>
  <c r="U53" i="37"/>
  <c r="R53" i="37"/>
  <c r="P49" i="37"/>
  <c r="Q53" i="37"/>
  <c r="P56" i="37"/>
  <c r="T70" i="37"/>
  <c r="L71" i="37"/>
  <c r="M71" i="37" s="1"/>
  <c r="U71" i="37" s="1"/>
  <c r="P7" i="37"/>
  <c r="Q7" i="37"/>
  <c r="P40" i="37"/>
  <c r="Q64" i="37"/>
  <c r="P90" i="37"/>
  <c r="T35" i="37"/>
  <c r="K39" i="37"/>
  <c r="Q39" i="37" s="1"/>
  <c r="Q70" i="37"/>
  <c r="P70" i="37"/>
  <c r="R70" i="37"/>
  <c r="K43" i="37"/>
  <c r="L43" i="37" s="1"/>
  <c r="Q55" i="37"/>
  <c r="P50" i="37"/>
  <c r="U70" i="37"/>
  <c r="L55" i="37"/>
  <c r="M55" i="37" s="1"/>
  <c r="U35" i="37"/>
  <c r="P71" i="37"/>
  <c r="O70" i="37"/>
  <c r="O35" i="37"/>
  <c r="R35" i="37"/>
  <c r="M44" i="37"/>
  <c r="T44" i="37" s="1"/>
  <c r="AU148" i="40"/>
  <c r="P44" i="37"/>
  <c r="P63" i="37"/>
  <c r="L42" i="37"/>
  <c r="M42" i="37" s="1"/>
  <c r="R42" i="37" s="1"/>
  <c r="W438" i="40"/>
  <c r="AW163" i="40"/>
  <c r="O63" i="37"/>
  <c r="O44" i="37"/>
  <c r="L67" i="37"/>
  <c r="M67" i="37" s="1"/>
  <c r="U67" i="37" s="1"/>
  <c r="Q44" i="37"/>
  <c r="L63" i="37"/>
  <c r="M63" i="37" s="1"/>
  <c r="R63" i="37" s="1"/>
  <c r="AX141" i="40"/>
  <c r="AX76" i="40"/>
  <c r="AU76" i="40"/>
  <c r="AW141" i="40"/>
  <c r="S22" i="37"/>
  <c r="L64" i="37"/>
  <c r="M64" i="37" s="1"/>
  <c r="S64" i="37" s="1"/>
  <c r="O20" i="37"/>
  <c r="P46" i="37"/>
  <c r="K8" i="37"/>
  <c r="Q8" i="37" s="1"/>
  <c r="N8" i="37"/>
  <c r="AU84" i="40"/>
  <c r="AW110" i="40"/>
  <c r="Q22" i="37"/>
  <c r="T22" i="37"/>
  <c r="O22" i="37"/>
  <c r="P8" i="37"/>
  <c r="P30" i="37"/>
  <c r="AX110" i="40"/>
  <c r="AX109" i="40"/>
  <c r="AU109" i="40"/>
  <c r="AU163" i="40"/>
  <c r="AW84" i="40"/>
  <c r="P22" i="37"/>
  <c r="U22" i="37"/>
  <c r="L46" i="37"/>
  <c r="M46" i="37" s="1"/>
  <c r="R46" i="37" s="1"/>
  <c r="P31" i="37"/>
  <c r="P20" i="37"/>
  <c r="L20" i="37"/>
  <c r="M20" i="37" s="1"/>
  <c r="R20" i="37" s="1"/>
  <c r="W486" i="40"/>
  <c r="P12" i="37"/>
  <c r="K12" i="37"/>
  <c r="L12" i="37" s="1"/>
  <c r="M12" i="37" s="1"/>
  <c r="AU111" i="40"/>
  <c r="AW111" i="40"/>
  <c r="AU136" i="40"/>
  <c r="AX136" i="40"/>
  <c r="AX137" i="40"/>
  <c r="AU137" i="40"/>
  <c r="AU89" i="40"/>
  <c r="AW89" i="40"/>
  <c r="AX148" i="40"/>
  <c r="AX89" i="40"/>
  <c r="AW136" i="40"/>
  <c r="AU149" i="40"/>
  <c r="AW133" i="40"/>
  <c r="AX133" i="40"/>
  <c r="AU133" i="40"/>
  <c r="AX132" i="40"/>
  <c r="AW132" i="40"/>
  <c r="AX153" i="40"/>
  <c r="AU153" i="40"/>
  <c r="AX159" i="40"/>
  <c r="AU159" i="40"/>
  <c r="W406" i="40"/>
  <c r="AU106" i="40"/>
  <c r="AW106" i="40"/>
  <c r="AW151" i="40"/>
  <c r="AU151" i="40"/>
  <c r="AX118" i="40"/>
  <c r="P72" i="37"/>
  <c r="P16" i="26"/>
  <c r="D8" i="2"/>
  <c r="AI8" i="2" s="1"/>
  <c r="AK8" i="2" s="1"/>
  <c r="AX150" i="40"/>
  <c r="AU150" i="40"/>
  <c r="AX160" i="40"/>
  <c r="AU160" i="40"/>
  <c r="AW160" i="40"/>
  <c r="AW119" i="40"/>
  <c r="AU119" i="40"/>
  <c r="AX119" i="40"/>
  <c r="AW161" i="40"/>
  <c r="AU161" i="40"/>
  <c r="AW107" i="40"/>
  <c r="AX107" i="40"/>
  <c r="AX139" i="40"/>
  <c r="AU139" i="40"/>
  <c r="K18" i="26"/>
  <c r="P18" i="26" s="1"/>
  <c r="E10" i="4"/>
  <c r="K20" i="26"/>
  <c r="P20" i="26" s="1"/>
  <c r="D10" i="4"/>
  <c r="N6" i="37" s="1"/>
  <c r="C10" i="4"/>
  <c r="K52" i="26"/>
  <c r="P52" i="26" s="1"/>
  <c r="K29" i="26"/>
  <c r="P29" i="26" s="1"/>
  <c r="AW118" i="40"/>
  <c r="AX106" i="40"/>
  <c r="AX149" i="40"/>
  <c r="AX111" i="40"/>
  <c r="P33" i="37"/>
  <c r="AW158" i="40"/>
  <c r="AU158" i="40"/>
  <c r="AX158" i="40"/>
  <c r="AU138" i="40"/>
  <c r="AW138" i="40"/>
  <c r="AW108" i="40"/>
  <c r="AX108" i="40"/>
  <c r="AU108" i="40"/>
  <c r="AW88" i="40"/>
  <c r="AX88" i="40"/>
  <c r="AU88" i="40"/>
  <c r="AW77" i="40"/>
  <c r="AU77" i="40"/>
  <c r="W451" i="40"/>
  <c r="N13" i="2"/>
  <c r="AJ13" i="2" s="1"/>
  <c r="M55" i="26"/>
  <c r="D12" i="2"/>
  <c r="AI12" i="2" s="1"/>
  <c r="AK12" i="2" s="1"/>
  <c r="N15" i="2"/>
  <c r="AJ15" i="2" s="1"/>
  <c r="W476" i="40"/>
  <c r="V326" i="40"/>
  <c r="N7" i="2" s="1"/>
  <c r="AJ7" i="2" s="1"/>
  <c r="K100" i="37"/>
  <c r="P100" i="37"/>
  <c r="K98" i="37"/>
  <c r="P98" i="37"/>
  <c r="K96" i="37"/>
  <c r="L96" i="37" s="1"/>
  <c r="M96" i="37" s="1"/>
  <c r="P96" i="37"/>
  <c r="P85" i="37"/>
  <c r="I23" i="9"/>
  <c r="F455" i="40" s="1"/>
  <c r="AP455" i="40" s="1"/>
  <c r="I44" i="9"/>
  <c r="F456" i="40" s="1"/>
  <c r="AP456" i="40" s="1"/>
  <c r="AR456" i="40" s="1"/>
  <c r="P77" i="37"/>
  <c r="Q21" i="37"/>
  <c r="O21" i="37"/>
  <c r="R89" i="37"/>
  <c r="L79" i="37"/>
  <c r="M79" i="37" s="1"/>
  <c r="S79" i="37" s="1"/>
  <c r="P95" i="37"/>
  <c r="P92" i="37"/>
  <c r="Q49" i="37"/>
  <c r="O82" i="37"/>
  <c r="Q91" i="37"/>
  <c r="L95" i="37"/>
  <c r="M95" i="37" s="1"/>
  <c r="U95" i="37" s="1"/>
  <c r="P79" i="37"/>
  <c r="O79" i="37"/>
  <c r="O49" i="37"/>
  <c r="O95" i="37"/>
  <c r="K94" i="37"/>
  <c r="L94" i="37" s="1"/>
  <c r="M94" i="37" s="1"/>
  <c r="S21" i="37"/>
  <c r="U21" i="37"/>
  <c r="R21" i="37"/>
  <c r="T21" i="37"/>
  <c r="O90" i="37"/>
  <c r="S89" i="37"/>
  <c r="P91" i="37"/>
  <c r="O91" i="37"/>
  <c r="T89" i="37"/>
  <c r="M91" i="37"/>
  <c r="U91" i="37" s="1"/>
  <c r="P89" i="37"/>
  <c r="Q52" i="37"/>
  <c r="Q89" i="37"/>
  <c r="O89" i="37"/>
  <c r="Q37" i="37"/>
  <c r="Q93" i="37"/>
  <c r="P88" i="37"/>
  <c r="Q90" i="37"/>
  <c r="Q82" i="37"/>
  <c r="P81" i="37"/>
  <c r="K81" i="37"/>
  <c r="K78" i="37"/>
  <c r="P78" i="37"/>
  <c r="K87" i="37"/>
  <c r="L87" i="37" s="1"/>
  <c r="M87" i="37" s="1"/>
  <c r="T49" i="37"/>
  <c r="U49" i="37"/>
  <c r="K86" i="37"/>
  <c r="L86" i="37" s="1"/>
  <c r="P86" i="37"/>
  <c r="L56" i="37"/>
  <c r="M56" i="37" s="1"/>
  <c r="R49" i="37"/>
  <c r="S49" i="37"/>
  <c r="O56" i="37"/>
  <c r="D10" i="2"/>
  <c r="AI10" i="2" s="1"/>
  <c r="AK10" i="2" s="1"/>
  <c r="W387" i="40"/>
  <c r="O93" i="37"/>
  <c r="U82" i="37"/>
  <c r="S82" i="37"/>
  <c r="R82" i="37"/>
  <c r="T82" i="37"/>
  <c r="N6" i="2"/>
  <c r="AJ6" i="2" s="1"/>
  <c r="AK6" i="2" s="1"/>
  <c r="W27" i="40"/>
  <c r="L37" i="37"/>
  <c r="M37" i="37" s="1"/>
  <c r="O85" i="37"/>
  <c r="U93" i="37"/>
  <c r="R93" i="37"/>
  <c r="T93" i="37"/>
  <c r="S93" i="37"/>
  <c r="M52" i="37"/>
  <c r="Q6" i="37"/>
  <c r="O52" i="37"/>
  <c r="M90" i="37"/>
  <c r="L85" i="37"/>
  <c r="M85" i="37" s="1"/>
  <c r="W245" i="40"/>
  <c r="P6" i="37"/>
  <c r="S69" i="37" l="1"/>
  <c r="U69" i="37"/>
  <c r="T69" i="37"/>
  <c r="R69" i="37"/>
  <c r="W69" i="37" s="1"/>
  <c r="X69" i="37" s="1"/>
  <c r="O77" i="37"/>
  <c r="Q77" i="37"/>
  <c r="L77" i="37"/>
  <c r="M77" i="37" s="1"/>
  <c r="AR387" i="40"/>
  <c r="AP371" i="40"/>
  <c r="AR365" i="40"/>
  <c r="AP459" i="40"/>
  <c r="AR459" i="40" s="1"/>
  <c r="AR455" i="40"/>
  <c r="AK13" i="2"/>
  <c r="AK15" i="2"/>
  <c r="O5" i="2"/>
  <c r="AJ5" i="2"/>
  <c r="AQ371" i="40"/>
  <c r="O33" i="37"/>
  <c r="Q33" i="37"/>
  <c r="L33" i="37"/>
  <c r="M33" i="37" s="1"/>
  <c r="T97" i="37"/>
  <c r="R97" i="37"/>
  <c r="S97" i="37"/>
  <c r="U97" i="37"/>
  <c r="U31" i="37"/>
  <c r="R31" i="37"/>
  <c r="R76" i="37"/>
  <c r="U76" i="37"/>
  <c r="O50" i="37"/>
  <c r="L50" i="37"/>
  <c r="M50" i="37" s="1"/>
  <c r="Q80" i="37"/>
  <c r="O80" i="37"/>
  <c r="L40" i="37"/>
  <c r="M40" i="37" s="1"/>
  <c r="O40" i="37"/>
  <c r="Q40" i="37"/>
  <c r="W60" i="37"/>
  <c r="X60" i="37" s="1"/>
  <c r="W34" i="37"/>
  <c r="X34" i="37" s="1"/>
  <c r="W32" i="37"/>
  <c r="X32" i="37" s="1"/>
  <c r="W10" i="37"/>
  <c r="X10" i="37" s="1"/>
  <c r="W18" i="37"/>
  <c r="X18" i="37" s="1"/>
  <c r="W25" i="37"/>
  <c r="X25" i="37" s="1"/>
  <c r="O88" i="37"/>
  <c r="Q97" i="37"/>
  <c r="O97" i="37"/>
  <c r="Q88" i="37"/>
  <c r="W27" i="37"/>
  <c r="X27" i="37" s="1"/>
  <c r="O30" i="37"/>
  <c r="Q30" i="37"/>
  <c r="S40" i="37"/>
  <c r="T40" i="37"/>
  <c r="L80" i="37"/>
  <c r="M80" i="37" s="1"/>
  <c r="U80" i="37" s="1"/>
  <c r="T31" i="37"/>
  <c r="O31" i="37"/>
  <c r="S31" i="37"/>
  <c r="Q31" i="37"/>
  <c r="Q99" i="37"/>
  <c r="L99" i="37"/>
  <c r="M99" i="37" s="1"/>
  <c r="N17" i="2"/>
  <c r="T50" i="37"/>
  <c r="U50" i="37"/>
  <c r="U55" i="37"/>
  <c r="U7" i="37"/>
  <c r="M68" i="37"/>
  <c r="T68" i="37" s="1"/>
  <c r="O68" i="37"/>
  <c r="O11" i="2"/>
  <c r="U45" i="37"/>
  <c r="T76" i="37"/>
  <c r="S76" i="37"/>
  <c r="O76" i="37"/>
  <c r="Q76" i="37"/>
  <c r="O19" i="37"/>
  <c r="D9" i="2"/>
  <c r="W455" i="40"/>
  <c r="Q19" i="37"/>
  <c r="Q17" i="37"/>
  <c r="O58" i="37"/>
  <c r="S48" i="37"/>
  <c r="U92" i="37"/>
  <c r="O92" i="37"/>
  <c r="Q68" i="37"/>
  <c r="T28" i="37"/>
  <c r="T92" i="37"/>
  <c r="S92" i="37"/>
  <c r="R48" i="37"/>
  <c r="R58" i="37"/>
  <c r="U58" i="37"/>
  <c r="T48" i="37"/>
  <c r="Q92" i="37"/>
  <c r="L17" i="37"/>
  <c r="M17" i="37" s="1"/>
  <c r="S23" i="37"/>
  <c r="R29" i="37"/>
  <c r="S61" i="37"/>
  <c r="U36" i="37"/>
  <c r="U29" i="37"/>
  <c r="T36" i="37"/>
  <c r="W117" i="37"/>
  <c r="X117" i="37" s="1"/>
  <c r="U61" i="37"/>
  <c r="T29" i="37"/>
  <c r="R61" i="37"/>
  <c r="S36" i="37"/>
  <c r="T83" i="37"/>
  <c r="T45" i="37"/>
  <c r="R28" i="37"/>
  <c r="S28" i="37"/>
  <c r="S45" i="37"/>
  <c r="U59" i="37"/>
  <c r="O15" i="2"/>
  <c r="O13" i="2"/>
  <c r="F3" i="54"/>
  <c r="L72" i="37"/>
  <c r="M72" i="37" s="1"/>
  <c r="T72" i="37" s="1"/>
  <c r="Q72" i="37"/>
  <c r="D15" i="54"/>
  <c r="V22" i="2"/>
  <c r="W120" i="37"/>
  <c r="X120" i="37" s="1"/>
  <c r="W139" i="37"/>
  <c r="X139" i="37" s="1"/>
  <c r="W131" i="37"/>
  <c r="X131" i="37" s="1"/>
  <c r="W116" i="37"/>
  <c r="X116" i="37" s="1"/>
  <c r="W124" i="37"/>
  <c r="X124" i="37" s="1"/>
  <c r="W138" i="37"/>
  <c r="X138" i="37" s="1"/>
  <c r="W133" i="37"/>
  <c r="X133" i="37" s="1"/>
  <c r="W121" i="37"/>
  <c r="X121" i="37" s="1"/>
  <c r="N147" i="37"/>
  <c r="W136" i="37"/>
  <c r="X136" i="37" s="1"/>
  <c r="W115" i="37"/>
  <c r="X115" i="37" s="1"/>
  <c r="S83" i="37"/>
  <c r="W123" i="37"/>
  <c r="X123" i="37" s="1"/>
  <c r="W119" i="37"/>
  <c r="X119" i="37" s="1"/>
  <c r="W111" i="37"/>
  <c r="X111" i="37" s="1"/>
  <c r="R23" i="37"/>
  <c r="U83" i="37"/>
  <c r="W128" i="37"/>
  <c r="X128" i="37" s="1"/>
  <c r="W143" i="37"/>
  <c r="X143" i="37" s="1"/>
  <c r="W126" i="37"/>
  <c r="X126" i="37" s="1"/>
  <c r="W132" i="37"/>
  <c r="X132" i="37" s="1"/>
  <c r="W110" i="37"/>
  <c r="X110" i="37" s="1"/>
  <c r="P147" i="37"/>
  <c r="W129" i="37"/>
  <c r="X129" i="37" s="1"/>
  <c r="W118" i="37"/>
  <c r="X118" i="37" s="1"/>
  <c r="W141" i="37"/>
  <c r="X141" i="37" s="1"/>
  <c r="W140" i="37"/>
  <c r="X140" i="37" s="1"/>
  <c r="W134" i="37"/>
  <c r="X134" i="37" s="1"/>
  <c r="W130" i="37"/>
  <c r="X130" i="37" s="1"/>
  <c r="W135" i="37"/>
  <c r="X135" i="37" s="1"/>
  <c r="K53" i="26"/>
  <c r="K4" i="26"/>
  <c r="J53" i="26"/>
  <c r="T23" i="37"/>
  <c r="W114" i="37"/>
  <c r="X114" i="37" s="1"/>
  <c r="W122" i="37"/>
  <c r="X122" i="37" s="1"/>
  <c r="W142" i="37"/>
  <c r="X142" i="37" s="1"/>
  <c r="W125" i="37"/>
  <c r="X125" i="37" s="1"/>
  <c r="W144" i="37"/>
  <c r="X144" i="37" s="1"/>
  <c r="W109" i="37"/>
  <c r="X109" i="37" s="1"/>
  <c r="W145" i="37"/>
  <c r="X145" i="37" s="1"/>
  <c r="W113" i="37"/>
  <c r="X113" i="37" s="1"/>
  <c r="W137" i="37"/>
  <c r="X137" i="37" s="1"/>
  <c r="W112" i="37"/>
  <c r="X112" i="37" s="1"/>
  <c r="W127" i="37"/>
  <c r="X127" i="37" s="1"/>
  <c r="T59" i="37"/>
  <c r="S59" i="37"/>
  <c r="Q58" i="37"/>
  <c r="S58" i="37"/>
  <c r="O57" i="37"/>
  <c r="S19" i="37"/>
  <c r="R38" i="37"/>
  <c r="U19" i="37"/>
  <c r="T19" i="37"/>
  <c r="U38" i="37"/>
  <c r="T38" i="37"/>
  <c r="Q57" i="37"/>
  <c r="R57" i="37"/>
  <c r="U57" i="37"/>
  <c r="T57" i="37"/>
  <c r="S57" i="37"/>
  <c r="T75" i="37"/>
  <c r="R75" i="37"/>
  <c r="U75" i="37"/>
  <c r="S7" i="37"/>
  <c r="S44" i="37"/>
  <c r="U44" i="37"/>
  <c r="W103" i="37"/>
  <c r="X103" i="37" s="1"/>
  <c r="L39" i="37"/>
  <c r="M39" i="37" s="1"/>
  <c r="T39" i="37" s="1"/>
  <c r="W105" i="37"/>
  <c r="X105" i="37" s="1"/>
  <c r="Q5" i="37"/>
  <c r="S55" i="37"/>
  <c r="T71" i="37"/>
  <c r="W104" i="37"/>
  <c r="X104" i="37" s="1"/>
  <c r="T7" i="37"/>
  <c r="R7" i="37"/>
  <c r="U42" i="37"/>
  <c r="O43" i="37"/>
  <c r="R55" i="37"/>
  <c r="S42" i="37"/>
  <c r="Q43" i="37"/>
  <c r="M43" i="37"/>
  <c r="S43" i="37" s="1"/>
  <c r="W84" i="37"/>
  <c r="X84" i="37" s="1"/>
  <c r="W65" i="37"/>
  <c r="X65" i="37" s="1"/>
  <c r="W102" i="37"/>
  <c r="X102" i="37" s="1"/>
  <c r="W101" i="37"/>
  <c r="X101" i="37" s="1"/>
  <c r="W107" i="37"/>
  <c r="X107" i="37" s="1"/>
  <c r="W108" i="37"/>
  <c r="X108" i="37" s="1"/>
  <c r="W106" i="37"/>
  <c r="X106" i="37" s="1"/>
  <c r="L13" i="37"/>
  <c r="M13" i="37" s="1"/>
  <c r="T13" i="37" s="1"/>
  <c r="O5" i="37"/>
  <c r="W16" i="37"/>
  <c r="W70" i="37"/>
  <c r="X70" i="37" s="1"/>
  <c r="M5" i="37"/>
  <c r="O14" i="37"/>
  <c r="L14" i="37"/>
  <c r="M14" i="37" s="1"/>
  <c r="Q14" i="37"/>
  <c r="Q13" i="37"/>
  <c r="L15" i="37"/>
  <c r="M15" i="37" s="1"/>
  <c r="Q15" i="37"/>
  <c r="O15" i="37"/>
  <c r="R71" i="37"/>
  <c r="U63" i="37"/>
  <c r="T64" i="37"/>
  <c r="W53" i="37"/>
  <c r="X53" i="37" s="1"/>
  <c r="S71" i="37"/>
  <c r="T30" i="37"/>
  <c r="T63" i="37"/>
  <c r="S63" i="37"/>
  <c r="U30" i="37"/>
  <c r="W35" i="37"/>
  <c r="X35" i="37" s="1"/>
  <c r="T42" i="37"/>
  <c r="T55" i="37"/>
  <c r="S67" i="37"/>
  <c r="R44" i="37"/>
  <c r="U46" i="37"/>
  <c r="O39" i="37"/>
  <c r="U64" i="37"/>
  <c r="R67" i="37"/>
  <c r="R30" i="37"/>
  <c r="T67" i="37"/>
  <c r="T46" i="37"/>
  <c r="S46" i="37"/>
  <c r="R64" i="37"/>
  <c r="T20" i="37"/>
  <c r="Q12" i="37"/>
  <c r="L8" i="37"/>
  <c r="M8" i="37" s="1"/>
  <c r="W22" i="37"/>
  <c r="X22" i="37" s="1"/>
  <c r="O8" i="37"/>
  <c r="S20" i="37"/>
  <c r="U20" i="37"/>
  <c r="O12" i="37"/>
  <c r="F459" i="40"/>
  <c r="O8" i="2"/>
  <c r="O12" i="2"/>
  <c r="T96" i="37"/>
  <c r="R96" i="37"/>
  <c r="S96" i="37"/>
  <c r="U96" i="37"/>
  <c r="Q98" i="37"/>
  <c r="O98" i="37"/>
  <c r="Q100" i="37"/>
  <c r="O100" i="37"/>
  <c r="O96" i="37"/>
  <c r="Q96" i="37"/>
  <c r="L98" i="37"/>
  <c r="M98" i="37" s="1"/>
  <c r="L100" i="37"/>
  <c r="M100" i="37" s="1"/>
  <c r="W456" i="40"/>
  <c r="U79" i="37"/>
  <c r="R79" i="37"/>
  <c r="T79" i="37"/>
  <c r="R88" i="37"/>
  <c r="E19" i="54"/>
  <c r="U88" i="37"/>
  <c r="S88" i="37"/>
  <c r="W21" i="37"/>
  <c r="X21" i="37" s="1"/>
  <c r="T95" i="37"/>
  <c r="R95" i="37"/>
  <c r="M86" i="37"/>
  <c r="S86" i="37" s="1"/>
  <c r="S95" i="37"/>
  <c r="S91" i="37"/>
  <c r="O94" i="37"/>
  <c r="Q94" i="37"/>
  <c r="R94" i="37"/>
  <c r="U94" i="37"/>
  <c r="S94" i="37"/>
  <c r="T94" i="37"/>
  <c r="W89" i="37"/>
  <c r="X89" i="37" s="1"/>
  <c r="R91" i="37"/>
  <c r="T91" i="37"/>
  <c r="R56" i="37"/>
  <c r="U56" i="37"/>
  <c r="T56" i="37"/>
  <c r="S56" i="37"/>
  <c r="Q87" i="37"/>
  <c r="O87" i="37"/>
  <c r="Q81" i="37"/>
  <c r="O81" i="37"/>
  <c r="L81" i="37"/>
  <c r="M81" i="37" s="1"/>
  <c r="U87" i="37"/>
  <c r="S87" i="37"/>
  <c r="T87" i="37"/>
  <c r="R87" i="37"/>
  <c r="L78" i="37"/>
  <c r="M78" i="37" s="1"/>
  <c r="O78" i="37"/>
  <c r="Q78" i="37"/>
  <c r="W49" i="37"/>
  <c r="X49" i="37" s="1"/>
  <c r="O86" i="37"/>
  <c r="Q86" i="37"/>
  <c r="W82" i="37"/>
  <c r="X82" i="37" s="1"/>
  <c r="W93" i="37"/>
  <c r="X93" i="37" s="1"/>
  <c r="O10" i="2"/>
  <c r="T12" i="37"/>
  <c r="U12" i="37"/>
  <c r="S12" i="37"/>
  <c r="R12" i="37"/>
  <c r="T85" i="37"/>
  <c r="S85" i="37"/>
  <c r="U85" i="37"/>
  <c r="R85" i="37"/>
  <c r="T37" i="37"/>
  <c r="S37" i="37"/>
  <c r="R37" i="37"/>
  <c r="U37" i="37"/>
  <c r="O6" i="2"/>
  <c r="R52" i="37"/>
  <c r="S52" i="37"/>
  <c r="T52" i="37"/>
  <c r="U52" i="37"/>
  <c r="R90" i="37"/>
  <c r="T90" i="37"/>
  <c r="S90" i="37"/>
  <c r="U90" i="37"/>
  <c r="L6" i="37"/>
  <c r="M6" i="37" s="1"/>
  <c r="O6" i="37"/>
  <c r="W97" i="37" l="1"/>
  <c r="X97" i="37" s="1"/>
  <c r="X16" i="37"/>
  <c r="D25" i="46"/>
  <c r="M147" i="37"/>
  <c r="D13" i="54"/>
  <c r="D12" i="54"/>
  <c r="U77" i="37"/>
  <c r="T77" i="37"/>
  <c r="R77" i="37"/>
  <c r="S77" i="37"/>
  <c r="AR371" i="40"/>
  <c r="AJ17" i="2"/>
  <c r="AJ22" i="2" s="1"/>
  <c r="AK5" i="2"/>
  <c r="S33" i="37"/>
  <c r="R33" i="37"/>
  <c r="R50" i="37"/>
  <c r="S50" i="37"/>
  <c r="W50" i="37" s="1"/>
  <c r="X50" i="37" s="1"/>
  <c r="U33" i="37"/>
  <c r="T33" i="37"/>
  <c r="W33" i="37" s="1"/>
  <c r="X33" i="37" s="1"/>
  <c r="U99" i="37"/>
  <c r="R99" i="37"/>
  <c r="S99" i="37"/>
  <c r="T99" i="37"/>
  <c r="R40" i="37"/>
  <c r="U40" i="37"/>
  <c r="U68" i="37"/>
  <c r="S68" i="37"/>
  <c r="R68" i="37"/>
  <c r="W31" i="37"/>
  <c r="X31" i="37" s="1"/>
  <c r="S80" i="37"/>
  <c r="R80" i="37"/>
  <c r="T80" i="37"/>
  <c r="D5" i="54"/>
  <c r="D3" i="54"/>
  <c r="W12" i="37"/>
  <c r="T6" i="37"/>
  <c r="W76" i="37"/>
  <c r="F13" i="52" s="1"/>
  <c r="W459" i="40"/>
  <c r="AI9" i="2"/>
  <c r="AK9" i="2" s="1"/>
  <c r="O9" i="2"/>
  <c r="S72" i="37"/>
  <c r="T17" i="37"/>
  <c r="W92" i="37"/>
  <c r="X92" i="37" s="1"/>
  <c r="W48" i="37"/>
  <c r="X48" i="37" s="1"/>
  <c r="W28" i="37"/>
  <c r="X28" i="37" s="1"/>
  <c r="U17" i="37"/>
  <c r="S17" i="37"/>
  <c r="R17" i="37"/>
  <c r="W36" i="37"/>
  <c r="X36" i="37" s="1"/>
  <c r="W29" i="37"/>
  <c r="X29" i="37" s="1"/>
  <c r="U72" i="37"/>
  <c r="R72" i="37"/>
  <c r="W45" i="37"/>
  <c r="X45" i="37" s="1"/>
  <c r="W61" i="37"/>
  <c r="X61" i="37" s="1"/>
  <c r="D17" i="54"/>
  <c r="E17" i="54"/>
  <c r="F17" i="54"/>
  <c r="W58" i="37"/>
  <c r="X58" i="37" s="1"/>
  <c r="N22" i="2"/>
  <c r="D16" i="54"/>
  <c r="D19" i="54"/>
  <c r="W83" i="37"/>
  <c r="X83" i="37" s="1"/>
  <c r="W23" i="37"/>
  <c r="X23" i="37" s="1"/>
  <c r="W59" i="37"/>
  <c r="X59" i="37" s="1"/>
  <c r="F19" i="54"/>
  <c r="P53" i="26"/>
  <c r="K55" i="26"/>
  <c r="P4" i="26"/>
  <c r="J55" i="26"/>
  <c r="Q147" i="37"/>
  <c r="O147" i="37"/>
  <c r="W19" i="37"/>
  <c r="X19" i="37" s="1"/>
  <c r="W75" i="37"/>
  <c r="X75" i="37" s="1"/>
  <c r="W38" i="37"/>
  <c r="X38" i="37" s="1"/>
  <c r="W57" i="37"/>
  <c r="X57" i="37" s="1"/>
  <c r="F21" i="52"/>
  <c r="W44" i="37"/>
  <c r="X44" i="37" s="1"/>
  <c r="R39" i="37"/>
  <c r="S39" i="37"/>
  <c r="U39" i="37"/>
  <c r="W7" i="37"/>
  <c r="X7" i="37" s="1"/>
  <c r="W42" i="37"/>
  <c r="X42" i="37" s="1"/>
  <c r="U43" i="37"/>
  <c r="W55" i="37"/>
  <c r="X55" i="37" s="1"/>
  <c r="W71" i="37"/>
  <c r="X71" i="37" s="1"/>
  <c r="T43" i="37"/>
  <c r="U13" i="37"/>
  <c r="R13" i="37"/>
  <c r="R43" i="37"/>
  <c r="S13" i="37"/>
  <c r="Z22" i="2"/>
  <c r="Z25" i="2" s="1"/>
  <c r="R5" i="37"/>
  <c r="S5" i="37"/>
  <c r="U5" i="37"/>
  <c r="T5" i="37"/>
  <c r="R14" i="37"/>
  <c r="T14" i="37"/>
  <c r="U14" i="37"/>
  <c r="S14" i="37"/>
  <c r="R15" i="37"/>
  <c r="U15" i="37"/>
  <c r="T15" i="37"/>
  <c r="S15" i="37"/>
  <c r="W63" i="37"/>
  <c r="X63" i="37" s="1"/>
  <c r="W30" i="37"/>
  <c r="X30" i="37" s="1"/>
  <c r="W46" i="37"/>
  <c r="X46" i="37" s="1"/>
  <c r="W67" i="37"/>
  <c r="X67" i="37" s="1"/>
  <c r="W64" i="37"/>
  <c r="X64" i="37" s="1"/>
  <c r="D14" i="2"/>
  <c r="AI14" i="2" s="1"/>
  <c r="AK14" i="2" s="1"/>
  <c r="W20" i="37"/>
  <c r="X20" i="37" s="1"/>
  <c r="S8" i="37"/>
  <c r="U8" i="37"/>
  <c r="R8" i="37"/>
  <c r="T8" i="37"/>
  <c r="U100" i="37"/>
  <c r="R100" i="37"/>
  <c r="S100" i="37"/>
  <c r="T100" i="37"/>
  <c r="W96" i="37"/>
  <c r="X96" i="37" s="1"/>
  <c r="U98" i="37"/>
  <c r="R98" i="37"/>
  <c r="S98" i="37"/>
  <c r="T98" i="37"/>
  <c r="R86" i="37"/>
  <c r="U86" i="37"/>
  <c r="W79" i="37"/>
  <c r="X79" i="37" s="1"/>
  <c r="W88" i="37"/>
  <c r="X88" i="37" s="1"/>
  <c r="T86" i="37"/>
  <c r="W95" i="37"/>
  <c r="X95" i="37" s="1"/>
  <c r="W94" i="37"/>
  <c r="X94" i="37" s="1"/>
  <c r="W91" i="37"/>
  <c r="X91" i="37" s="1"/>
  <c r="W56" i="37"/>
  <c r="X56" i="37" s="1"/>
  <c r="R6" i="37"/>
  <c r="W87" i="37"/>
  <c r="X87" i="37" s="1"/>
  <c r="R81" i="37"/>
  <c r="U81" i="37"/>
  <c r="T81" i="37"/>
  <c r="S81" i="37"/>
  <c r="R78" i="37"/>
  <c r="S78" i="37"/>
  <c r="T78" i="37"/>
  <c r="U78" i="37"/>
  <c r="S6" i="37"/>
  <c r="W85" i="37"/>
  <c r="X85" i="37" s="1"/>
  <c r="W90" i="37"/>
  <c r="X90" i="37" s="1"/>
  <c r="W37" i="37"/>
  <c r="X37" i="37" s="1"/>
  <c r="U6" i="37"/>
  <c r="W52" i="37"/>
  <c r="X52" i="37" s="1"/>
  <c r="W68" i="37" l="1"/>
  <c r="X68" i="37" s="1"/>
  <c r="W77" i="37"/>
  <c r="X77" i="37" s="1"/>
  <c r="W99" i="37"/>
  <c r="X99" i="37" s="1"/>
  <c r="W40" i="37"/>
  <c r="X40" i="37" s="1"/>
  <c r="W80" i="37"/>
  <c r="X80" i="37" s="1"/>
  <c r="N25" i="2"/>
  <c r="X76" i="37"/>
  <c r="P55" i="26"/>
  <c r="W17" i="37"/>
  <c r="X17" i="37" s="1"/>
  <c r="W72" i="37"/>
  <c r="X72" i="37" s="1"/>
  <c r="D45" i="10"/>
  <c r="R45" i="10" s="1"/>
  <c r="E21" i="54"/>
  <c r="E251" i="40"/>
  <c r="W251" i="40" s="1"/>
  <c r="F12" i="52"/>
  <c r="H12" i="52" s="1"/>
  <c r="S147" i="37"/>
  <c r="E253" i="40" s="1"/>
  <c r="W253" i="40" s="1"/>
  <c r="T147" i="37"/>
  <c r="E254" i="40" s="1"/>
  <c r="W254" i="40" s="1"/>
  <c r="R147" i="37"/>
  <c r="E252" i="40" s="1"/>
  <c r="W252" i="40" s="1"/>
  <c r="U147" i="37"/>
  <c r="E255" i="40" s="1"/>
  <c r="W255" i="40" s="1"/>
  <c r="W39" i="37"/>
  <c r="X39" i="37" s="1"/>
  <c r="F16" i="52"/>
  <c r="W43" i="37"/>
  <c r="X43" i="37" s="1"/>
  <c r="W13" i="37"/>
  <c r="X13" i="37" s="1"/>
  <c r="W5" i="37"/>
  <c r="D26" i="46" s="1"/>
  <c r="W15" i="37"/>
  <c r="W14" i="37"/>
  <c r="X14" i="37" s="1"/>
  <c r="D29" i="46"/>
  <c r="D28" i="46"/>
  <c r="D31" i="46"/>
  <c r="X12" i="37"/>
  <c r="O14" i="2"/>
  <c r="W8" i="37"/>
  <c r="W100" i="37"/>
  <c r="X100" i="37" s="1"/>
  <c r="W98" i="37"/>
  <c r="X98" i="37" s="1"/>
  <c r="W86" i="37"/>
  <c r="X86" i="37" s="1"/>
  <c r="W81" i="37"/>
  <c r="X81" i="37" s="1"/>
  <c r="W78" i="37"/>
  <c r="X78" i="37" s="1"/>
  <c r="W6" i="37"/>
  <c r="X15" i="37" l="1"/>
  <c r="D30" i="46"/>
  <c r="D27" i="46"/>
  <c r="X6" i="37"/>
  <c r="Q4" i="10"/>
  <c r="E50" i="10"/>
  <c r="E48" i="10"/>
  <c r="E51" i="10"/>
  <c r="E52" i="10"/>
  <c r="E53" i="10"/>
  <c r="E46" i="10"/>
  <c r="E49" i="10"/>
  <c r="F15" i="52"/>
  <c r="W147" i="37"/>
  <c r="X5" i="37"/>
  <c r="X8" i="37"/>
  <c r="F257" i="40"/>
  <c r="AP257" i="40" s="1"/>
  <c r="AR257" i="40" s="1"/>
  <c r="C33" i="46" l="1"/>
  <c r="C35" i="46" s="1"/>
  <c r="W257" i="40"/>
  <c r="C36" i="54"/>
  <c r="E36" i="54" s="1"/>
  <c r="X147" i="37"/>
  <c r="E23" i="52"/>
  <c r="E28" i="52" s="1"/>
  <c r="E52" i="52" s="1"/>
  <c r="V25" i="2" l="1"/>
  <c r="D21" i="54" l="1"/>
  <c r="D34" i="10" l="1"/>
  <c r="R34" i="10" s="1"/>
  <c r="AD22" i="2"/>
  <c r="AD25" i="2" l="1"/>
  <c r="D56" i="10" s="1"/>
  <c r="R56" i="10" s="1"/>
  <c r="Y25" i="2"/>
  <c r="AC25" i="2"/>
  <c r="AG25" i="2"/>
  <c r="E35" i="10"/>
  <c r="E37" i="10"/>
  <c r="E38" i="10"/>
  <c r="E40" i="10"/>
  <c r="E41" i="10"/>
  <c r="E42" i="10"/>
  <c r="E39" i="10"/>
  <c r="F21" i="54"/>
  <c r="AJ25" i="2" l="1"/>
  <c r="E62" i="10"/>
  <c r="E60" i="10"/>
  <c r="E61" i="10"/>
  <c r="E57" i="10"/>
  <c r="E63" i="10"/>
  <c r="E64" i="10"/>
  <c r="E59" i="10"/>
  <c r="M22" i="2" l="1"/>
  <c r="O326" i="40"/>
  <c r="G7" i="2" s="1"/>
  <c r="G17" i="2" s="1"/>
  <c r="C4" i="54"/>
  <c r="Q67" i="10" l="1"/>
  <c r="S56" i="10" s="1"/>
  <c r="S4" i="10" l="1"/>
  <c r="S67" i="10" s="1"/>
  <c r="C57" i="54" l="1"/>
  <c r="K9" i="10" l="1"/>
  <c r="K4" i="10" s="1"/>
  <c r="G4" i="54"/>
  <c r="C14" i="54" l="1"/>
  <c r="G14" i="54"/>
  <c r="E45" i="10" l="1"/>
  <c r="D47" i="10" s="1"/>
  <c r="E47" i="10"/>
  <c r="E54" i="10" s="1"/>
  <c r="K47" i="10" l="1"/>
  <c r="K45" i="10" s="1"/>
  <c r="D54" i="10"/>
  <c r="R47" i="10"/>
  <c r="R54" i="10" s="1"/>
  <c r="E56" i="10"/>
  <c r="D58" i="10" s="1"/>
  <c r="R58" i="10" s="1"/>
  <c r="R65" i="10" s="1"/>
  <c r="E58" i="10"/>
  <c r="E65" i="10" s="1"/>
  <c r="K58" i="10" l="1"/>
  <c r="K56" i="10" s="1"/>
  <c r="D65" i="10"/>
  <c r="C18" i="54" l="1"/>
  <c r="G18" i="54"/>
  <c r="C11" i="54"/>
  <c r="G11" i="54"/>
  <c r="AQ326" i="40" l="1"/>
  <c r="I55" i="26"/>
  <c r="P326" i="40" s="1"/>
  <c r="H7" i="2" s="1"/>
  <c r="H17" i="2" s="1"/>
  <c r="H21" i="2" s="1"/>
  <c r="I34" i="40" l="1"/>
  <c r="P20" i="10"/>
  <c r="H22" i="2"/>
  <c r="G22" i="2"/>
  <c r="I167" i="40" l="1"/>
  <c r="C17" i="54"/>
  <c r="G17" i="54"/>
  <c r="C9" i="54" l="1"/>
  <c r="G9" i="54"/>
  <c r="C6" i="54"/>
  <c r="G6" i="54"/>
  <c r="I35" i="40"/>
  <c r="I53" i="40"/>
  <c r="C10" i="54"/>
  <c r="G10" i="54"/>
  <c r="C13" i="54"/>
  <c r="G13" i="54"/>
  <c r="C7" i="54" l="1"/>
  <c r="G7" i="54"/>
  <c r="C12" i="54"/>
  <c r="H173" i="40"/>
  <c r="I173" i="40"/>
  <c r="I32" i="40" l="1"/>
  <c r="G12" i="54" l="1"/>
  <c r="B10" i="36" l="1"/>
  <c r="B11" i="36"/>
  <c r="C11" i="36"/>
  <c r="C10" i="36" l="1"/>
  <c r="C20" i="10" l="1"/>
  <c r="C8" i="54" l="1"/>
  <c r="G8" i="54"/>
  <c r="C19" i="10" l="1"/>
  <c r="D18" i="10" s="1"/>
  <c r="N30" i="2" l="1"/>
  <c r="P30" i="2" s="1"/>
  <c r="Q30" i="2" s="1"/>
  <c r="I18" i="10"/>
  <c r="E34" i="10" l="1"/>
  <c r="D36" i="10" s="1"/>
  <c r="E36" i="10"/>
  <c r="E43" i="10" s="1"/>
  <c r="D43" i="10" l="1"/>
  <c r="R36" i="10"/>
  <c r="R43" i="10" s="1"/>
  <c r="K36" i="10"/>
  <c r="K34" i="10" s="1"/>
  <c r="K67" i="10" s="1"/>
  <c r="L45" i="10" l="1"/>
  <c r="L34" i="10"/>
  <c r="L56" i="10"/>
  <c r="L67" i="10" s="1"/>
  <c r="L4" i="10"/>
  <c r="I55" i="40"/>
  <c r="C3" i="54"/>
  <c r="G3" i="54"/>
  <c r="I33" i="40"/>
  <c r="D23" i="4" l="1"/>
  <c r="D24" i="4"/>
  <c r="C27" i="4"/>
  <c r="C28" i="4"/>
  <c r="C5" i="54"/>
  <c r="G5" i="54"/>
  <c r="C15" i="54"/>
  <c r="G15" i="54"/>
  <c r="C16" i="54"/>
  <c r="G16" i="54"/>
  <c r="C19" i="54"/>
  <c r="G19" i="54"/>
  <c r="C21" i="54"/>
  <c r="G21" i="54"/>
  <c r="C26" i="54"/>
  <c r="D28" i="54"/>
  <c r="D29" i="54"/>
  <c r="D30" i="54"/>
  <c r="D31" i="54"/>
  <c r="D33" i="54"/>
  <c r="D34" i="54"/>
  <c r="D36" i="54"/>
  <c r="D37" i="54"/>
  <c r="C39" i="54"/>
  <c r="D39" i="54"/>
  <c r="C41" i="54"/>
  <c r="D41" i="54"/>
  <c r="C45" i="54"/>
  <c r="D45" i="54"/>
  <c r="C46" i="54"/>
  <c r="E46" i="54"/>
  <c r="C47" i="54"/>
  <c r="D47" i="54"/>
  <c r="C52" i="54"/>
  <c r="D52" i="54"/>
  <c r="E52" i="54"/>
  <c r="C53" i="54"/>
  <c r="D53" i="54"/>
  <c r="E53" i="54"/>
  <c r="C54" i="54"/>
  <c r="D54" i="54"/>
  <c r="E54" i="54"/>
  <c r="H54" i="54"/>
  <c r="D4" i="10"/>
  <c r="E4" i="10"/>
  <c r="I4" i="10"/>
  <c r="J4" i="10"/>
  <c r="R4" i="10"/>
  <c r="D5" i="10"/>
  <c r="E5" i="10"/>
  <c r="R5" i="10"/>
  <c r="U5" i="10"/>
  <c r="C6" i="10"/>
  <c r="I6" i="10"/>
  <c r="U6" i="10"/>
  <c r="E13" i="10"/>
  <c r="E18" i="10"/>
  <c r="Q18" i="10"/>
  <c r="R18" i="10"/>
  <c r="P19" i="10"/>
  <c r="E22" i="10"/>
  <c r="E25" i="10"/>
  <c r="E29" i="10"/>
  <c r="E30" i="10"/>
  <c r="E31" i="10"/>
  <c r="D32" i="10"/>
  <c r="E32" i="10"/>
  <c r="Q32" i="10"/>
  <c r="R32" i="10"/>
  <c r="J34" i="10"/>
  <c r="J45" i="10"/>
  <c r="J56" i="10"/>
  <c r="D67" i="10"/>
  <c r="E67" i="10"/>
  <c r="I67" i="10"/>
  <c r="J67" i="10"/>
  <c r="R67" i="10"/>
  <c r="D68" i="10"/>
  <c r="K68" i="10"/>
  <c r="Q68" i="10"/>
  <c r="R68" i="10"/>
  <c r="C50" i="46"/>
  <c r="C51" i="46"/>
  <c r="C53" i="46"/>
  <c r="C55" i="46"/>
  <c r="D55" i="46"/>
  <c r="C56" i="46"/>
  <c r="C57" i="46"/>
  <c r="G17" i="40"/>
  <c r="AU17" i="40"/>
  <c r="AW17" i="40"/>
  <c r="AY17" i="40"/>
  <c r="AZ17" i="40"/>
  <c r="G32" i="40"/>
  <c r="H32" i="40"/>
  <c r="AU32" i="40"/>
  <c r="G33" i="40"/>
  <c r="H33" i="40"/>
  <c r="AU33" i="40"/>
  <c r="G34" i="40"/>
  <c r="H34" i="40"/>
  <c r="AU34" i="40"/>
  <c r="G35" i="40"/>
  <c r="H35" i="40"/>
  <c r="AU35" i="40"/>
  <c r="G36" i="40"/>
  <c r="H36" i="40"/>
  <c r="AU36" i="40"/>
  <c r="G37" i="40"/>
  <c r="H37" i="40"/>
  <c r="AU37" i="40"/>
  <c r="G52" i="40"/>
  <c r="H52" i="40"/>
  <c r="AU52" i="40"/>
  <c r="AW52" i="40"/>
  <c r="AX52" i="40"/>
  <c r="G53" i="40"/>
  <c r="H53" i="40"/>
  <c r="AU53" i="40"/>
  <c r="AW53" i="40"/>
  <c r="AX53" i="40"/>
  <c r="G55" i="40"/>
  <c r="H55" i="40"/>
  <c r="AU55" i="40"/>
  <c r="AW55" i="40"/>
  <c r="AY55" i="40"/>
  <c r="AZ55" i="40"/>
  <c r="G56" i="40"/>
  <c r="H56" i="40"/>
  <c r="AU56" i="40"/>
  <c r="AW56" i="40"/>
  <c r="AX56" i="40"/>
  <c r="G57" i="40"/>
  <c r="H57" i="40"/>
  <c r="AU57" i="40"/>
  <c r="AW57" i="40"/>
  <c r="AX57" i="40"/>
  <c r="G62" i="40"/>
  <c r="H62" i="40"/>
  <c r="AU62" i="40"/>
  <c r="AW62" i="40"/>
  <c r="AX62" i="40"/>
  <c r="G63" i="40"/>
  <c r="H63" i="40"/>
  <c r="AU63" i="40"/>
  <c r="AW63" i="40"/>
  <c r="AX63" i="40"/>
  <c r="G64" i="40"/>
  <c r="H64" i="40"/>
  <c r="AU64" i="40"/>
  <c r="AW64" i="40"/>
  <c r="AX64" i="40"/>
  <c r="G65" i="40"/>
  <c r="H65" i="40"/>
  <c r="AU65" i="40"/>
  <c r="AW65" i="40"/>
  <c r="AX65" i="40"/>
  <c r="G68" i="40"/>
  <c r="H68" i="40"/>
  <c r="AU68" i="40"/>
  <c r="AW68" i="40"/>
  <c r="AX68" i="40"/>
  <c r="G69" i="40"/>
  <c r="H69" i="40"/>
  <c r="AU69" i="40"/>
  <c r="AW69" i="40"/>
  <c r="AX69" i="40"/>
  <c r="G82" i="40"/>
  <c r="H82" i="40"/>
  <c r="AU82" i="40"/>
  <c r="AW82" i="40"/>
  <c r="AX82" i="40"/>
  <c r="G83" i="40"/>
  <c r="H83" i="40"/>
  <c r="AU83" i="40"/>
  <c r="AW83" i="40"/>
  <c r="AX83" i="40"/>
  <c r="G92" i="40"/>
  <c r="H92" i="40"/>
  <c r="AU92" i="40"/>
  <c r="AW92" i="40"/>
  <c r="AX92" i="40"/>
  <c r="G93" i="40"/>
  <c r="H93" i="40"/>
  <c r="AU93" i="40"/>
  <c r="AW93" i="40"/>
  <c r="AX93" i="40"/>
  <c r="G96" i="40"/>
  <c r="H96" i="40"/>
  <c r="AU96" i="40"/>
  <c r="AW96" i="40"/>
  <c r="AX96" i="40"/>
  <c r="G97" i="40"/>
  <c r="H97" i="40"/>
  <c r="AU97" i="40"/>
  <c r="AW97" i="40"/>
  <c r="AX97" i="40"/>
  <c r="G100" i="40"/>
  <c r="H100" i="40"/>
  <c r="AU100" i="40"/>
  <c r="AW100" i="40"/>
  <c r="AX100" i="40"/>
  <c r="G101" i="40"/>
  <c r="H101" i="40"/>
  <c r="AU101" i="40"/>
  <c r="AW101" i="40"/>
  <c r="AX101" i="40"/>
  <c r="G120" i="40"/>
  <c r="H120" i="40"/>
  <c r="AU120" i="40"/>
  <c r="AW120" i="40"/>
  <c r="AX120" i="40"/>
  <c r="G121" i="40"/>
  <c r="H121" i="40"/>
  <c r="AU121" i="40"/>
  <c r="AW121" i="40"/>
  <c r="AX121" i="40"/>
  <c r="G124" i="40"/>
  <c r="H124" i="40"/>
  <c r="AU124" i="40"/>
  <c r="AW124" i="40"/>
  <c r="AX124" i="40"/>
  <c r="G125" i="40"/>
  <c r="H125" i="40"/>
  <c r="AU125" i="40"/>
  <c r="AW125" i="40"/>
  <c r="AX125" i="40"/>
  <c r="G126" i="40"/>
  <c r="H126" i="40"/>
  <c r="AU126" i="40"/>
  <c r="AW126" i="40"/>
  <c r="AX126" i="40"/>
  <c r="G127" i="40"/>
  <c r="H127" i="40"/>
  <c r="AU127" i="40"/>
  <c r="AW127" i="40"/>
  <c r="AX127" i="40"/>
  <c r="G128" i="40"/>
  <c r="H128" i="40"/>
  <c r="AU128" i="40"/>
  <c r="AW128" i="40"/>
  <c r="AX128" i="40"/>
  <c r="G129" i="40"/>
  <c r="H129" i="40"/>
  <c r="AU129" i="40"/>
  <c r="AW129" i="40"/>
  <c r="AX129" i="40"/>
  <c r="G134" i="40"/>
  <c r="H134" i="40"/>
  <c r="AU134" i="40"/>
  <c r="AW134" i="40"/>
  <c r="AX134" i="40"/>
  <c r="G135" i="40"/>
  <c r="H135" i="40"/>
  <c r="AU135" i="40"/>
  <c r="AW135" i="40"/>
  <c r="AX135" i="40"/>
  <c r="G144" i="40"/>
  <c r="H144" i="40"/>
  <c r="AU144" i="40"/>
  <c r="AW144" i="40"/>
  <c r="AX144" i="40"/>
  <c r="G145" i="40"/>
  <c r="H145" i="40"/>
  <c r="AU145" i="40"/>
  <c r="AW145" i="40"/>
  <c r="AX145" i="40"/>
  <c r="G156" i="40"/>
  <c r="H156" i="40"/>
  <c r="AU156" i="40"/>
  <c r="AW156" i="40"/>
  <c r="AX156" i="40"/>
  <c r="G157" i="40"/>
  <c r="H157" i="40"/>
  <c r="AU157" i="40"/>
  <c r="AW157" i="40"/>
  <c r="AX157" i="40"/>
  <c r="G164" i="40"/>
  <c r="H164" i="40"/>
  <c r="AU164" i="40"/>
  <c r="AW164" i="40"/>
  <c r="AX164" i="40"/>
  <c r="G165" i="40"/>
  <c r="H165" i="40"/>
  <c r="AU165" i="40"/>
  <c r="AW165" i="40"/>
  <c r="AX165" i="40"/>
  <c r="G166" i="40"/>
  <c r="H166" i="40"/>
  <c r="AU166" i="40"/>
  <c r="AW166" i="40"/>
  <c r="AX166" i="40"/>
  <c r="G167" i="40"/>
  <c r="H167" i="40"/>
  <c r="AU167" i="40"/>
  <c r="AW167" i="40"/>
  <c r="AX167" i="40"/>
  <c r="H243" i="40"/>
  <c r="D264" i="40"/>
  <c r="E264" i="40"/>
  <c r="L264" i="40"/>
  <c r="M264" i="40"/>
  <c r="N264" i="40"/>
  <c r="W264" i="40"/>
  <c r="AP264" i="40"/>
  <c r="AR264" i="40"/>
  <c r="F324" i="40"/>
  <c r="W324" i="40"/>
  <c r="AP324" i="40"/>
  <c r="AR324" i="40"/>
  <c r="F326" i="40"/>
  <c r="L326" i="40"/>
  <c r="M326" i="40"/>
  <c r="W326" i="40"/>
  <c r="AP326" i="40"/>
  <c r="AR326" i="40"/>
  <c r="C12" i="55"/>
  <c r="C13" i="55"/>
  <c r="D13" i="55"/>
  <c r="D14" i="55"/>
  <c r="D15" i="55"/>
  <c r="D16" i="55"/>
  <c r="C17" i="55"/>
  <c r="B19" i="55"/>
  <c r="C19" i="55"/>
  <c r="D21" i="55"/>
  <c r="E21" i="55"/>
  <c r="F21" i="55"/>
  <c r="C23" i="55"/>
  <c r="G23" i="55"/>
  <c r="C24" i="55"/>
  <c r="D24" i="55"/>
  <c r="E24" i="55"/>
  <c r="G24" i="55"/>
  <c r="C25" i="55"/>
  <c r="D25" i="55"/>
  <c r="E25" i="55"/>
  <c r="F25" i="55"/>
  <c r="G25" i="55"/>
  <c r="C26" i="55"/>
  <c r="D26" i="55"/>
  <c r="E26" i="55"/>
  <c r="F26" i="55"/>
  <c r="G26" i="55"/>
  <c r="H26" i="55"/>
  <c r="B5" i="36"/>
  <c r="B7" i="36"/>
  <c r="C7" i="36"/>
  <c r="B8" i="36"/>
  <c r="C8" i="36"/>
  <c r="C148" i="53"/>
  <c r="C209" i="53"/>
  <c r="D2" i="2"/>
  <c r="D7" i="2"/>
  <c r="E7" i="2"/>
  <c r="F7" i="2"/>
  <c r="O7" i="2"/>
  <c r="AI7" i="2"/>
  <c r="AK7" i="2"/>
  <c r="D17" i="2"/>
  <c r="E17" i="2"/>
  <c r="F17" i="2"/>
  <c r="O17" i="2"/>
  <c r="AI17" i="2"/>
  <c r="AK17" i="2"/>
  <c r="D18" i="2"/>
  <c r="E18" i="2"/>
  <c r="F18" i="2"/>
  <c r="O18" i="2"/>
  <c r="AI18" i="2"/>
  <c r="AK18" i="2"/>
  <c r="E19" i="2"/>
  <c r="D21" i="2"/>
  <c r="AI21" i="2"/>
  <c r="D22" i="2"/>
  <c r="O22" i="2"/>
  <c r="AI22" i="2"/>
  <c r="AK22" i="2"/>
  <c r="H23" i="2"/>
  <c r="Q23" i="2"/>
  <c r="H24" i="2"/>
  <c r="Q24" i="2"/>
  <c r="T24" i="2"/>
  <c r="D25" i="2"/>
  <c r="AI25" i="2"/>
  <c r="AK25" i="2"/>
  <c r="D26" i="2"/>
  <c r="V26" i="2"/>
  <c r="Z26" i="2"/>
  <c r="AD26" i="2"/>
  <c r="AI26" i="2"/>
  <c r="N28" i="2"/>
  <c r="P28" i="2"/>
  <c r="Q28" i="2"/>
  <c r="N36" i="2"/>
  <c r="P36" i="2"/>
  <c r="Q3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Werner Zappe</author>
  </authors>
  <commentList>
    <comment ref="G3" authorId="0" shapeId="0" xr:uid="{00000000-0006-0000-0200-000001000000}">
      <text>
        <r>
          <rPr>
            <b/>
            <sz val="9"/>
            <color indexed="81"/>
            <rFont val="Tahoma"/>
            <family val="2"/>
          </rPr>
          <t>Wiener Filmbrancheneffekt</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Werner Zappe</author>
    <author>zapp</author>
  </authors>
  <commentList>
    <comment ref="D14" authorId="0" shapeId="0" xr:uid="{00000000-0006-0000-0300-000001000000}">
      <text>
        <r>
          <rPr>
            <b/>
            <sz val="9"/>
            <color indexed="81"/>
            <rFont val="Tahoma"/>
            <family val="2"/>
          </rPr>
          <t>ILV:</t>
        </r>
        <r>
          <rPr>
            <sz val="9"/>
            <color indexed="81"/>
            <rFont val="Tahoma"/>
            <family val="2"/>
          </rPr>
          <t xml:space="preserve">
</t>
        </r>
        <r>
          <rPr>
            <sz val="8"/>
            <color indexed="81"/>
            <rFont val="Verdana"/>
            <family val="2"/>
          </rPr>
          <t>innerbetriebliche Leistungsverrechnung bzw. bewertete Eigenleistung</t>
        </r>
      </text>
    </comment>
    <comment ref="E17" authorId="0" shapeId="0" xr:uid="{AECA393F-0917-4714-97E0-F45D97DD46A3}">
      <text>
        <r>
          <rPr>
            <b/>
            <sz val="9"/>
            <color indexed="81"/>
            <rFont val="Segoe UI"/>
            <family val="2"/>
          </rPr>
          <t xml:space="preserve">Abzug </t>
        </r>
        <r>
          <rPr>
            <sz val="9"/>
            <color indexed="81"/>
            <rFont val="Segoe UI"/>
            <family val="2"/>
          </rPr>
          <t xml:space="preserve">
aufgrund von Überschreitungen des Freibetrags in den Vorförderungen</t>
        </r>
      </text>
    </comment>
    <comment ref="G17" authorId="0" shapeId="0" xr:uid="{00000000-0006-0000-0300-000002000000}">
      <text>
        <r>
          <rPr>
            <b/>
            <sz val="9"/>
            <color indexed="81"/>
            <rFont val="Tahoma"/>
            <family val="2"/>
          </rPr>
          <t>Richtsatz</t>
        </r>
        <r>
          <rPr>
            <sz val="9"/>
            <color indexed="81"/>
            <rFont val="Tahoma"/>
            <family val="2"/>
          </rPr>
          <t xml:space="preserve">
(unter Berücksichtigung von
Debutfilm bzw. ILV)
minus Abzug</t>
        </r>
      </text>
    </comment>
    <comment ref="J17" authorId="0" shapeId="0" xr:uid="{57165AE3-5E0B-46C5-99A2-62DD951C1AE2}">
      <text>
        <r>
          <rPr>
            <sz val="9"/>
            <color indexed="81"/>
            <rFont val="Segoe UI"/>
            <family val="2"/>
          </rPr>
          <t xml:space="preserve">In die jeweiligen Eingabefelder (M/W) ist eine „1“ einzugeben. Sollte Drehbuch durch unterschiedliche Geschlechter besetzt sein, dann kann das entsprechende Verhältnis (z.B. „0,5“ zu „0,5“) eingegeben werden.
</t>
        </r>
      </text>
    </comment>
    <comment ref="K17" authorId="0" shapeId="0" xr:uid="{78EC5D48-6CD2-4B29-84E6-5FDE7749389B}">
      <text>
        <r>
          <rPr>
            <sz val="9"/>
            <color indexed="81"/>
            <rFont val="Segoe UI"/>
            <family val="2"/>
          </rPr>
          <t xml:space="preserve">In die jeweiligen Eingabefelder (M/W) ist eine „1“ einzugeben. Sollte Drehbuch durch unterschiedliche Geschlechter besetzt sein, dann kann das entsprechende Verhältnis (z.B. „0,5“ zu „0,5“) eingegeben werden.
</t>
        </r>
      </text>
    </comment>
    <comment ref="C31" authorId="0" shapeId="0" xr:uid="{00000000-0006-0000-0300-000003000000}">
      <text>
        <r>
          <rPr>
            <b/>
            <sz val="9"/>
            <color indexed="81"/>
            <rFont val="Verdana"/>
            <family val="2"/>
          </rPr>
          <t>Gagen gem. Kollektivvertrag:</t>
        </r>
        <r>
          <rPr>
            <sz val="9"/>
            <color indexed="81"/>
            <rFont val="Tahoma"/>
            <family val="2"/>
          </rPr>
          <t xml:space="preserve">
</t>
        </r>
        <r>
          <rPr>
            <sz val="8"/>
            <color indexed="81"/>
            <rFont val="Verdana"/>
            <family val="2"/>
          </rPr>
          <t>obere Zeile = 40h-Woche
untere Zeile = 60h-Woche (§7 KV)</t>
        </r>
      </text>
    </comment>
    <comment ref="D31" authorId="0" shapeId="0" xr:uid="{00000000-0006-0000-0300-000004000000}">
      <text>
        <r>
          <rPr>
            <b/>
            <sz val="9"/>
            <color indexed="81"/>
            <rFont val="Tahoma"/>
            <family val="2"/>
          </rPr>
          <t>ILV:</t>
        </r>
        <r>
          <rPr>
            <sz val="9"/>
            <color indexed="81"/>
            <rFont val="Tahoma"/>
            <family val="2"/>
          </rPr>
          <t xml:space="preserve">
</t>
        </r>
        <r>
          <rPr>
            <sz val="8"/>
            <color indexed="81"/>
            <rFont val="Verdana"/>
            <family val="2"/>
          </rPr>
          <t>innerbetriebliche Leistungsverrechnung bzw. bewertete Eigenleistung</t>
        </r>
      </text>
    </comment>
    <comment ref="E31" authorId="0" shapeId="0" xr:uid="{00000000-0006-0000-0300-000005000000}">
      <text>
        <r>
          <rPr>
            <b/>
            <sz val="8"/>
            <color indexed="81"/>
            <rFont val="Verdana"/>
            <family val="2"/>
          </rPr>
          <t xml:space="preserve">SZ = </t>
        </r>
        <r>
          <rPr>
            <sz val="8"/>
            <color indexed="81"/>
            <rFont val="Verdana"/>
            <family val="2"/>
          </rPr>
          <t xml:space="preserve">Sonderzahlung
</t>
        </r>
        <r>
          <rPr>
            <b/>
            <sz val="8"/>
            <color indexed="81"/>
            <rFont val="Verdana"/>
            <family val="2"/>
          </rPr>
          <t>UEL</t>
        </r>
        <r>
          <rPr>
            <sz val="8"/>
            <color indexed="81"/>
            <rFont val="Verdana"/>
            <family val="2"/>
          </rPr>
          <t xml:space="preserve"> = Urlaubsersatzleistung</t>
        </r>
      </text>
    </comment>
    <comment ref="J32" authorId="0" shapeId="0" xr:uid="{CE2F9762-6E1A-45C0-B2B2-6618A79149F9}">
      <text>
        <r>
          <rPr>
            <b/>
            <sz val="9"/>
            <color indexed="81"/>
            <rFont val="Segoe UI"/>
            <family val="2"/>
          </rPr>
          <t>Bitte in das betreffende Feld eine "1" eingeben</t>
        </r>
        <r>
          <rPr>
            <sz val="9"/>
            <color indexed="81"/>
            <rFont val="Segoe UI"/>
            <family val="2"/>
          </rPr>
          <t xml:space="preserve">
</t>
        </r>
      </text>
    </comment>
    <comment ref="K32" authorId="0" shapeId="0" xr:uid="{9721BAF7-B533-4B6F-98E7-1CB7F1D23AB0}">
      <text>
        <r>
          <rPr>
            <b/>
            <sz val="9"/>
            <color indexed="81"/>
            <rFont val="Segoe UI"/>
            <family val="2"/>
          </rPr>
          <t>Bitte in das betreffened Feld eine "1" eingeben.</t>
        </r>
        <r>
          <rPr>
            <sz val="9"/>
            <color indexed="81"/>
            <rFont val="Segoe UI"/>
            <family val="2"/>
          </rPr>
          <t xml:space="preserve">
</t>
        </r>
      </text>
    </comment>
    <comment ref="E54" authorId="0" shapeId="0" xr:uid="{7FAD4688-F9CD-4150-8F5C-A8C144585067}">
      <text>
        <r>
          <rPr>
            <b/>
            <sz val="9"/>
            <color indexed="81"/>
            <rFont val="Segoe UI"/>
            <family val="2"/>
          </rPr>
          <t xml:space="preserve">Abzug </t>
        </r>
        <r>
          <rPr>
            <sz val="9"/>
            <color indexed="81"/>
            <rFont val="Segoe UI"/>
            <family val="2"/>
          </rPr>
          <t xml:space="preserve">
aufgrund von Überschreitungen des Freibetrags in den Vorförderungen</t>
        </r>
      </text>
    </comment>
    <comment ref="G55" authorId="0" shapeId="0" xr:uid="{00000000-0006-0000-0300-000006000000}">
      <text>
        <r>
          <rPr>
            <b/>
            <sz val="9"/>
            <color indexed="81"/>
            <rFont val="Tahoma"/>
            <family val="2"/>
          </rPr>
          <t>Richtsatz</t>
        </r>
        <r>
          <rPr>
            <sz val="9"/>
            <color indexed="81"/>
            <rFont val="Tahoma"/>
            <family val="2"/>
          </rPr>
          <t xml:space="preserve">
(unter Berücksichtigung von
Debutfilm bzw. ILV)
minus Abzug</t>
        </r>
      </text>
    </comment>
    <comment ref="BC82" authorId="1" shapeId="0" xr:uid="{00000000-0006-0000-0300-000007000000}">
      <text>
        <r>
          <rPr>
            <b/>
            <sz val="8"/>
            <color indexed="81"/>
            <rFont val="Tahoma"/>
            <family val="2"/>
          </rPr>
          <t>zapp:</t>
        </r>
        <r>
          <rPr>
            <sz val="8"/>
            <color indexed="81"/>
            <rFont val="Tahoma"/>
            <family val="2"/>
          </rPr>
          <t xml:space="preserve">
recording supervisor;
sound recordist</t>
        </r>
      </text>
    </comment>
    <comment ref="BC114" authorId="1" shapeId="0" xr:uid="{00000000-0006-0000-0300-000008000000}">
      <text>
        <r>
          <rPr>
            <b/>
            <sz val="8"/>
            <color indexed="81"/>
            <rFont val="Tahoma"/>
            <family val="2"/>
          </rPr>
          <t>zapp:</t>
        </r>
        <r>
          <rPr>
            <sz val="8"/>
            <color indexed="81"/>
            <rFont val="Tahoma"/>
            <family val="2"/>
          </rPr>
          <t xml:space="preserve">
stand by propman,
set dresser, property handler</t>
        </r>
      </text>
    </comment>
    <comment ref="D170" authorId="0" shapeId="0" xr:uid="{66D8901F-91D1-4117-8BD3-4A8756887248}">
      <text>
        <r>
          <rPr>
            <b/>
            <sz val="9"/>
            <color indexed="81"/>
            <rFont val="Tahoma"/>
            <family val="2"/>
          </rPr>
          <t>ILV:</t>
        </r>
        <r>
          <rPr>
            <sz val="9"/>
            <color indexed="81"/>
            <rFont val="Tahoma"/>
            <family val="2"/>
          </rPr>
          <t xml:space="preserve">
</t>
        </r>
        <r>
          <rPr>
            <sz val="8"/>
            <color indexed="81"/>
            <rFont val="Verdana"/>
            <family val="2"/>
          </rPr>
          <t>innerbetriebliche Leistungsverrechnung bzw. bewertete Eigenleistung</t>
        </r>
      </text>
    </comment>
    <comment ref="E171" authorId="0" shapeId="0" xr:uid="{E2B6522A-BB29-45B4-A367-17C76BBE6537}">
      <text>
        <r>
          <rPr>
            <b/>
            <sz val="9"/>
            <color indexed="81"/>
            <rFont val="Segoe UI"/>
            <family val="2"/>
          </rPr>
          <t>Anerkannter Höchstsatz:</t>
        </r>
        <r>
          <rPr>
            <sz val="9"/>
            <color indexed="81"/>
            <rFont val="Segoe UI"/>
            <family val="2"/>
          </rPr>
          <t xml:space="preserve">
Je nach Qualifikation und Erfahrung wird ein maximaler Tagsatz von 600 EUR anerkannt (entspricht einem Wochensatz von 3.000 EUR).
Im Falle von Eigenleistungen werden 80% dieser Sätze anerkannt.</t>
        </r>
      </text>
    </comment>
    <comment ref="D273" authorId="0" shapeId="0" xr:uid="{F438E4F3-893F-48EE-BC4D-FDDCED312436}">
      <text>
        <r>
          <rPr>
            <b/>
            <sz val="9"/>
            <color indexed="81"/>
            <rFont val="Segoe UI"/>
            <family val="2"/>
          </rPr>
          <t>Anerkannter Höchstsatz:</t>
        </r>
        <r>
          <rPr>
            <sz val="9"/>
            <color indexed="81"/>
            <rFont val="Segoe UI"/>
            <family val="2"/>
          </rPr>
          <t xml:space="preserve">
Je nach Qualifikation und Erfahrung wird ein maximaler Tagsatz von 600 EUR anerkannt.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Werner Zappe</author>
  </authors>
  <commentList>
    <comment ref="A14" authorId="0" shapeId="0" xr:uid="{E6360E43-BF94-4AAB-908E-0B94F14679C6}">
      <text>
        <r>
          <rPr>
            <b/>
            <sz val="9"/>
            <color indexed="81"/>
            <rFont val="Segoe UI"/>
            <family val="2"/>
          </rPr>
          <t>Werner Zappe:</t>
        </r>
        <r>
          <rPr>
            <sz val="9"/>
            <color indexed="81"/>
            <rFont val="Segoe UI"/>
            <family val="2"/>
          </rPr>
          <t xml:space="preserve">
Kammerumlage 2</t>
        </r>
      </text>
    </comment>
    <comment ref="C18" authorId="0" shapeId="0" xr:uid="{00000000-0006-0000-0600-000001000000}">
      <text>
        <r>
          <rPr>
            <b/>
            <sz val="9"/>
            <color indexed="81"/>
            <rFont val="Tahoma"/>
            <family val="2"/>
          </rPr>
          <t>Werner Zappe:</t>
        </r>
        <r>
          <rPr>
            <sz val="9"/>
            <color indexed="81"/>
            <rFont val="Tahoma"/>
            <family val="2"/>
          </rPr>
          <t xml:space="preserve">
per 01.06.2012 von € 0,72 auf € 2 erhöht worden.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Werner Zappe</author>
  </authors>
  <commentList>
    <comment ref="Q1" authorId="0" shapeId="0" xr:uid="{00000000-0006-0000-0700-000001000000}">
      <text>
        <r>
          <rPr>
            <b/>
            <sz val="9"/>
            <color indexed="81"/>
            <rFont val="Segoe UI"/>
            <family val="2"/>
          </rPr>
          <t>ACHTUNG!</t>
        </r>
        <r>
          <rPr>
            <sz val="9"/>
            <color indexed="81"/>
            <rFont val="Segoe UI"/>
            <family val="2"/>
          </rPr>
          <t xml:space="preserve">
wenn für die betreffende Rolle eine Schauspielerin vorgesehen ist, bitte ankreuzen (kleines "x").</t>
        </r>
      </text>
    </comment>
    <comment ref="Q4" authorId="0" shapeId="0" xr:uid="{70B8D81C-54E1-40BB-804E-0926F75B0ABA}">
      <text>
        <r>
          <rPr>
            <b/>
            <sz val="9"/>
            <color indexed="81"/>
            <rFont val="Segoe UI"/>
            <family val="2"/>
          </rPr>
          <t>ACHTUNG!</t>
        </r>
        <r>
          <rPr>
            <sz val="9"/>
            <color indexed="81"/>
            <rFont val="Segoe UI"/>
            <family val="2"/>
          </rPr>
          <t xml:space="preserve">
wenn für die betreffende Rolle eine Schauspielerin vorgesehen ist, bitte ankreuzen (kleines "x").</t>
        </r>
      </text>
    </comment>
  </commentList>
</comments>
</file>

<file path=xl/sharedStrings.xml><?xml version="1.0" encoding="utf-8"?>
<sst xmlns="http://schemas.openxmlformats.org/spreadsheetml/2006/main" count="1860" uniqueCount="1262">
  <si>
    <t>1.</t>
  </si>
  <si>
    <t>Vorkosten</t>
  </si>
  <si>
    <t>2.</t>
  </si>
  <si>
    <t>Nutzungsrechte</t>
  </si>
  <si>
    <t>3.</t>
  </si>
  <si>
    <t>Gagen, Löhne, Honorare</t>
  </si>
  <si>
    <t>4.</t>
  </si>
  <si>
    <t>Bild- und Tonaufnahme</t>
  </si>
  <si>
    <t>5.</t>
  </si>
  <si>
    <t>6.</t>
  </si>
  <si>
    <t>Ausstattung</t>
  </si>
  <si>
    <t>7.</t>
  </si>
  <si>
    <t>Schnitt, Synchronisation, Mischung</t>
  </si>
  <si>
    <t>8.</t>
  </si>
  <si>
    <t>Bild, Ton, Bearbeitung</t>
  </si>
  <si>
    <t>9.</t>
  </si>
  <si>
    <t>Versicherungen</t>
  </si>
  <si>
    <t>10.</t>
  </si>
  <si>
    <t>Reise-, Beförderungs- und Transportkosten</t>
  </si>
  <si>
    <t>11.</t>
  </si>
  <si>
    <t>Allgemeine Kosten</t>
  </si>
  <si>
    <t>12.</t>
  </si>
  <si>
    <t>Kostenmindernde Erträge</t>
  </si>
  <si>
    <t>13.</t>
  </si>
  <si>
    <t>14.</t>
  </si>
  <si>
    <t>Fertigungsgemeinkosten</t>
  </si>
  <si>
    <t>15.</t>
  </si>
  <si>
    <t>16.</t>
  </si>
  <si>
    <t>17.</t>
  </si>
  <si>
    <t>18.</t>
  </si>
  <si>
    <t>Fertigstellungsversicherung (Completion Bond)</t>
  </si>
  <si>
    <t>Kosten der Finanzierung *)</t>
  </si>
  <si>
    <t>2. Nutzungsrechte</t>
  </si>
  <si>
    <t>Verfilmungsrechte</t>
  </si>
  <si>
    <t>Treatment</t>
  </si>
  <si>
    <t>Drehbuch</t>
  </si>
  <si>
    <t>Synchronbuch</t>
  </si>
  <si>
    <t>Archivrechte</t>
  </si>
  <si>
    <t>Musikrechte</t>
  </si>
  <si>
    <t>Textrechte</t>
  </si>
  <si>
    <t>Rechtsberatung</t>
  </si>
  <si>
    <t>Sonstiges *)</t>
  </si>
  <si>
    <t>3. Gagen, Löhne, Honorare</t>
  </si>
  <si>
    <t>Wochen</t>
  </si>
  <si>
    <t>Tage</t>
  </si>
  <si>
    <t xml:space="preserve">Wochenpauschale (§ 7 KV) </t>
  </si>
  <si>
    <t>Synchronregie</t>
  </si>
  <si>
    <t>Kommunalsteuer</t>
  </si>
  <si>
    <t>Reserve für Überstunden-, Sonn- und</t>
  </si>
  <si>
    <t>Feiertagsabgeltung</t>
  </si>
  <si>
    <t>Statisten *)</t>
  </si>
  <si>
    <t>4. Bild- und Tonaufnahme</t>
  </si>
  <si>
    <t>Kamera (Ton), Zubehör  35/16 *)</t>
  </si>
  <si>
    <t>Kamera (stumm), Zubehör  35/16</t>
  </si>
  <si>
    <t xml:space="preserve">Tonaufnahmegeräte, Zubehör *) </t>
  </si>
  <si>
    <t>Beleuchtungstechnik: *)</t>
  </si>
  <si>
    <t>Lichtaggregat</t>
  </si>
  <si>
    <t>Sonstiges :*)</t>
  </si>
  <si>
    <t>Sonstige technische und produktionstechnische  Geräte:</t>
  </si>
  <si>
    <t>Schienenwagen</t>
  </si>
  <si>
    <t>Aufnahmewagen</t>
  </si>
  <si>
    <t>Sonstige Räume *)</t>
  </si>
  <si>
    <t>Baumaterial -  Kauf *)</t>
  </si>
  <si>
    <t>Baumaterial - Miete *)</t>
  </si>
  <si>
    <t>Stromkosten (Bau/Abbau/Dreh) *)</t>
  </si>
  <si>
    <t>6. Ausstattung</t>
  </si>
  <si>
    <t>Kostüm - Kauf</t>
  </si>
  <si>
    <t>Kostüm - Miete *)</t>
  </si>
  <si>
    <t>Möbel-Requisiten-Stoffe-Miete *)</t>
  </si>
  <si>
    <t>Haarteile - Kauf</t>
  </si>
  <si>
    <t>Haarteile - Miete *)</t>
  </si>
  <si>
    <t>Schminkmaterial</t>
  </si>
  <si>
    <t>Miete für Musikinstrumente</t>
  </si>
  <si>
    <t>Vorführraum</t>
  </si>
  <si>
    <t>Tonstudio</t>
  </si>
  <si>
    <t>für Nachsynchronisation</t>
  </si>
  <si>
    <t>für Geräuschaufnahme</t>
  </si>
  <si>
    <t>für Geräuschvormischung</t>
  </si>
  <si>
    <t>für Musikaufnahme</t>
  </si>
  <si>
    <t>für I.T. Band-Mischung</t>
  </si>
  <si>
    <t>für Gesamtmischung</t>
  </si>
  <si>
    <t>Fotomaterial und Bearbeitung</t>
  </si>
  <si>
    <t>9. Versicherungen</t>
  </si>
  <si>
    <t>Ausfallversicherung</t>
  </si>
  <si>
    <t>Negativversicherung</t>
  </si>
  <si>
    <t>Geräteversicherung</t>
  </si>
  <si>
    <t>Haftpflichtversicherung</t>
  </si>
  <si>
    <t>Reisegepäckversicherung</t>
  </si>
  <si>
    <t>Unfallversicherung</t>
  </si>
  <si>
    <t>Sonstige *)</t>
  </si>
  <si>
    <t>10. Reise-, Beförderungs- und Transportkosten  *)</t>
  </si>
  <si>
    <t>Fahrtkosten</t>
  </si>
  <si>
    <t>Tag-u. Übernachtungsgelder</t>
  </si>
  <si>
    <t>Beförderungs- und Transportkosten, Frachten, Rollgelder und Taxis</t>
  </si>
  <si>
    <t>11. Allgemeine Kosten</t>
  </si>
  <si>
    <t>Büromaterial/Porti</t>
  </si>
  <si>
    <t>Telefon/Fax</t>
  </si>
  <si>
    <t>Mobiltelefone</t>
  </si>
  <si>
    <t xml:space="preserve">Außerhalb der Pauschalen </t>
  </si>
  <si>
    <t>Außenaufnahmen</t>
  </si>
  <si>
    <t>Schreiben, Vervielfältigungen:</t>
  </si>
  <si>
    <t>Drehbuch (einschließlich Kopien)</t>
  </si>
  <si>
    <t>Dispos/Tagesberichte</t>
  </si>
  <si>
    <t>Übersetzungen</t>
  </si>
  <si>
    <t>12. Kostenmindernde Erträge</t>
  </si>
  <si>
    <t>aus Verkauf von Sachen (Fundus ua)</t>
  </si>
  <si>
    <t>aus Verkauf von Rechten (Musik ua)</t>
  </si>
  <si>
    <t>aus Werbung, von Sponsoren</t>
  </si>
  <si>
    <t xml:space="preserve">Fahrtkosten </t>
  </si>
  <si>
    <t>km</t>
  </si>
  <si>
    <t>je Einheit</t>
  </si>
  <si>
    <t>Bahnfahrten</t>
  </si>
  <si>
    <t>Tag- und Übernachtungsgelder (jeweils von der Mehrwertsteuer entlastet)</t>
  </si>
  <si>
    <t>Diäten</t>
  </si>
  <si>
    <t>Catering</t>
  </si>
  <si>
    <t>Nächtigung</t>
  </si>
  <si>
    <t xml:space="preserve">Beförderungs- und Transportkosten, Frachten, Rollgelder und Taxis </t>
  </si>
  <si>
    <t>Produktion</t>
  </si>
  <si>
    <t>Bus/LKW</t>
  </si>
  <si>
    <t>Bühne</t>
  </si>
  <si>
    <t>Frachten u. Rollgelder</t>
  </si>
  <si>
    <t>Taxis</t>
  </si>
  <si>
    <t>FINANZIERUNGSPLAN</t>
  </si>
  <si>
    <t>Österreichisches Filminstitut</t>
  </si>
  <si>
    <t>Überschreitungsreserve</t>
  </si>
  <si>
    <t>Requisitenhilfe</t>
  </si>
  <si>
    <t>Garderobenhilfe</t>
  </si>
  <si>
    <t>Filmfonds Wien</t>
  </si>
  <si>
    <t>Projektentwicklung</t>
  </si>
  <si>
    <t>Herstellungsförderung</t>
  </si>
  <si>
    <t>Referenzfilmförderung</t>
  </si>
  <si>
    <t>DB</t>
  </si>
  <si>
    <t>DZ</t>
  </si>
  <si>
    <t>MV-Beitrag Dienstgeber</t>
  </si>
  <si>
    <t>U-Bahnabgabe (Wien)</t>
  </si>
  <si>
    <t>bewertete Eigenleistungen</t>
  </si>
  <si>
    <t>Österreichische Produktion</t>
  </si>
  <si>
    <t>Koproduktion / Kofinanzierung</t>
  </si>
  <si>
    <t>Ko-Partner 1</t>
  </si>
  <si>
    <t>Ko-Partner 2</t>
  </si>
  <si>
    <t>Dokumentarfilm</t>
  </si>
  <si>
    <t>Spielfilm</t>
  </si>
  <si>
    <t>Regie</t>
  </si>
  <si>
    <t>Produktionsleitung</t>
  </si>
  <si>
    <t>Laufzeit (in Minuten)</t>
  </si>
  <si>
    <t>Seitenverhältnis</t>
  </si>
  <si>
    <t>Kalkulation vom (Datum)</t>
  </si>
  <si>
    <t>GESAMT</t>
  </si>
  <si>
    <t>Herstellungsleitung</t>
  </si>
  <si>
    <t>Dolby-Lizenz</t>
  </si>
  <si>
    <t xml:space="preserve"> </t>
  </si>
  <si>
    <t>Darsteller</t>
  </si>
  <si>
    <t>SUMME</t>
  </si>
  <si>
    <t>Kollektiv-</t>
  </si>
  <si>
    <t>vertrag</t>
  </si>
  <si>
    <t>DA Sozialversicherung laufend</t>
  </si>
  <si>
    <t>DA Sozialversicherung Sonderzahlung</t>
  </si>
  <si>
    <t>steuer</t>
  </si>
  <si>
    <t>wöchentlich</t>
  </si>
  <si>
    <t>täglich</t>
  </si>
  <si>
    <t>SV-Höchstbeitragsgrundlage laufende Bezüge</t>
  </si>
  <si>
    <t>SV-Höchstbeitragsgrundlage Sonderzahlungen</t>
  </si>
  <si>
    <t>monatlich</t>
  </si>
  <si>
    <t>Höchstbeitrag laufend</t>
  </si>
  <si>
    <t>Höchstbeitrag Sonderzahlung</t>
  </si>
  <si>
    <t>Kalkulatorische Sätze</t>
  </si>
  <si>
    <t>Gesamte Netto-Fertigungskosten</t>
  </si>
  <si>
    <t>Netto-Fertigungskosten Österreich</t>
  </si>
  <si>
    <t>DG SV-Beitrag</t>
  </si>
  <si>
    <t>MV-Beitrag</t>
  </si>
  <si>
    <t>U-Bahn Abgabe</t>
  </si>
  <si>
    <t>UEL-laufend</t>
  </si>
  <si>
    <t>UEL-SZ</t>
  </si>
  <si>
    <t>Drehbeginn</t>
  </si>
  <si>
    <t>Drehmitte</t>
  </si>
  <si>
    <t>Drehende</t>
  </si>
  <si>
    <t>Fertigstellung</t>
  </si>
  <si>
    <t>Rohschnittvorführung</t>
  </si>
  <si>
    <t>Sonstige Nutzungsrechte *)</t>
  </si>
  <si>
    <t>Bewertete Eigenleistungen (ILV)</t>
  </si>
  <si>
    <t>Filmgeschäftsführung</t>
  </si>
  <si>
    <t>TERMINPLAN</t>
  </si>
  <si>
    <t>Aufnahmeformat</t>
  </si>
  <si>
    <t>Kopienformat</t>
  </si>
  <si>
    <t>16mm</t>
  </si>
  <si>
    <t>35mm</t>
  </si>
  <si>
    <t>Digital Video</t>
  </si>
  <si>
    <t>Super 16mm</t>
  </si>
  <si>
    <t>Super 35mm</t>
  </si>
  <si>
    <t>Digital Video und Film</t>
  </si>
  <si>
    <t>km-Geld</t>
  </si>
  <si>
    <t>Diäten (Wien)</t>
  </si>
  <si>
    <t>Diäten (Österreich)</t>
  </si>
  <si>
    <t>Stab</t>
  </si>
  <si>
    <t>Sonstige</t>
  </si>
  <si>
    <t>CATERING</t>
  </si>
  <si>
    <t>Summe</t>
  </si>
  <si>
    <t>ÖSTERR.</t>
  </si>
  <si>
    <t>Kamera</t>
  </si>
  <si>
    <t>Licht</t>
  </si>
  <si>
    <t>Requisite</t>
  </si>
  <si>
    <t>Drehtage</t>
  </si>
  <si>
    <t>Σ-Drehtage</t>
  </si>
  <si>
    <t>Ko-Partner 3</t>
  </si>
  <si>
    <t>Negativbearbeitung</t>
  </si>
  <si>
    <t>Negativentwicklung und Muster</t>
  </si>
  <si>
    <t>Gage</t>
  </si>
  <si>
    <t>aus Versicherungsleistungen (inkl. Prämienrückvergütungen)</t>
  </si>
  <si>
    <t>Möbel-Requisiten-Stoffe - Kauf</t>
  </si>
  <si>
    <t>ORF</t>
  </si>
  <si>
    <t>EURIMAGES</t>
  </si>
  <si>
    <t>Eigenanteil</t>
  </si>
  <si>
    <t>Förderung 1</t>
  </si>
  <si>
    <t>Förderung 2</t>
  </si>
  <si>
    <t>Produzentenhonorar</t>
  </si>
  <si>
    <t>Schneideraum (z.B. Steenbeck)</t>
  </si>
  <si>
    <t>Digitaler Bildschnitt (z.B. AVID)</t>
  </si>
  <si>
    <t>Digitaler Tonschnitt (z.B. AUDIOVISION)</t>
  </si>
  <si>
    <t>I/A/T/N</t>
  </si>
  <si>
    <t>Requisiten</t>
  </si>
  <si>
    <t>Anmerkungen</t>
  </si>
  <si>
    <t>Stunts, Pyrotechnik und SFX</t>
  </si>
  <si>
    <t>Σ</t>
  </si>
  <si>
    <t>Σ-Honorare</t>
  </si>
  <si>
    <t>Σ-Fahrtkosten</t>
  </si>
  <si>
    <t>Σ-Tag- und Übernachtungsgelder</t>
  </si>
  <si>
    <t>Σ-Beförderungs- und Transportkosten, Frachten, Rollgelder und Taxis</t>
  </si>
  <si>
    <t>Σ-Vorkosten</t>
  </si>
  <si>
    <t>Σ-Nutzungsrechte</t>
  </si>
  <si>
    <t>Σ-Lohnnebenkosten</t>
  </si>
  <si>
    <t>Σ-Gagen, Löhne, Honorare</t>
  </si>
  <si>
    <t>Σ-Bild- und Tonaufnahme</t>
  </si>
  <si>
    <t>Σ-Ausstattung</t>
  </si>
  <si>
    <t>Σ-Schnitt, Synchronisation, Mischung</t>
  </si>
  <si>
    <t>Σ-Bild- und Tonmaterial, Bearbeitung</t>
  </si>
  <si>
    <t>Σ-Versicherungen</t>
  </si>
  <si>
    <t>Σ-Reise-, Beförderungs- und Transportkosten</t>
  </si>
  <si>
    <t>Σ-Allgemeine Kosten</t>
  </si>
  <si>
    <t>Σ-Kostenmindernde Erträge</t>
  </si>
  <si>
    <t>+/-</t>
  </si>
  <si>
    <t>V E R T R A G S D A T E N</t>
  </si>
  <si>
    <t>Komparsen u.a.</t>
  </si>
  <si>
    <t>Flüge</t>
  </si>
  <si>
    <t>DZ (Wien)</t>
  </si>
  <si>
    <t>Kontrollsumme</t>
  </si>
  <si>
    <t>GESAMTSUMME</t>
  </si>
  <si>
    <t>Investments,</t>
  </si>
  <si>
    <t>Förderungen etc.</t>
  </si>
  <si>
    <t>%</t>
  </si>
  <si>
    <t>Produktionsbeginn</t>
  </si>
  <si>
    <t>Fertigungskosten</t>
  </si>
  <si>
    <t>Herstellungskosten</t>
  </si>
  <si>
    <t>TV-Anstalt</t>
  </si>
  <si>
    <t>Förderung 3</t>
  </si>
  <si>
    <t>Ausland II</t>
  </si>
  <si>
    <t>Ausland I</t>
  </si>
  <si>
    <t>I</t>
  </si>
  <si>
    <t>II</t>
  </si>
  <si>
    <t>A</t>
  </si>
  <si>
    <t>B</t>
  </si>
  <si>
    <t>C</t>
  </si>
  <si>
    <t xml:space="preserve">Lizenzen, </t>
  </si>
  <si>
    <t xml:space="preserve"> Garantien u.ä.</t>
  </si>
  <si>
    <t>Lizenzen, Garantien etc.</t>
  </si>
  <si>
    <t>Rights</t>
  </si>
  <si>
    <t xml:space="preserve">Fees &amp; salaries </t>
  </si>
  <si>
    <t>Camera, lighting, sound</t>
  </si>
  <si>
    <t>Film stock, sound material and laboratory</t>
  </si>
  <si>
    <t>Insurance</t>
  </si>
  <si>
    <t>Initial costs</t>
  </si>
  <si>
    <t>Overheads</t>
  </si>
  <si>
    <t>Completion Bond</t>
  </si>
  <si>
    <t>Contingency</t>
  </si>
  <si>
    <t>Subtotal of production</t>
  </si>
  <si>
    <t>Total production costs</t>
  </si>
  <si>
    <t>Production budget summary (amounts in €)</t>
  </si>
  <si>
    <t>TOTAL</t>
  </si>
  <si>
    <t>Production company</t>
  </si>
  <si>
    <t>Director</t>
  </si>
  <si>
    <t>Scriptwriter</t>
  </si>
  <si>
    <t>Executive producer</t>
  </si>
  <si>
    <t>Production manager</t>
  </si>
  <si>
    <t>Production accountant</t>
  </si>
  <si>
    <t>Main cast</t>
  </si>
  <si>
    <t>Running time</t>
  </si>
  <si>
    <t>Budget of (date)</t>
  </si>
  <si>
    <t>Aspect ratio</t>
  </si>
  <si>
    <t>Format</t>
  </si>
  <si>
    <t>Austrian production</t>
  </si>
  <si>
    <t>Erstellt von</t>
  </si>
  <si>
    <t>Pre-production</t>
  </si>
  <si>
    <t>Start of shooting</t>
  </si>
  <si>
    <t>Middle of shooting</t>
  </si>
  <si>
    <t>End of shooting</t>
  </si>
  <si>
    <t>Rough cut</t>
  </si>
  <si>
    <t>Completion</t>
  </si>
  <si>
    <t>Deutsch</t>
  </si>
  <si>
    <t>Englisch</t>
  </si>
  <si>
    <t>prepared by</t>
  </si>
  <si>
    <t>Co-production /Co-financing</t>
  </si>
  <si>
    <t>Location</t>
  </si>
  <si>
    <t>SCHEDULE</t>
  </si>
  <si>
    <t>Total days</t>
  </si>
  <si>
    <t>SPRACHE</t>
  </si>
  <si>
    <t>Young talent film</t>
  </si>
  <si>
    <t>Documentary</t>
  </si>
  <si>
    <t>Feature</t>
  </si>
  <si>
    <t>Days of shooting</t>
  </si>
  <si>
    <t>Drehorte</t>
  </si>
  <si>
    <t>Co-partner 1</t>
  </si>
  <si>
    <t>Co-partner 2</t>
  </si>
  <si>
    <t>Co-partner 3</t>
  </si>
  <si>
    <t>Kostenzusammenstellung (Beträge in €)</t>
  </si>
  <si>
    <t>Σ-GAGEN (inkl. SZ u. UEL)</t>
  </si>
  <si>
    <t>Set manager</t>
  </si>
  <si>
    <t>Continuity</t>
  </si>
  <si>
    <t>Camera operator</t>
  </si>
  <si>
    <t>Video technician</t>
  </si>
  <si>
    <t>Boom operator</t>
  </si>
  <si>
    <t>Editor</t>
  </si>
  <si>
    <t>Costume designer</t>
  </si>
  <si>
    <t>Costume adviser</t>
  </si>
  <si>
    <t>Wardrobe</t>
  </si>
  <si>
    <t>Assistant wardrobe</t>
  </si>
  <si>
    <t>Still photographer</t>
  </si>
  <si>
    <t>Gaffer</t>
  </si>
  <si>
    <t>Lights</t>
  </si>
  <si>
    <t>Grip</t>
  </si>
  <si>
    <t>Dubbing director</t>
  </si>
  <si>
    <t>2. Rights</t>
  </si>
  <si>
    <t>Screenrights</t>
  </si>
  <si>
    <t>Script</t>
  </si>
  <si>
    <t>Dubbing script</t>
  </si>
  <si>
    <t>Archive rights</t>
  </si>
  <si>
    <t>Lyric, text rights</t>
  </si>
  <si>
    <t>Composer</t>
  </si>
  <si>
    <t>Dolby-licence</t>
  </si>
  <si>
    <t>Other rights</t>
  </si>
  <si>
    <t>Script editor</t>
  </si>
  <si>
    <t>1. Assistant director (AD)</t>
  </si>
  <si>
    <t>Director of Photography</t>
  </si>
  <si>
    <t>Sound Editor</t>
  </si>
  <si>
    <t>Assistant Editor</t>
  </si>
  <si>
    <t>Prop buyer</t>
  </si>
  <si>
    <t>Prop driver</t>
  </si>
  <si>
    <t>Hair stylist</t>
  </si>
  <si>
    <t>Additional staff members</t>
  </si>
  <si>
    <t>TOTAL SALARIES, FEES</t>
  </si>
  <si>
    <t>Social security</t>
  </si>
  <si>
    <t>Provision for employee</t>
  </si>
  <si>
    <t>Municipal tax</t>
  </si>
  <si>
    <t>Subway toll</t>
  </si>
  <si>
    <t>Overtime</t>
  </si>
  <si>
    <t>Extras</t>
  </si>
  <si>
    <t>Legal advice</t>
  </si>
  <si>
    <t>Set designer</t>
  </si>
  <si>
    <t>Others</t>
  </si>
  <si>
    <t>TOTAL Fees</t>
  </si>
  <si>
    <t>TOTAL Salaries, fees</t>
  </si>
  <si>
    <t>Camera, accessories *)</t>
  </si>
  <si>
    <t>Camera (mute), accessories *)</t>
  </si>
  <si>
    <t>Sound equipment</t>
  </si>
  <si>
    <t>Lighting &amp; grip</t>
  </si>
  <si>
    <t>Generator</t>
  </si>
  <si>
    <t>Recording van</t>
  </si>
  <si>
    <t>Miscellaneous *)</t>
  </si>
  <si>
    <t>TOTAL Camera-, sound-, light- and grip equipment</t>
  </si>
  <si>
    <t>Track bound carriage</t>
  </si>
  <si>
    <t>Unit manager</t>
  </si>
  <si>
    <t>Direct sound engineer</t>
  </si>
  <si>
    <t>Construction manager</t>
  </si>
  <si>
    <t>Music recording manager</t>
  </si>
  <si>
    <t>Other rooms *)</t>
  </si>
  <si>
    <t>Construction material - purchase</t>
  </si>
  <si>
    <t>Construction material - rental</t>
  </si>
  <si>
    <t>Electricity costs (prep/wrap/shooting) *)</t>
  </si>
  <si>
    <t>4. Camera-, sound-, light- and grip equipment</t>
  </si>
  <si>
    <t>Costumes - purchase</t>
  </si>
  <si>
    <t>Costumes - rental</t>
  </si>
  <si>
    <t>Furniture, props, fabrics - purchase</t>
  </si>
  <si>
    <t>Furniture, props, fabrics - rental</t>
  </si>
  <si>
    <t>Wigs - purchase</t>
  </si>
  <si>
    <t>Wigs - rental</t>
  </si>
  <si>
    <t>Make up material</t>
  </si>
  <si>
    <t>Musical instruments - rental</t>
  </si>
  <si>
    <t>Stunts, pyrotechnic and SFX</t>
  </si>
  <si>
    <t>Editing room (e.g. Steenbeck)</t>
  </si>
  <si>
    <t>Screening</t>
  </si>
  <si>
    <t>Sound studio</t>
  </si>
  <si>
    <t>Digital editing (e.g. AVID)</t>
  </si>
  <si>
    <t>Sound editing (e.g. AUDIOVISION)</t>
  </si>
  <si>
    <t>Dubbing</t>
  </si>
  <si>
    <t>Foley</t>
  </si>
  <si>
    <t>Music recording</t>
  </si>
  <si>
    <t>Other technical and production-related equipment</t>
  </si>
  <si>
    <t>Negative cutting</t>
  </si>
  <si>
    <t>Photo material and lab</t>
  </si>
  <si>
    <t>TOTAL Film-stock and sound material, laboratory</t>
  </si>
  <si>
    <t>9. Insurance</t>
  </si>
  <si>
    <t>Negative insurance</t>
  </si>
  <si>
    <t>Equipment insurance</t>
  </si>
  <si>
    <t>Liability insurance</t>
  </si>
  <si>
    <t>Accident insurance</t>
  </si>
  <si>
    <t>TOTAL Insurance</t>
  </si>
  <si>
    <t>Travelling costs</t>
  </si>
  <si>
    <t>Per diem and hotel costs</t>
  </si>
  <si>
    <t>Transportation costs, freight charge and taxis</t>
  </si>
  <si>
    <t>Office supplies and postal charges</t>
  </si>
  <si>
    <t>Office phones/faxes</t>
  </si>
  <si>
    <t>Mobile phones</t>
  </si>
  <si>
    <t>In addition to flat rates</t>
  </si>
  <si>
    <t>Writing, copying:</t>
  </si>
  <si>
    <t>Script (including copies)</t>
  </si>
  <si>
    <t>Call sheets/daily reports</t>
  </si>
  <si>
    <t>Translations</t>
  </si>
  <si>
    <t>Insurance benefits (incl. reimbursement of premieums)</t>
  </si>
  <si>
    <t>Sale of costumes, props etc.</t>
  </si>
  <si>
    <t>Sale of rights (music etc.)</t>
  </si>
  <si>
    <t>Advertising, sponsoring</t>
  </si>
  <si>
    <t>*) see appendix</t>
  </si>
  <si>
    <t>Cost-cutting revenues</t>
  </si>
  <si>
    <t>12. Cost-cutting revenues</t>
  </si>
  <si>
    <t>TOTAL Cost-cutting revenues</t>
  </si>
  <si>
    <t>Kommunikation</t>
  </si>
  <si>
    <t>Communication</t>
  </si>
  <si>
    <t>Motiv- gebühr</t>
  </si>
  <si>
    <t>Abgaben &amp; HV</t>
  </si>
  <si>
    <t>Bau-  material</t>
  </si>
  <si>
    <t>Set decoration &amp; costume design</t>
  </si>
  <si>
    <t>Editing, dubbing , sound mix</t>
  </si>
  <si>
    <t>7. Editing, dubbing, sound mix</t>
  </si>
  <si>
    <t>TOTAL Editing, dubbing, sound mix</t>
  </si>
  <si>
    <t>10. Travel expenses and transportation costs</t>
  </si>
  <si>
    <t>TOTAL Travel expenses and transportation costs</t>
  </si>
  <si>
    <t>Travel expenses and transportation costs</t>
  </si>
  <si>
    <t>11. General expenses</t>
  </si>
  <si>
    <t>TOTAL General expenses</t>
  </si>
  <si>
    <t>General expenses</t>
  </si>
  <si>
    <t>TOTAL Initial costs</t>
  </si>
  <si>
    <t>TOTAL Rights</t>
  </si>
  <si>
    <t>I/E/D/N</t>
  </si>
  <si>
    <t>Location rent</t>
  </si>
  <si>
    <t>Set 1</t>
  </si>
  <si>
    <t>Set 2</t>
  </si>
  <si>
    <t>Set 3</t>
  </si>
  <si>
    <t>Set 4</t>
  </si>
  <si>
    <t>Set 5</t>
  </si>
  <si>
    <t>Set 6</t>
  </si>
  <si>
    <t>Set 7</t>
  </si>
  <si>
    <t>Set 8</t>
  </si>
  <si>
    <t>Set 9</t>
  </si>
  <si>
    <t>Set 10</t>
  </si>
  <si>
    <t>Set 11</t>
  </si>
  <si>
    <t>Set 12</t>
  </si>
  <si>
    <t>Set 13</t>
  </si>
  <si>
    <t>Set 14</t>
  </si>
  <si>
    <t>Set 15</t>
  </si>
  <si>
    <t>Set 16</t>
  </si>
  <si>
    <t>Set 17</t>
  </si>
  <si>
    <t>Set 18</t>
  </si>
  <si>
    <t>Set 19</t>
  </si>
  <si>
    <t>Set 20</t>
  </si>
  <si>
    <t>Set 21</t>
  </si>
  <si>
    <t>Set 22</t>
  </si>
  <si>
    <t>Set 23</t>
  </si>
  <si>
    <t>Set 24</t>
  </si>
  <si>
    <t>Set 25</t>
  </si>
  <si>
    <t>Public charges</t>
  </si>
  <si>
    <t>Construction material</t>
  </si>
  <si>
    <t>Props</t>
  </si>
  <si>
    <t>Remarks</t>
  </si>
  <si>
    <t>TOTAL Non-wage labour costs</t>
  </si>
  <si>
    <t>Music rights</t>
  </si>
  <si>
    <t>Production company's contribution</t>
  </si>
  <si>
    <t>1. Assistant camera</t>
  </si>
  <si>
    <t>2. Assistant camera</t>
  </si>
  <si>
    <t>Set decorator</t>
  </si>
  <si>
    <t>HONORARE</t>
  </si>
  <si>
    <t>FEES</t>
  </si>
  <si>
    <t>Graphic artist</t>
  </si>
  <si>
    <t>6. Set design</t>
  </si>
  <si>
    <t>TOTAL Set design</t>
  </si>
  <si>
    <t>Premix</t>
  </si>
  <si>
    <t>M &amp; E tracking</t>
  </si>
  <si>
    <t>Sound mix</t>
  </si>
  <si>
    <t>Negative development and dailies</t>
  </si>
  <si>
    <t>Film Producer Indemnity Insurance</t>
  </si>
  <si>
    <t>Luggage insurance</t>
  </si>
  <si>
    <t>Location shooting</t>
  </si>
  <si>
    <t>Line producer</t>
  </si>
  <si>
    <t>N A M E</t>
  </si>
  <si>
    <t>ANMELDUNG</t>
  </si>
  <si>
    <t>ABMELDUNG</t>
  </si>
  <si>
    <t>WOCHEN</t>
  </si>
  <si>
    <t>WO-GAGE</t>
  </si>
  <si>
    <t>Total</t>
  </si>
  <si>
    <t>days</t>
  </si>
  <si>
    <t>NAME</t>
  </si>
  <si>
    <t>Other film processing</t>
  </si>
  <si>
    <t>km-Gelder</t>
  </si>
  <si>
    <t>km-allowance</t>
  </si>
  <si>
    <t>Crew</t>
  </si>
  <si>
    <t>Cast</t>
  </si>
  <si>
    <t>Flights</t>
  </si>
  <si>
    <t>Trains</t>
  </si>
  <si>
    <t>TOTAL Travelling costs</t>
  </si>
  <si>
    <t>Per diem</t>
  </si>
  <si>
    <t>Hotels / Lodging</t>
  </si>
  <si>
    <t>TOTAL Per diem and hotel costs</t>
  </si>
  <si>
    <t>TOTAL Transportation costs, freight charge and taxis</t>
  </si>
  <si>
    <t>Production</t>
  </si>
  <si>
    <t>Camera</t>
  </si>
  <si>
    <t>per unit</t>
  </si>
  <si>
    <t>weeks</t>
  </si>
  <si>
    <t>Freight charge</t>
  </si>
  <si>
    <t>FINANCING PLAN</t>
  </si>
  <si>
    <t>Producer's own investment</t>
  </si>
  <si>
    <t>Deferrals</t>
  </si>
  <si>
    <t>Licences, guarantees etc.</t>
  </si>
  <si>
    <t>Austrian Filminstitut</t>
  </si>
  <si>
    <t>Production support</t>
  </si>
  <si>
    <t>Reference funding</t>
  </si>
  <si>
    <t>Film Funds Vienna</t>
  </si>
  <si>
    <t>Project development</t>
  </si>
  <si>
    <t>Funding entity 1</t>
  </si>
  <si>
    <t>Funding entity 2</t>
  </si>
  <si>
    <t>Funding entity 3</t>
  </si>
  <si>
    <t>Broadcasting Company</t>
  </si>
  <si>
    <t>Per diem and hotel costs (VAT deducted)</t>
  </si>
  <si>
    <t>Print</t>
  </si>
  <si>
    <t>Sonstige (z.B. ISAN - Kennzeichnung)  *)</t>
  </si>
  <si>
    <t>Postproduction coordinator</t>
  </si>
  <si>
    <t>Garderobe</t>
  </si>
  <si>
    <t>StandfotografIn</t>
  </si>
  <si>
    <t>ArchitektIn/Ausstattung</t>
  </si>
  <si>
    <t>GrafikerIn</t>
  </si>
  <si>
    <t>Sonstige MitarbeiterInnen</t>
  </si>
  <si>
    <t>KomponistIn</t>
  </si>
  <si>
    <t>DramaturgIn</t>
  </si>
  <si>
    <t>Drehbuch - Richtsatz</t>
  </si>
  <si>
    <t>III</t>
  </si>
  <si>
    <t>IV</t>
  </si>
  <si>
    <t>Ortsgebiet</t>
  </si>
  <si>
    <t>Ausland III</t>
  </si>
  <si>
    <t>Ausland IV</t>
  </si>
  <si>
    <t>Richtsätze</t>
  </si>
  <si>
    <t>Höchstsätze</t>
  </si>
  <si>
    <t>Werkstattprojekt</t>
  </si>
  <si>
    <t>Fertigungsgemeinkosten (FGK)</t>
  </si>
  <si>
    <t>WFBE</t>
  </si>
  <si>
    <t>WFBE-IST</t>
  </si>
  <si>
    <t>Bemessung von Richt- und Höchstsätzen</t>
  </si>
  <si>
    <t>Buch-/Projektentwicklung (selektiv)</t>
  </si>
  <si>
    <t>Script/Project development (selective)</t>
  </si>
  <si>
    <t>Script/Project development (automatique)</t>
  </si>
  <si>
    <t>Buch-/Projektentw. (Referenzmittel)</t>
  </si>
  <si>
    <t>M</t>
  </si>
  <si>
    <t>W</t>
  </si>
  <si>
    <t>männl.</t>
  </si>
  <si>
    <t>weibl.</t>
  </si>
  <si>
    <t>Mindestgagentarife in EURO</t>
  </si>
  <si>
    <t>Wochengage</t>
  </si>
  <si>
    <t>Wochenpauschalgage § 7</t>
  </si>
  <si>
    <t xml:space="preserve">Tagesgage </t>
  </si>
  <si>
    <t xml:space="preserve">Monatsgage </t>
  </si>
  <si>
    <t>40 Stunden</t>
  </si>
  <si>
    <t>60 Stunden</t>
  </si>
  <si>
    <t>(1/4 d. Wochengage)</t>
  </si>
  <si>
    <t>(1/5 d. Wochengage)</t>
  </si>
  <si>
    <t>1. Berufsjahr</t>
  </si>
  <si>
    <t>2. Berufsjahr</t>
  </si>
  <si>
    <t>3. Berufsjahr</t>
  </si>
  <si>
    <t>8 Stunden</t>
  </si>
  <si>
    <t>WG mal 4,33</t>
  </si>
  <si>
    <t>inkl. SZ/UEL</t>
  </si>
  <si>
    <t>reduziert um</t>
  </si>
  <si>
    <t>Regie (freie Vereinbarung)</t>
  </si>
  <si>
    <t>Regieassistenz</t>
  </si>
  <si>
    <t>2.  Aufnahmeleitung  (Set Aufnahmeleitung)</t>
  </si>
  <si>
    <t>Musikaufnahmeleitung</t>
  </si>
  <si>
    <t>TV-Producer (freie Vereinbarung)</t>
  </si>
  <si>
    <t>Produktionsassistenz</t>
  </si>
  <si>
    <t>Continuity/Script</t>
  </si>
  <si>
    <t>1.  Kameraassistenz</t>
  </si>
  <si>
    <t>2.  Kameraassistenz</t>
  </si>
  <si>
    <t>Produktionskoordination</t>
  </si>
  <si>
    <t>Postproduktionskoordination</t>
  </si>
  <si>
    <t>Data Wrangler</t>
  </si>
  <si>
    <t>Außenrequisite</t>
  </si>
  <si>
    <t>Innenrequisite</t>
  </si>
  <si>
    <t>Kostümbild</t>
  </si>
  <si>
    <t>Kostümbildassistenz</t>
  </si>
  <si>
    <t>Maskenbild, Frisur</t>
  </si>
  <si>
    <t>Garderobe-, Maskenbild- und Requisitehilfe</t>
  </si>
  <si>
    <t>Tonassistenz, Videotechnik,  Primärtontechnik</t>
  </si>
  <si>
    <t>Filmarchitektur (Szenenbild)</t>
  </si>
  <si>
    <t>Filmarchitektassistenz (Szenenbildassistenz)</t>
  </si>
  <si>
    <t>Bühnenmeister, Oberbeleuchter</t>
  </si>
  <si>
    <t>Bühne, Licht</t>
  </si>
  <si>
    <t>Produktionsfahrer</t>
  </si>
  <si>
    <t>ILV</t>
  </si>
  <si>
    <t>Production coordinator</t>
  </si>
  <si>
    <t>Production assistant</t>
  </si>
  <si>
    <t>Continuity/Skript</t>
  </si>
  <si>
    <t>1. Kameraassistenz</t>
  </si>
  <si>
    <t>2. Kameraassistenz</t>
  </si>
  <si>
    <t>Videotechnik</t>
  </si>
  <si>
    <t>Ton</t>
  </si>
  <si>
    <t>Tonassistenz</t>
  </si>
  <si>
    <t>Primärtontechnik</t>
  </si>
  <si>
    <t>Schnitt</t>
  </si>
  <si>
    <t>Tonschnitt</t>
  </si>
  <si>
    <t>Schnittassistenz</t>
  </si>
  <si>
    <t>Maskenbildhilfe</t>
  </si>
  <si>
    <t>Frisur</t>
  </si>
  <si>
    <t>Szenenbildassistenz</t>
  </si>
  <si>
    <t>Szenenbild (Filmarchitektur)</t>
  </si>
  <si>
    <t>Sound Design</t>
  </si>
  <si>
    <t>Sonstige Dienstleister/Rechnungsleger</t>
  </si>
  <si>
    <t>Other Services</t>
  </si>
  <si>
    <t>GENDER-BUDGETING</t>
  </si>
  <si>
    <t>3. Salaries, fees</t>
  </si>
  <si>
    <t>ILV (-20%)</t>
  </si>
  <si>
    <t>Richtsatz</t>
  </si>
  <si>
    <t>DarstellerInnen</t>
  </si>
  <si>
    <t>*) Lt. Anlage</t>
  </si>
  <si>
    <t>MusikerInnen, Tänzer, Sänger</t>
  </si>
  <si>
    <t>Musicians, dancer, singer</t>
  </si>
  <si>
    <t>Lohnnebenkosten (Dienstgeber)</t>
  </si>
  <si>
    <t>Non-wage labour costs (employer)</t>
  </si>
  <si>
    <t>Dienstgeberanteil Lohnnebenkosten</t>
  </si>
  <si>
    <t>DB zum Familienlastenausgleichsfonds</t>
  </si>
  <si>
    <t>Filmbündelversicherung</t>
  </si>
  <si>
    <t>Combined Policy</t>
  </si>
  <si>
    <t>Barrierefreie Bearbeitung (verpflichtend)</t>
  </si>
  <si>
    <t>Bild- und Tonmaterial</t>
  </si>
  <si>
    <t>Film- and soundstock</t>
  </si>
  <si>
    <t>analoges Material</t>
  </si>
  <si>
    <t>Speichermedien</t>
  </si>
  <si>
    <t>Sonstiges</t>
  </si>
  <si>
    <t>Data transfer &amp; backup</t>
  </si>
  <si>
    <t>Datenüberspielung/Sicherung</t>
  </si>
  <si>
    <t>8. Bild- und Tonmaterial, Bearbeitung*)</t>
  </si>
  <si>
    <t>8. Filmstock and sound material, laboratory*)</t>
  </si>
  <si>
    <t>Titelgestaltung</t>
  </si>
  <si>
    <t>Design of title</t>
  </si>
  <si>
    <t>Filmtricks (Animation, CGI, VFX)</t>
  </si>
  <si>
    <t>Animation, CGI, VFX</t>
  </si>
  <si>
    <t>Sonstige Bildbearbeitung</t>
  </si>
  <si>
    <t>Telecine und Farbkorrektur</t>
  </si>
  <si>
    <t>Konvertierungen</t>
  </si>
  <si>
    <t>Traileranfertigung</t>
  </si>
  <si>
    <t>hörbehindertengerechte dt. Untertitelung</t>
  </si>
  <si>
    <t>Audiodeskription</t>
  </si>
  <si>
    <t>DCDM (Digital Cinema Distribution Master)</t>
  </si>
  <si>
    <t>Filmkopien (Null-, Korrektur-, Archivkopie)</t>
  </si>
  <si>
    <t>TV-Fassung</t>
  </si>
  <si>
    <t>Copies &amp; DI-Master</t>
  </si>
  <si>
    <t>Kopien &amp; DI-Master</t>
  </si>
  <si>
    <t>Sonstiges (Beleg- und Ansichtskopien, DVD, etc.)</t>
  </si>
  <si>
    <t>analogue material</t>
  </si>
  <si>
    <t>hard-disks, cards etc.</t>
  </si>
  <si>
    <t>Telecine &amp; Colour correction</t>
  </si>
  <si>
    <t>File encoding</t>
  </si>
  <si>
    <t>Trailer</t>
  </si>
  <si>
    <t>Answer print, colour corrected copy, archival print</t>
  </si>
  <si>
    <t>TV-Master</t>
  </si>
  <si>
    <t>Accessibility for users with disabilities</t>
  </si>
  <si>
    <t>Special subtitling</t>
  </si>
  <si>
    <t>Audio description</t>
  </si>
  <si>
    <t>ORF (Lizenzanteil)</t>
  </si>
  <si>
    <t>ORF (licence share)</t>
  </si>
  <si>
    <t>Verleihgarantie</t>
  </si>
  <si>
    <t>MG (Weltvertrieb)</t>
  </si>
  <si>
    <t>MG (ROW)</t>
  </si>
  <si>
    <t>MG (national)</t>
  </si>
  <si>
    <t>KV +20%</t>
  </si>
  <si>
    <t>KV +30%</t>
  </si>
  <si>
    <t>Dok/SPF</t>
  </si>
  <si>
    <t>7. Schnitt, Sync, Mischung</t>
  </si>
  <si>
    <t>Funktionsträger (Name)</t>
  </si>
  <si>
    <t>Herstellungsleiter</t>
  </si>
  <si>
    <t>Produktionsleiter</t>
  </si>
  <si>
    <t>kalkulatorische Lohnnebenkosten</t>
  </si>
  <si>
    <t>Modellspezifikation</t>
  </si>
  <si>
    <t>Bildschnitt</t>
  </si>
  <si>
    <t>Sonstige Postproduktion</t>
  </si>
  <si>
    <t>Fahrzeuge</t>
  </si>
  <si>
    <t>Allgemeine Pauschalen</t>
  </si>
  <si>
    <t>Eigenmittel + ev. Rückstellungen im Eigenanteil</t>
  </si>
  <si>
    <t>Sonstiges Equipment</t>
  </si>
  <si>
    <t>Rechte</t>
  </si>
  <si>
    <t>Gemeinsame Rechtevorverkäufe</t>
  </si>
  <si>
    <t>Common presales</t>
  </si>
  <si>
    <t>Lizenzen</t>
  </si>
  <si>
    <t>Garantien</t>
  </si>
  <si>
    <t>Licences</t>
  </si>
  <si>
    <t>Guarantees</t>
  </si>
  <si>
    <t>Budget</t>
  </si>
  <si>
    <t>Abrechnung</t>
  </si>
  <si>
    <t>SUMME bewertete Eigenleistungen (ILV)</t>
  </si>
  <si>
    <t>IESG-Zuschlag</t>
  </si>
  <si>
    <t>WF-Beitrag</t>
  </si>
  <si>
    <t>PV-Beitrag</t>
  </si>
  <si>
    <t>UV-Beitrag</t>
  </si>
  <si>
    <t>KV-Beitrag</t>
  </si>
  <si>
    <t>AV-Beitrag</t>
  </si>
  <si>
    <t>SZ</t>
  </si>
  <si>
    <t>laufende Bez.</t>
  </si>
  <si>
    <t>Produktionsfirma</t>
  </si>
  <si>
    <t>(Zutreffendes bitte ankreuzen)</t>
  </si>
  <si>
    <t>DEBUT</t>
  </si>
  <si>
    <t>STAMMDATENBLATT</t>
  </si>
  <si>
    <t>MASTER DATA SHEET</t>
  </si>
  <si>
    <t>Regie - Richtsatz (inkl. SZ u. UEL)</t>
  </si>
  <si>
    <t>Debutfilm (1. abendfüllender Kinofilm)</t>
  </si>
  <si>
    <t>Set designer assistant</t>
  </si>
  <si>
    <t>Komposition</t>
  </si>
  <si>
    <t>Dramaturgie</t>
  </si>
  <si>
    <t>Digital Image Technician (DIT)</t>
  </si>
  <si>
    <t>Set-Aufnahmeleitung (2. AL)</t>
  </si>
  <si>
    <t>Motivgebühren (einschließlich Halteverbote, Nebenräume)</t>
  </si>
  <si>
    <t>Location fees (parking restrictiones &amp; ancillary rooms incl.)</t>
  </si>
  <si>
    <t>Werkstatt</t>
  </si>
  <si>
    <t>Workshop</t>
  </si>
  <si>
    <t>Requisitenlager</t>
  </si>
  <si>
    <t>Kostümfundus</t>
  </si>
  <si>
    <t>Studio (prep &amp; dismantling incl.)</t>
  </si>
  <si>
    <t>Studio (inkl. Vor- und Rückbau)</t>
  </si>
  <si>
    <t>Props room</t>
  </si>
  <si>
    <t>Costume store</t>
  </si>
  <si>
    <t>Casting- und Probenräume</t>
  </si>
  <si>
    <t>Casting and rehearsal studios</t>
  </si>
  <si>
    <t>Externe Produktionsbüros</t>
  </si>
  <si>
    <t>5. Studiodreh, Originalmotive, Bauten</t>
  </si>
  <si>
    <t>5. Studio, original locations, constrcution</t>
  </si>
  <si>
    <t>Production offices (ext.)</t>
  </si>
  <si>
    <t>Lampen, Kabel, Dolly</t>
  </si>
  <si>
    <t>Lights, cables, dolly</t>
  </si>
  <si>
    <t>Steiger</t>
  </si>
  <si>
    <t>Scherenbühne</t>
  </si>
  <si>
    <t>Scissors lift</t>
  </si>
  <si>
    <t>Cherry picker</t>
  </si>
  <si>
    <t>Funkgeräte</t>
  </si>
  <si>
    <t>Walkie-talkies</t>
  </si>
  <si>
    <t>Spielfahrzeuge</t>
  </si>
  <si>
    <t>Movie cars</t>
  </si>
  <si>
    <t>Spiel-fahrzeuge</t>
  </si>
  <si>
    <t>Stunts,     SFX etc.</t>
  </si>
  <si>
    <t>Set 26</t>
  </si>
  <si>
    <t>Set 27</t>
  </si>
  <si>
    <t>Set 28</t>
  </si>
  <si>
    <t>Set 29</t>
  </si>
  <si>
    <t>Set 30</t>
  </si>
  <si>
    <t>Studiodreh, Originalmotive, Bauten</t>
  </si>
  <si>
    <t>Studio, original locations, constrcution</t>
  </si>
  <si>
    <t>Σ-Studiodreh, Originalmotive, Bauten</t>
  </si>
  <si>
    <t>TOTAL Studio, original locations, constrcution</t>
  </si>
  <si>
    <t>Absperrhilfen</t>
  </si>
  <si>
    <t>19.</t>
  </si>
  <si>
    <t>Kamera im Verbund</t>
  </si>
  <si>
    <t>Schwenker (Operator)</t>
  </si>
  <si>
    <t>Teamassistenz (ENG Team)</t>
  </si>
  <si>
    <t>Digital Image Technican (DIT)</t>
  </si>
  <si>
    <t>Editor (Schnitt)</t>
  </si>
  <si>
    <t>Werkstattprojekt (§ 19 KV)</t>
  </si>
  <si>
    <r>
      <t xml:space="preserve">Herstellungsleitung I </t>
    </r>
    <r>
      <rPr>
        <vertAlign val="superscript"/>
        <sz val="12"/>
        <color theme="0"/>
        <rFont val="Verdana"/>
        <family val="2"/>
      </rPr>
      <t>1)</t>
    </r>
  </si>
  <si>
    <r>
      <t xml:space="preserve">Herstellungsleitung II </t>
    </r>
    <r>
      <rPr>
        <vertAlign val="superscript"/>
        <sz val="12"/>
        <color theme="0"/>
        <rFont val="Verdana"/>
        <family val="2"/>
      </rPr>
      <t>2)</t>
    </r>
  </si>
  <si>
    <r>
      <t xml:space="preserve">Produktionsleitung </t>
    </r>
    <r>
      <rPr>
        <vertAlign val="superscript"/>
        <sz val="12"/>
        <color theme="0"/>
        <rFont val="Verdana"/>
        <family val="2"/>
      </rPr>
      <t>1)</t>
    </r>
  </si>
  <si>
    <r>
      <t xml:space="preserve">Produktionsleitung </t>
    </r>
    <r>
      <rPr>
        <vertAlign val="superscript"/>
        <sz val="12"/>
        <color theme="0"/>
        <rFont val="Verdana"/>
        <family val="2"/>
      </rPr>
      <t>2)</t>
    </r>
  </si>
  <si>
    <r>
      <t xml:space="preserve">1.  Aufnahmeleitung </t>
    </r>
    <r>
      <rPr>
        <vertAlign val="superscript"/>
        <sz val="12"/>
        <color theme="0"/>
        <rFont val="Verdana"/>
        <family val="2"/>
      </rPr>
      <t>1)</t>
    </r>
  </si>
  <si>
    <r>
      <t xml:space="preserve">1.  Aufnahmeleitung </t>
    </r>
    <r>
      <rPr>
        <vertAlign val="superscript"/>
        <sz val="12"/>
        <color theme="0"/>
        <rFont val="Verdana"/>
        <family val="2"/>
      </rPr>
      <t>2)</t>
    </r>
  </si>
  <si>
    <r>
      <t xml:space="preserve">Kamera I </t>
    </r>
    <r>
      <rPr>
        <vertAlign val="superscript"/>
        <sz val="12"/>
        <color theme="0"/>
        <rFont val="Verdana"/>
        <family val="2"/>
      </rPr>
      <t>1)</t>
    </r>
  </si>
  <si>
    <r>
      <t xml:space="preserve">Kamera II </t>
    </r>
    <r>
      <rPr>
        <vertAlign val="superscript"/>
        <sz val="12"/>
        <color theme="0"/>
        <rFont val="Verdana"/>
        <family val="2"/>
      </rPr>
      <t>2)</t>
    </r>
  </si>
  <si>
    <r>
      <t xml:space="preserve">Kamera III </t>
    </r>
    <r>
      <rPr>
        <vertAlign val="superscript"/>
        <sz val="12"/>
        <color theme="0"/>
        <rFont val="Verdana"/>
        <family val="2"/>
      </rPr>
      <t>3)</t>
    </r>
  </si>
  <si>
    <t>Gender-Gap-Financing (GGF)</t>
  </si>
  <si>
    <t>DCDM (Archivkopie, Filmarchiv Austria)</t>
  </si>
  <si>
    <t>DCPs</t>
  </si>
  <si>
    <t>DCDM (archive)</t>
  </si>
  <si>
    <t>Casting</t>
  </si>
  <si>
    <t>KunstmalerIn, BildhauerIn</t>
  </si>
  <si>
    <t>Scenic artist, sculptor</t>
  </si>
  <si>
    <t>GREEN FILMING MEHRKOSTEN</t>
  </si>
  <si>
    <t>in Abhängigkeit vom geplanten Green Filming Concept</t>
  </si>
  <si>
    <t>Vorkosten/Projektentwicklung</t>
  </si>
  <si>
    <t>Green Film Consultant</t>
  </si>
  <si>
    <t>Einheit</t>
  </si>
  <si>
    <t>Preis</t>
  </si>
  <si>
    <t>Vorproduktion und Dreh</t>
  </si>
  <si>
    <t>Green Runner</t>
  </si>
  <si>
    <t>Bühnenmeister*in</t>
  </si>
  <si>
    <t>Produktionsfahrer*in</t>
  </si>
  <si>
    <t>Oberbeleuchter*in</t>
  </si>
  <si>
    <t>Personal</t>
  </si>
  <si>
    <t>PERSONAL</t>
  </si>
  <si>
    <t>Lohnnebenkosten (anteilig)</t>
  </si>
  <si>
    <t>Mehrkosten STAB:</t>
  </si>
  <si>
    <t>GESAMTE MEHRKOSTEN GREEN FILMING</t>
  </si>
  <si>
    <t>LNK</t>
  </si>
  <si>
    <t>Position X</t>
  </si>
  <si>
    <t>20.</t>
  </si>
  <si>
    <t>DECKUNGSBEITRAG</t>
  </si>
  <si>
    <t>Mitteltransfer (Zu-/Abflüsse) **)</t>
  </si>
  <si>
    <t>money-transfer **)</t>
  </si>
  <si>
    <t>**) nur bei Koproduktionen</t>
  </si>
  <si>
    <t>*)   Lt. Anlage</t>
  </si>
  <si>
    <t>**) coproductions only</t>
  </si>
  <si>
    <t>*)   appendix</t>
  </si>
  <si>
    <t>Doku</t>
  </si>
  <si>
    <t>Kopro</t>
  </si>
  <si>
    <t>national</t>
  </si>
  <si>
    <t>ÖFI+</t>
  </si>
  <si>
    <t>ÖFI+ IST</t>
  </si>
  <si>
    <t>Green Bonus (5%)</t>
  </si>
  <si>
    <t>Debut Buch</t>
  </si>
  <si>
    <t>Debut screenplay</t>
  </si>
  <si>
    <t>Debut (Drehbuch)</t>
  </si>
  <si>
    <t>Debutfilm (full-length)</t>
  </si>
  <si>
    <t>HL</t>
  </si>
  <si>
    <t>PL</t>
  </si>
  <si>
    <t>FGF</t>
  </si>
  <si>
    <t>--&gt; HL Detail-Kalk.</t>
  </si>
  <si>
    <t>--&gt; PL Detail-Kalk.</t>
  </si>
  <si>
    <t>--&gt; FGF Detail-Kalk.</t>
  </si>
  <si>
    <t>--&gt; DB Detail-Kalk.</t>
  </si>
  <si>
    <t>--&gt; RE Detail-Kalk.</t>
  </si>
  <si>
    <t>weitere Effekte</t>
  </si>
  <si>
    <t>ÖFI+ -IST</t>
  </si>
  <si>
    <t>Sonstige Personalkosten</t>
  </si>
  <si>
    <t>Kalkulatorische Lohnnebenkosten</t>
  </si>
  <si>
    <t>Personalleistungen</t>
  </si>
  <si>
    <t>Sachleistungen</t>
  </si>
  <si>
    <t>Position Y</t>
  </si>
  <si>
    <t>Position Z</t>
  </si>
  <si>
    <t>VORKOSTEN</t>
  </si>
  <si>
    <t>PRODUKTION</t>
  </si>
  <si>
    <t>(inkl. SZ &amp; UEL)</t>
  </si>
  <si>
    <t>BRUTTO</t>
  </si>
  <si>
    <t>SUMME Personal (inkl. Vorkosten/PE)</t>
  </si>
  <si>
    <t>Driver</t>
  </si>
  <si>
    <t>Kamera im Verbund, Schwenker*in</t>
  </si>
  <si>
    <t>Beleuchter*in</t>
  </si>
  <si>
    <t>Musikaufnahmeleiter*in</t>
  </si>
  <si>
    <t>Debut</t>
  </si>
  <si>
    <t>ILV-Basis</t>
  </si>
  <si>
    <t>(if-then...)</t>
  </si>
  <si>
    <t>C A S T - R O L L E</t>
  </si>
  <si>
    <t>CAST - Koproduktionspartner</t>
  </si>
  <si>
    <t>z.B. Produzent*innen</t>
  </si>
  <si>
    <t>z.B.</t>
  </si>
  <si>
    <t>TOTAL - Stab</t>
  </si>
  <si>
    <t>TOTAL - Cast</t>
  </si>
  <si>
    <t>TOTAL - Komparsen</t>
  </si>
  <si>
    <t>REGIE-</t>
  </si>
  <si>
    <t>DREHBUCH-</t>
  </si>
  <si>
    <t>Limits</t>
  </si>
  <si>
    <t>PERSONALKOSTEN - Struktur</t>
  </si>
  <si>
    <t>Produktionsstab</t>
  </si>
  <si>
    <t>Regiestab</t>
  </si>
  <si>
    <t>Ausstattungsstab</t>
  </si>
  <si>
    <t>Sonstiger Stab</t>
  </si>
  <si>
    <t>Honorare/Rechnungsleger</t>
  </si>
  <si>
    <t>Kleindarsteller &amp; Komparsen</t>
  </si>
  <si>
    <t>Lohnnebenkosten</t>
  </si>
  <si>
    <t>Reserve Üstd., Sonn- und Feiertage</t>
  </si>
  <si>
    <t>Gesamte Eigenleistungen</t>
  </si>
  <si>
    <t>davon bewertete Sachleistungen</t>
  </si>
  <si>
    <t>BEWERTETE EIGENLEISTUNGEN</t>
  </si>
  <si>
    <t>von HSTK</t>
  </si>
  <si>
    <t>Anteil Sachleistungen</t>
  </si>
  <si>
    <t>Anteil an Gehältern</t>
  </si>
  <si>
    <t>DREHBUCH</t>
  </si>
  <si>
    <t>ab 2023</t>
  </si>
  <si>
    <t>davor</t>
  </si>
  <si>
    <t>REGIE</t>
  </si>
  <si>
    <t>MEHRKOSTEN AUFGRUND NEUREGELUNG</t>
  </si>
  <si>
    <t>PRODUZENT*INNENHONORAR</t>
  </si>
  <si>
    <t>Mehrkosten</t>
  </si>
  <si>
    <t>ProduzentInnenhonorar (gem. Richtlinien)</t>
  </si>
  <si>
    <t>Producer's fee (according to guidelines)</t>
  </si>
  <si>
    <t>1. Vorkosten (Stoff- und Projektentwicklung)</t>
  </si>
  <si>
    <t>1. Initial costs (Script and project development)</t>
  </si>
  <si>
    <t>Vorkosten gefördert [exkl. Prod. Hon. &amp; FGK] *)</t>
  </si>
  <si>
    <t>Vorkosten eigenfinanziert [exkl. Prod. Hon. &amp; FGK] *)</t>
  </si>
  <si>
    <t>ORF (Film/Fernseh-Abkommen)</t>
  </si>
  <si>
    <t>Public Broadcasting</t>
  </si>
  <si>
    <t>21.</t>
  </si>
  <si>
    <t>Finanzierungssummen</t>
  </si>
  <si>
    <t>National Financing</t>
  </si>
  <si>
    <t>Treibstoffkosten</t>
  </si>
  <si>
    <t>BMKÖS</t>
  </si>
  <si>
    <t>Ministry of Arts, Culture, Civil Service and Sports</t>
  </si>
  <si>
    <t>Entwicklung</t>
  </si>
  <si>
    <t>Development</t>
  </si>
  <si>
    <t xml:space="preserve">Finanzierung </t>
  </si>
  <si>
    <t xml:space="preserve">Financing share </t>
  </si>
  <si>
    <t>1.1</t>
  </si>
  <si>
    <t>1.2</t>
  </si>
  <si>
    <t>vor 2014</t>
  </si>
  <si>
    <t>Regie-Richtsatz</t>
  </si>
  <si>
    <t>ZUSÄTZLICHER WERTSCHÖPFUNGSEFFEKT</t>
  </si>
  <si>
    <t>Green Filming &amp; Green Bonus</t>
  </si>
  <si>
    <t>ILV (bewertete Eigenleistungen)</t>
  </si>
  <si>
    <r>
      <t xml:space="preserve">Die Bewertungsregel bei Eigenleistungen lautet im Grundsatz: </t>
    </r>
    <r>
      <rPr>
        <b/>
        <sz val="11"/>
        <rFont val="Verdana"/>
        <family val="2"/>
      </rPr>
      <t>Marktüblicher Preis (Fremdvergleich) abzüglich 20%</t>
    </r>
  </si>
  <si>
    <t>Gender Incentive (GI) &amp; Gender Gap Financing</t>
  </si>
  <si>
    <t>Allgemeine Anmerkungen zur Funktionalität der Kalkulationsvorlage</t>
  </si>
  <si>
    <r>
      <t xml:space="preserve">Kommentare oder Rückfragen bitte an </t>
    </r>
    <r>
      <rPr>
        <b/>
        <i/>
        <sz val="11"/>
        <rFont val="Verdana"/>
        <family val="2"/>
      </rPr>
      <t>Mag. Werner Zappe</t>
    </r>
    <r>
      <rPr>
        <sz val="11"/>
        <rFont val="Verdana"/>
        <family val="2"/>
      </rPr>
      <t xml:space="preserve">, +43 (1) 526 97 30 - 300 bzw. </t>
    </r>
  </si>
  <si>
    <t>werner.zappe@filminstitut.at</t>
  </si>
  <si>
    <t>PLAN</t>
  </si>
  <si>
    <t>Eingaben bitte nur in den dafür vorgesehenen grauen oder weißen Feldern der Eingabemasken!</t>
  </si>
  <si>
    <t>Originaltonmeister:in I</t>
  </si>
  <si>
    <t>Originaltonmeister:in II</t>
  </si>
  <si>
    <t>Motivaufnahmeleitung</t>
  </si>
  <si>
    <t>Motivaufnahmeleitung Assi</t>
  </si>
  <si>
    <t>Setassistenz</t>
  </si>
  <si>
    <t>2. Regieassistenz</t>
  </si>
  <si>
    <t>Mischtonmeister:in</t>
  </si>
  <si>
    <t>2. Tonassistenz</t>
  </si>
  <si>
    <t>Requisitenfahrer:in</t>
  </si>
  <si>
    <t>Set Requisite Assistenz</t>
  </si>
  <si>
    <t>Set Kostüm Assistenz</t>
  </si>
  <si>
    <t>Junior Maskenbild</t>
  </si>
  <si>
    <t>Best Boy/Girl</t>
  </si>
  <si>
    <t>Jungbeleuchter:in</t>
  </si>
  <si>
    <t>1. Kamerabühne</t>
  </si>
  <si>
    <t>2. Kamerabühne</t>
  </si>
  <si>
    <t>Kamerabühne Helfer:in</t>
  </si>
  <si>
    <t>Added value bonus</t>
  </si>
  <si>
    <t>Wertschöpfungsbonus</t>
  </si>
  <si>
    <t>Bemessungsgrundlage ÖFI+ (max. 80% der Gesamt-HK)</t>
  </si>
  <si>
    <t>Herstellungskosten (HK)</t>
  </si>
  <si>
    <t>assessment basis ÖFI+ (max. 80% of total prod. costs)</t>
  </si>
  <si>
    <t>Projektförderung</t>
  </si>
  <si>
    <t>Name</t>
  </si>
  <si>
    <t>Betrag</t>
  </si>
  <si>
    <t>name</t>
  </si>
  <si>
    <t>amount</t>
  </si>
  <si>
    <r>
      <t xml:space="preserve">Medienfachkraft </t>
    </r>
    <r>
      <rPr>
        <vertAlign val="superscript"/>
        <sz val="12"/>
        <color theme="0"/>
        <rFont val="Verdana"/>
        <family val="2"/>
      </rPr>
      <t>4)</t>
    </r>
  </si>
  <si>
    <t>Chefmaskenbildner*in</t>
  </si>
  <si>
    <t>Chief makeup artist</t>
  </si>
  <si>
    <t>Makeup artist</t>
  </si>
  <si>
    <t>Assistant makeup</t>
  </si>
  <si>
    <t>Maskenbildner*in</t>
  </si>
  <si>
    <t>1. Aufnahmeleitung</t>
  </si>
  <si>
    <t>Kamerabühne Helfer*in</t>
  </si>
  <si>
    <t>Mischtonmeister*in</t>
  </si>
  <si>
    <t>Requisitenfahrer*in</t>
  </si>
  <si>
    <t>Set-Kostüm Assistenz</t>
  </si>
  <si>
    <t>Jungbeleuchter*in</t>
  </si>
  <si>
    <t>81.0</t>
  </si>
  <si>
    <t>81.1</t>
  </si>
  <si>
    <t>81.2</t>
  </si>
  <si>
    <t>81.3</t>
  </si>
  <si>
    <t>81.4</t>
  </si>
  <si>
    <t>81.5</t>
  </si>
  <si>
    <t>81.6</t>
  </si>
  <si>
    <t>81.7</t>
  </si>
  <si>
    <t>81.8</t>
  </si>
  <si>
    <t>81.9</t>
  </si>
  <si>
    <t>81.10</t>
  </si>
  <si>
    <t>81.11</t>
  </si>
  <si>
    <t>81.12</t>
  </si>
  <si>
    <t>81.13</t>
  </si>
  <si>
    <t>81.14</t>
  </si>
  <si>
    <t>81.15</t>
  </si>
  <si>
    <t>81.16</t>
  </si>
  <si>
    <t>81.17</t>
  </si>
  <si>
    <t>81.18</t>
  </si>
  <si>
    <t>81.19</t>
  </si>
  <si>
    <t>81.20</t>
  </si>
  <si>
    <t>81.21</t>
  </si>
  <si>
    <t>81.22</t>
  </si>
  <si>
    <t>81.23</t>
  </si>
  <si>
    <t>81.24</t>
  </si>
  <si>
    <t>81.25</t>
  </si>
  <si>
    <t>81.26</t>
  </si>
  <si>
    <t>81.27</t>
  </si>
  <si>
    <t>81.28</t>
  </si>
  <si>
    <t>81.29</t>
  </si>
  <si>
    <t>81.30</t>
  </si>
  <si>
    <t>81.31</t>
  </si>
  <si>
    <t>81.32</t>
  </si>
  <si>
    <t>81.33</t>
  </si>
  <si>
    <t>81.34</t>
  </si>
  <si>
    <t>81.35</t>
  </si>
  <si>
    <t>81.36</t>
  </si>
  <si>
    <t>81.37</t>
  </si>
  <si>
    <t>81.38</t>
  </si>
  <si>
    <t>81.39</t>
  </si>
  <si>
    <t>81.40</t>
  </si>
  <si>
    <t>81.41</t>
  </si>
  <si>
    <t>81.42</t>
  </si>
  <si>
    <t>81.43</t>
  </si>
  <si>
    <t>81.44</t>
  </si>
  <si>
    <t>81.45</t>
  </si>
  <si>
    <t>81.46</t>
  </si>
  <si>
    <t>81.47</t>
  </si>
  <si>
    <t>81.48</t>
  </si>
  <si>
    <t>81.49</t>
  </si>
  <si>
    <t>81.50</t>
  </si>
  <si>
    <t>81.51</t>
  </si>
  <si>
    <t>81.52</t>
  </si>
  <si>
    <t>81.53</t>
  </si>
  <si>
    <t>81.54</t>
  </si>
  <si>
    <t>81.55</t>
  </si>
  <si>
    <t>81.56</t>
  </si>
  <si>
    <t>81.57</t>
  </si>
  <si>
    <t>81.58</t>
  </si>
  <si>
    <t>81.59</t>
  </si>
  <si>
    <t>81.60</t>
  </si>
  <si>
    <t>81.61</t>
  </si>
  <si>
    <t>81.62</t>
  </si>
  <si>
    <t>81.63</t>
  </si>
  <si>
    <t>81.64</t>
  </si>
  <si>
    <t>81.65</t>
  </si>
  <si>
    <t>81.66</t>
  </si>
  <si>
    <t>81.67</t>
  </si>
  <si>
    <t>81.68</t>
  </si>
  <si>
    <t>81.69</t>
  </si>
  <si>
    <t>81.70</t>
  </si>
  <si>
    <t>Set assistant</t>
  </si>
  <si>
    <t>Location manager</t>
  </si>
  <si>
    <t>Location manager assistant</t>
  </si>
  <si>
    <t>2. Assistant director (AD)</t>
  </si>
  <si>
    <t>weekly flat rate (§7 KV)</t>
  </si>
  <si>
    <t>Key grip</t>
  </si>
  <si>
    <t>Dolly Grip</t>
  </si>
  <si>
    <t>Utility sound technician</t>
  </si>
  <si>
    <t>Sound re-recording mixer</t>
  </si>
  <si>
    <t>Set costume assistance</t>
  </si>
  <si>
    <t>Set pro assitance</t>
  </si>
  <si>
    <t>Junior makeup artist</t>
  </si>
  <si>
    <t>SUMME PERSONALLEISTUNGEN</t>
  </si>
  <si>
    <t>SUMME SACHLEISTUNGEN</t>
  </si>
  <si>
    <t>SUMME PAUSCHALEN</t>
  </si>
  <si>
    <t>Reisetage</t>
  </si>
  <si>
    <t>Kosten CO2-Kompensation</t>
  </si>
  <si>
    <t>Basisfinanzierung (30%)</t>
  </si>
  <si>
    <t>Basic Financing (30%)</t>
  </si>
  <si>
    <t>Untertitelungen</t>
  </si>
  <si>
    <t>subtiteling</t>
  </si>
  <si>
    <t>Synchronfassungen</t>
  </si>
  <si>
    <t>synchronized version</t>
  </si>
  <si>
    <t>Est-pflichtig</t>
  </si>
  <si>
    <t>Set construction</t>
  </si>
  <si>
    <t>Electrician</t>
  </si>
  <si>
    <t>Junior electrician</t>
  </si>
  <si>
    <t>Prep costs publicly funded *)</t>
  </si>
  <si>
    <t>Prep costs financed by producer*)</t>
  </si>
  <si>
    <t>Costs of certification UZ76</t>
  </si>
  <si>
    <t>Costs of CO2-compensation</t>
  </si>
  <si>
    <t>Crowd/road blocker</t>
  </si>
  <si>
    <t>Originalton I                Originalton II</t>
  </si>
  <si>
    <t>Sound engineer I         Sound engineer II</t>
  </si>
  <si>
    <t>Miscellaneous (i.e. ISAN) *)</t>
  </si>
  <si>
    <t>Neben-  räume</t>
  </si>
  <si>
    <t>Absperr- hilfen</t>
  </si>
  <si>
    <t>Road/crowd blockers</t>
  </si>
  <si>
    <t>Vehicles</t>
  </si>
  <si>
    <t>Filminstitut</t>
  </si>
  <si>
    <t>FFW</t>
  </si>
  <si>
    <t>FINAL</t>
  </si>
  <si>
    <t>GB</t>
  </si>
  <si>
    <t>GGF</t>
  </si>
  <si>
    <t>Komparsen, Kleindarsteller</t>
  </si>
  <si>
    <t>steuerl. rel. WOHNSITZ</t>
  </si>
  <si>
    <t>AT</t>
  </si>
  <si>
    <t>Additional rooms</t>
  </si>
  <si>
    <r>
      <rPr>
        <sz val="11"/>
        <rFont val="Verdana"/>
        <family val="2"/>
      </rPr>
      <t>Zu den</t>
    </r>
    <r>
      <rPr>
        <b/>
        <sz val="11"/>
        <rFont val="Verdana"/>
        <family val="2"/>
      </rPr>
      <t xml:space="preserve"> Vertragslisten </t>
    </r>
    <r>
      <rPr>
        <sz val="11"/>
        <rFont val="Verdana"/>
        <family val="2"/>
      </rPr>
      <t xml:space="preserve">betreffend der von Ihnen kalkulierten </t>
    </r>
    <r>
      <rPr>
        <b/>
        <sz val="11"/>
        <rFont val="Verdana"/>
        <family val="2"/>
      </rPr>
      <t>Stabspositionen</t>
    </r>
    <r>
      <rPr>
        <sz val="11"/>
        <rFont val="Verdana"/>
        <family val="2"/>
      </rPr>
      <t xml:space="preserve"> finden Sie im Reiter "Stab_Ö_Lohnkosten" eine entsprechende Vorlage. Hier können Sie Wohnsitz, An- und Abmeldedaten, vertraglich vereinbarte Gagen</t>
    </r>
    <r>
      <rPr>
        <b/>
        <sz val="11"/>
        <rFont val="Verdana"/>
        <family val="2"/>
      </rPr>
      <t xml:space="preserve"> </t>
    </r>
    <r>
      <rPr>
        <sz val="11"/>
        <rFont val="Verdana"/>
        <family val="2"/>
      </rPr>
      <t xml:space="preserve">etc. eingeben. </t>
    </r>
  </si>
  <si>
    <t>laufende</t>
  </si>
  <si>
    <t>Sonder-</t>
  </si>
  <si>
    <t>Bezüge</t>
  </si>
  <si>
    <t>zahlung</t>
  </si>
  <si>
    <t>94.0</t>
  </si>
  <si>
    <t>94.1</t>
  </si>
  <si>
    <t>94.2</t>
  </si>
  <si>
    <t>94.3</t>
  </si>
  <si>
    <t>94.4</t>
  </si>
  <si>
    <t>94.5</t>
  </si>
  <si>
    <t>94.6</t>
  </si>
  <si>
    <t>94.7</t>
  </si>
  <si>
    <t>94.8</t>
  </si>
  <si>
    <t>94.9</t>
  </si>
  <si>
    <t>94.10</t>
  </si>
  <si>
    <t>94.11</t>
  </si>
  <si>
    <t>94.12</t>
  </si>
  <si>
    <t>94.13</t>
  </si>
  <si>
    <t>94.14</t>
  </si>
  <si>
    <t>94.15</t>
  </si>
  <si>
    <t>94.16</t>
  </si>
  <si>
    <t>94.17</t>
  </si>
  <si>
    <t>94.18</t>
  </si>
  <si>
    <t>94.19</t>
  </si>
  <si>
    <t>94.20</t>
  </si>
  <si>
    <t>94.21</t>
  </si>
  <si>
    <t>94.22</t>
  </si>
  <si>
    <t>94.23</t>
  </si>
  <si>
    <t>94.24</t>
  </si>
  <si>
    <t>94.25</t>
  </si>
  <si>
    <t>94.26</t>
  </si>
  <si>
    <t>94.27</t>
  </si>
  <si>
    <t>94.28</t>
  </si>
  <si>
    <t>94.29</t>
  </si>
  <si>
    <t>94.30</t>
  </si>
  <si>
    <t>94.31</t>
  </si>
  <si>
    <t>94.32</t>
  </si>
  <si>
    <t>94.33</t>
  </si>
  <si>
    <t>94.34</t>
  </si>
  <si>
    <t>94.35</t>
  </si>
  <si>
    <t>94.36</t>
  </si>
  <si>
    <t>94.37</t>
  </si>
  <si>
    <t>94.38</t>
  </si>
  <si>
    <t>94.39</t>
  </si>
  <si>
    <t>94.40</t>
  </si>
  <si>
    <t>94.41</t>
  </si>
  <si>
    <t>94.42</t>
  </si>
  <si>
    <t>94.43</t>
  </si>
  <si>
    <t>94.44</t>
  </si>
  <si>
    <t>94.45</t>
  </si>
  <si>
    <t>94.46</t>
  </si>
  <si>
    <t>94.47</t>
  </si>
  <si>
    <t>94.48</t>
  </si>
  <si>
    <t>94.49</t>
  </si>
  <si>
    <t>94.50</t>
  </si>
  <si>
    <t>142.1</t>
  </si>
  <si>
    <t>142.2</t>
  </si>
  <si>
    <t>142.3</t>
  </si>
  <si>
    <t>148.1</t>
  </si>
  <si>
    <t>148.2</t>
  </si>
  <si>
    <t>148.3</t>
  </si>
  <si>
    <t>148.4</t>
  </si>
  <si>
    <t>149.1</t>
  </si>
  <si>
    <t>149.2</t>
  </si>
  <si>
    <t>149.3</t>
  </si>
  <si>
    <t>149.4</t>
  </si>
  <si>
    <t>149.5</t>
  </si>
  <si>
    <t>149.6</t>
  </si>
  <si>
    <t>149.7</t>
  </si>
  <si>
    <t>149.8</t>
  </si>
  <si>
    <t>151.1</t>
  </si>
  <si>
    <t>151.2</t>
  </si>
  <si>
    <r>
      <t xml:space="preserve">Herstellungsleitung I </t>
    </r>
    <r>
      <rPr>
        <vertAlign val="superscript"/>
        <sz val="10"/>
        <rFont val="Arial"/>
        <family val="2"/>
      </rPr>
      <t>1)</t>
    </r>
  </si>
  <si>
    <r>
      <t xml:space="preserve">Herstellungsleitung II </t>
    </r>
    <r>
      <rPr>
        <vertAlign val="superscript"/>
        <sz val="10"/>
        <rFont val="Arial"/>
        <family val="2"/>
      </rPr>
      <t>2)</t>
    </r>
  </si>
  <si>
    <r>
      <t xml:space="preserve">Produktionsleitung </t>
    </r>
    <r>
      <rPr>
        <vertAlign val="superscript"/>
        <sz val="10"/>
        <rFont val="Arial"/>
        <family val="2"/>
      </rPr>
      <t>1)</t>
    </r>
  </si>
  <si>
    <r>
      <t xml:space="preserve">Produktionsleitung </t>
    </r>
    <r>
      <rPr>
        <vertAlign val="superscript"/>
        <sz val="10"/>
        <rFont val="Arial"/>
        <family val="2"/>
      </rPr>
      <t>2)</t>
    </r>
  </si>
  <si>
    <r>
      <t xml:space="preserve">1.  Aufnahmeleitung </t>
    </r>
    <r>
      <rPr>
        <vertAlign val="superscript"/>
        <sz val="10"/>
        <rFont val="Arial"/>
        <family val="2"/>
      </rPr>
      <t>1)</t>
    </r>
  </si>
  <si>
    <r>
      <t>1.  Aufnahmeleitung</t>
    </r>
    <r>
      <rPr>
        <vertAlign val="superscript"/>
        <sz val="10"/>
        <rFont val="Arial"/>
        <family val="2"/>
      </rPr>
      <t xml:space="preserve"> 2)</t>
    </r>
  </si>
  <si>
    <t>Continuity/Script (Script Supervisor)</t>
  </si>
  <si>
    <r>
      <t xml:space="preserve">Kamera I </t>
    </r>
    <r>
      <rPr>
        <vertAlign val="superscript"/>
        <sz val="10"/>
        <rFont val="Arial"/>
        <family val="2"/>
      </rPr>
      <t>1)</t>
    </r>
  </si>
  <si>
    <r>
      <t xml:space="preserve">Kamera II </t>
    </r>
    <r>
      <rPr>
        <vertAlign val="superscript"/>
        <sz val="10"/>
        <rFont val="Arial"/>
        <family val="2"/>
      </rPr>
      <t>2)</t>
    </r>
  </si>
  <si>
    <r>
      <t xml:space="preserve">Kamera III </t>
    </r>
    <r>
      <rPr>
        <vertAlign val="superscript"/>
        <sz val="10"/>
        <rFont val="Arial"/>
        <family val="2"/>
      </rPr>
      <t>3)</t>
    </r>
  </si>
  <si>
    <t>Teamassistenz (ENG  Team)</t>
  </si>
  <si>
    <r>
      <t>Chefmaskenbildner:in</t>
    </r>
    <r>
      <rPr>
        <vertAlign val="superscript"/>
        <sz val="10"/>
        <rFont val="Arial"/>
        <family val="2"/>
      </rPr>
      <t>5)</t>
    </r>
  </si>
  <si>
    <r>
      <t xml:space="preserve">Medienfachkraft </t>
    </r>
    <r>
      <rPr>
        <vertAlign val="superscript"/>
        <sz val="10"/>
        <rFont val="Arial"/>
        <family val="2"/>
      </rPr>
      <t>4)</t>
    </r>
  </si>
  <si>
    <t>Filmaushilfskraft</t>
  </si>
  <si>
    <r>
      <t xml:space="preserve">Chefmaskenbildner:in </t>
    </r>
    <r>
      <rPr>
        <vertAlign val="superscript"/>
        <sz val="12"/>
        <color theme="0"/>
        <rFont val="Verdana"/>
        <family val="2"/>
      </rPr>
      <t>5)</t>
    </r>
  </si>
  <si>
    <r>
      <rPr>
        <vertAlign val="superscript"/>
        <sz val="12"/>
        <color theme="0"/>
        <rFont val="Verdana"/>
        <family val="2"/>
      </rPr>
      <t xml:space="preserve">1) </t>
    </r>
    <r>
      <rPr>
        <sz val="12"/>
        <color theme="0"/>
        <rFont val="Verdana"/>
        <family val="2"/>
      </rPr>
      <t xml:space="preserve"> Fiktionale Filme für die Verwertung im Kino, Fernsehen und Kino -und fernsehähnliche fiktionale Filme für die Verwertung Online sowie Werbefilme</t>
    </r>
  </si>
  <si>
    <r>
      <rPr>
        <vertAlign val="superscript"/>
        <sz val="12"/>
        <color theme="0"/>
        <rFont val="Verdana"/>
        <family val="2"/>
      </rPr>
      <t>2)</t>
    </r>
    <r>
      <rPr>
        <sz val="12"/>
        <color theme="0"/>
        <rFont val="Verdana"/>
        <family val="2"/>
      </rPr>
      <t xml:space="preserve">  Dokumentarfilme und Dokumentationen für die Verwertung im Kino, Fernsehen und non-linear (VOD), ENG Team</t>
    </r>
  </si>
  <si>
    <r>
      <rPr>
        <vertAlign val="superscript"/>
        <sz val="12"/>
        <color theme="0"/>
        <rFont val="Verdana"/>
        <family val="2"/>
      </rPr>
      <t>3)</t>
    </r>
    <r>
      <rPr>
        <sz val="12"/>
        <color theme="0"/>
        <rFont val="Verdana"/>
        <family val="2"/>
      </rPr>
      <t xml:space="preserve">  Wirtschafts-, Image- und Bildungsfilme</t>
    </r>
  </si>
  <si>
    <r>
      <rPr>
        <vertAlign val="superscript"/>
        <sz val="12"/>
        <color theme="0"/>
        <rFont val="Verdana"/>
        <family val="2"/>
      </rPr>
      <t>4)</t>
    </r>
    <r>
      <rPr>
        <sz val="12"/>
        <color theme="0"/>
        <rFont val="Verdana"/>
        <family val="2"/>
      </rPr>
      <t xml:space="preserve">  Nur bei Wirtschafts-, Image- und Bildungsfilmen</t>
    </r>
  </si>
  <si>
    <r>
      <rPr>
        <vertAlign val="superscript"/>
        <sz val="12"/>
        <color theme="0"/>
        <rFont val="Verdana"/>
        <family val="2"/>
      </rPr>
      <t>5)</t>
    </r>
    <r>
      <rPr>
        <sz val="12"/>
        <color theme="0"/>
        <rFont val="Verdana"/>
        <family val="2"/>
      </rPr>
      <t xml:space="preserve">  Voraussetzung für die Einreihung in diese Verwendungsgruppe ist eine mindestens 8-jährige einschlägige Berufspraxis</t>
    </r>
  </si>
  <si>
    <t>(ab 01.01.25)</t>
  </si>
  <si>
    <t>Beide Förderansätze beruhen auf der GI-Stabliste. Wird die notwendige Punkteanzahl erreicht, dann gibt es im Falle von Gender Incentive € 30.000 für künftige weiblich dominierte Stoff- und Projektentwicklungen, im Falle von Gender Gap Financing (ÖFI+) steht unmittelbar ein Pauschalbetrag von € 25.000 für die Finanzierung des auslösenden Projekts zur Verfügung. Im Finanzierungsplan ist für Letzteres die entsprechende Checkbox anzuklicken.</t>
  </si>
  <si>
    <t>(lt. KV 2025)</t>
  </si>
  <si>
    <t>Komparsen</t>
  </si>
  <si>
    <t>(gilt für monatl. Beitragsgrundlagen über € 2.630)</t>
  </si>
  <si>
    <t>ab 1.1.2026</t>
  </si>
  <si>
    <t>gefördert durch BMWKMS/if</t>
  </si>
  <si>
    <t>funded by BMWKMS/if</t>
  </si>
  <si>
    <t>CASHFLOW-STATUS Ö</t>
  </si>
  <si>
    <t>XX.XX.XX</t>
  </si>
  <si>
    <t>total script costs included</t>
  </si>
  <si>
    <t>total directing costs included</t>
  </si>
  <si>
    <t>davon Drehbuchkosten gesamt</t>
  </si>
  <si>
    <t>davon Regiekosten gesamt</t>
  </si>
  <si>
    <t>Überzahlung gem.</t>
  </si>
  <si>
    <t>FRL Pkt. 6.2.3</t>
  </si>
  <si>
    <t>Ges.</t>
  </si>
  <si>
    <t>Abw.</t>
  </si>
  <si>
    <t>KALKULATIONSVORLAGE 2026</t>
  </si>
  <si>
    <r>
      <rPr>
        <sz val="11"/>
        <rFont val="Verdana"/>
        <family val="2"/>
      </rPr>
      <t xml:space="preserve">Eine wesentliche Änderung der Kalkulation betrifft die Bestimmung der Richtlinien in Punkt 6.2.3: "Gagen und Löhne sind in der Kalkulation mindestens mit den entsprechenden kollektivvertraglichen Ansätzen, höchstens jedoch </t>
    </r>
    <r>
      <rPr>
        <b/>
        <sz val="11"/>
        <rFont val="Verdana"/>
        <family val="2"/>
      </rPr>
      <t>10% über den kollektivvertraglichen Mindestgagen</t>
    </r>
    <r>
      <rPr>
        <sz val="11"/>
        <rFont val="Verdana"/>
        <family val="2"/>
      </rPr>
      <t xml:space="preserve"> anzuerkennen.</t>
    </r>
  </si>
  <si>
    <t xml:space="preserve">AKTUELLES ZU </t>
  </si>
  <si>
    <t>Barmittel (2,5% v. HSTK)</t>
  </si>
  <si>
    <t>Cash (2,5% of TPC)</t>
  </si>
  <si>
    <t>zusätzliche Barmittel, Darlehen etc.</t>
  </si>
  <si>
    <t>additinal cash, loans etc.</t>
  </si>
  <si>
    <t>Mindest-KV</t>
  </si>
  <si>
    <t>eingeben</t>
  </si>
  <si>
    <r>
      <t xml:space="preserve">Antragsberechtigt sind fachlich qualifizierte Unternehmen, die über einen Gewerbeschein und eine Vorsteuerabzugsberechtigung verfügen, von Mediendiensteanbietern unabhängig sind, und bei denen es sich nicht um Unternehmen in Schwieirgkeiten gem. AGVO handelt. Die in Österreich getätigten </t>
    </r>
    <r>
      <rPr>
        <b/>
        <sz val="11"/>
        <rFont val="Verdana"/>
        <family val="2"/>
      </rPr>
      <t>Mindestausgaben</t>
    </r>
    <r>
      <rPr>
        <sz val="11"/>
        <rFont val="Verdana"/>
        <family val="2"/>
      </rPr>
      <t xml:space="preserve"> (mit Belegen nachweisbare und anerkennbare ÖFI+ Kosten) betragen bei </t>
    </r>
    <r>
      <rPr>
        <b/>
        <sz val="11"/>
        <rFont val="Verdana"/>
        <family val="2"/>
      </rPr>
      <t>Spielfilmen € 150.000</t>
    </r>
    <r>
      <rPr>
        <sz val="11"/>
        <rFont val="Verdana"/>
        <family val="2"/>
      </rPr>
      <t xml:space="preserve">, bei </t>
    </r>
    <r>
      <rPr>
        <b/>
        <sz val="11"/>
        <rFont val="Verdana"/>
        <family val="2"/>
      </rPr>
      <t>Dokumentarfilmen € 80.000</t>
    </r>
    <r>
      <rPr>
        <sz val="11"/>
        <rFont val="Verdana"/>
        <family val="2"/>
      </rPr>
      <t>.</t>
    </r>
  </si>
  <si>
    <r>
      <t xml:space="preserve">ÖFI+ Herstellungsförderungen sind im Moment ausschließlich in Verbindung mit Zusagen des BMWKMS möglich. </t>
    </r>
    <r>
      <rPr>
        <b/>
        <sz val="11"/>
        <rFont val="Verdana"/>
        <family val="2"/>
      </rPr>
      <t>Bemmessungsgrundlage</t>
    </r>
    <r>
      <rPr>
        <sz val="11"/>
        <rFont val="Verdana"/>
        <family val="2"/>
      </rPr>
      <t xml:space="preserve"> für diese automatische Förderung sind die in Österreich steuerlich relevanten Kosten (personengebundene und unternehmensgebundene Kosten; s. FRL Punkt 6a.7). Zu einer Basisförderung von 30% kann ein Green-Bonus (5%) sowie das Gender Gap Financing (GGF) beantragt werden, sofern die dafür notwendigen Kriterien erfüllt werden.</t>
    </r>
  </si>
  <si>
    <r>
      <t xml:space="preserve">Wenn Sie eine </t>
    </r>
    <r>
      <rPr>
        <b/>
        <sz val="11"/>
        <rFont val="Verdana"/>
        <family val="2"/>
      </rPr>
      <t>Koproduktion</t>
    </r>
    <r>
      <rPr>
        <sz val="11"/>
        <rFont val="Verdana"/>
        <family val="2"/>
      </rPr>
      <t xml:space="preserve"> kalkulieren, müssen sie die entsprechenden Spalten der Partner über das Gliederungssymbol "+" einblenden. In der Zusammenfassung finden Sie dieses Symbol über der Spalte AM, im Registerblatt "Kalkulation Herstellungskosten" über der Spalte AT.</t>
    </r>
  </si>
  <si>
    <r>
      <t>Kostenstandinformationen</t>
    </r>
    <r>
      <rPr>
        <sz val="11"/>
        <rFont val="Verdana"/>
        <family val="2"/>
      </rPr>
      <t xml:space="preserve"> können direkt im Blatt "Kalkulation Herstellungskosten" eingegeben werden. Eine entsprechende Vorlage kann mit dem Gliederungssymbol "+" über der AC-Spalte (national) eingeblendet werden. Die Vorlage des Kostenstands der Ko-Partner kann durch Einblenden via Gliederungssymbol über den Spalten  AT und dann via Spalten AH, AL, AP und AS zugänglich gemacht werden. Einen Überblick der Kostenstandinformationen können Sie im Register "Zusammenfassung" ebenfalls mit dem Gliederungssymbol "+" (über der U-Spalte, AM-Spalte usw.) einblenden. Dort befindet sich auch eine Vorlage für den Cashflow-Stand (geflossene Mittel zum Zeitpunkt des Kostenstands).</t>
    </r>
  </si>
  <si>
    <r>
      <t xml:space="preserve">Überzahlungen über die 10% hinaus werden in einer eigenen Spalte erfasst und über sämtliche Anstellungsverhältnisse aufsummiert. Diese Überzahlungen werden als Projektkosten nur anerkannt, wenn sie durch den Eigenanteil (Barmittel, Rückstellungen, Lizenzen/Garantien) der Produktion gedeckt sind. Ist die Summe dieser Überzahlungen höher als der Eigenanteil, dann sind entweder die Überzahlungen zu reduzieren oder der Eigenanteil (z.B. durch Rückstellungen) zu erhöhen. Rückstellungen werden nur im Rahmen von Personal- und/oder Sachleistungen des Produktionsunternehmens anerkannt. Projekte, die vom </t>
    </r>
    <r>
      <rPr>
        <b/>
        <sz val="11"/>
        <rFont val="Verdana"/>
        <family val="2"/>
      </rPr>
      <t>BMWKMS</t>
    </r>
    <r>
      <rPr>
        <sz val="11"/>
        <rFont val="Verdana"/>
        <family val="2"/>
      </rPr>
      <t xml:space="preserve"> gefördert wurden, dürfen </t>
    </r>
    <r>
      <rPr>
        <b/>
        <sz val="11"/>
        <rFont val="Verdana"/>
        <family val="2"/>
      </rPr>
      <t>keine Überzahlung der KV-Tarife</t>
    </r>
    <r>
      <rPr>
        <sz val="11"/>
        <rFont val="Verdana"/>
        <family val="2"/>
      </rPr>
      <t xml:space="preserve"> aufweisen!</t>
    </r>
  </si>
  <si>
    <r>
      <t xml:space="preserve">Sofern Leistungen aus der dauerhaften Struktur des Unternehmens (z.B. unbefristet angestelltes Personal) kommen, sind diese Leistungen als </t>
    </r>
    <r>
      <rPr>
        <b/>
        <sz val="11"/>
        <rFont val="Verdana"/>
        <family val="2"/>
      </rPr>
      <t>bewertete Eigenleistungen</t>
    </r>
    <r>
      <rPr>
        <sz val="11"/>
        <rFont val="Verdana"/>
        <family val="2"/>
      </rPr>
      <t xml:space="preserve"> kenntlich zu machen, indem die entsprechende </t>
    </r>
    <r>
      <rPr>
        <b/>
        <sz val="11"/>
        <rFont val="Verdana"/>
        <family val="2"/>
      </rPr>
      <t>Checkbox „ILV“ aktiviert</t>
    </r>
    <r>
      <rPr>
        <sz val="11"/>
        <rFont val="Verdana"/>
        <family val="2"/>
      </rPr>
      <t xml:space="preserve"> wird. Die Eigenleistungen werden dann automatisch im Registerblatt "ILV" übernommen. Sofern an einzelnen kalkulatorischen Positionen keine ILV-Checkboxen vorgesehen sind, müssen bewertete Eigenleistungen händisch kenntlich gemacht und in das Registerblatt übertragen werden.</t>
    </r>
  </si>
  <si>
    <r>
      <t xml:space="preserve">Bei den Personalleistungen bedeutet das (in Abhängigkeit von der Qualifikation) max. KV-Gage x 1,1 x 0,8. Bei den Sachleistungen orientiert man sich an branchenüblichen Marktpreisen (unter Berücksichtigung von Staffelrabatten u.ä.) und setzt diesen Preis um 20% reduziert an. Die </t>
    </r>
    <r>
      <rPr>
        <b/>
        <sz val="11"/>
        <rFont val="Verdana"/>
        <family val="2"/>
      </rPr>
      <t>Eigenleistungen</t>
    </r>
    <r>
      <rPr>
        <sz val="11"/>
        <rFont val="Verdana"/>
        <family val="2"/>
      </rPr>
      <t xml:space="preserve"> müssen </t>
    </r>
    <r>
      <rPr>
        <b/>
        <sz val="11"/>
        <rFont val="Verdana"/>
        <family val="2"/>
      </rPr>
      <t>zuordenbar</t>
    </r>
    <r>
      <rPr>
        <sz val="11"/>
        <rFont val="Verdana"/>
        <family val="2"/>
      </rPr>
      <t xml:space="preserve"> (Personen) und </t>
    </r>
    <r>
      <rPr>
        <b/>
        <sz val="11"/>
        <rFont val="Verdana"/>
        <family val="2"/>
      </rPr>
      <t>genau spezifiziert</t>
    </r>
    <r>
      <rPr>
        <sz val="11"/>
        <rFont val="Verdana"/>
        <family val="2"/>
      </rPr>
      <t xml:space="preserve"> sein (Geräte, Zubehör etc.). </t>
    </r>
  </si>
  <si>
    <t>STATUS</t>
  </si>
  <si>
    <t>Zusage-Datum</t>
  </si>
  <si>
    <t>Date of Application</t>
  </si>
  <si>
    <t>Date of Commitment</t>
  </si>
  <si>
    <t>Antrags-datum</t>
  </si>
  <si>
    <t xml:space="preserve"> Achten Sie bitte auf korrekte und vollständige Eingabe, insbesondere betreffend Stammblatt und Status zur Finanzierung</t>
  </si>
  <si>
    <t>Wien, im Juli 2026</t>
  </si>
  <si>
    <r>
      <t xml:space="preserve">In der vorliegenden Kalkulationsvorlage wurden die Parameter zur Berechnung der </t>
    </r>
    <r>
      <rPr>
        <b/>
        <sz val="11"/>
        <rFont val="Verdana"/>
        <family val="2"/>
      </rPr>
      <t>Lohnnebenkosten</t>
    </r>
    <r>
      <rPr>
        <sz val="11"/>
        <rFont val="Verdana"/>
        <family val="2"/>
      </rPr>
      <t xml:space="preserve"> per 01.01.2026 sowie die per 01.07.2026 geltenden Änderungen des Kollektivvertrags für Filmberufe eingearbeitet.</t>
    </r>
  </si>
  <si>
    <r>
      <t xml:space="preserve">Der Green Bonus ist unabhängig von der tatsächlichen Höhe der Green Filming Mehrkosten. Diese Mehrkosten sind aber in einem gesonderten, überarbeiteten Beiblatt „Green Filming Mehrkosten“ in Zusammenarbeit mit den Green Film Consultants im Zuge der Projektbeantragung auszuweisen. </t>
    </r>
    <r>
      <rPr>
        <b/>
        <sz val="11"/>
        <rFont val="Verdana"/>
        <family val="2"/>
      </rPr>
      <t>Wichtig dabei ist, dass diese Mehrkosten jedenfalls Bestandteil der Hauptkalkulation sind!</t>
    </r>
    <r>
      <rPr>
        <sz val="11"/>
        <rFont val="Verdana"/>
        <family val="2"/>
      </rPr>
      <t xml:space="preserve"> Anders als im Beiblatt „ILV“, die einen Auszug aller in der Kalkulation enthaltenen bewerteten Eigenleistungen umfassen, sind hier nur die </t>
    </r>
    <r>
      <rPr>
        <b/>
        <sz val="11"/>
        <rFont val="Verdana"/>
        <family val="2"/>
      </rPr>
      <t>MEHRKOSTEN</t>
    </r>
    <r>
      <rPr>
        <sz val="11"/>
        <rFont val="Verdana"/>
        <family val="2"/>
      </rPr>
      <t xml:space="preserve"> anzusetzen (z.B. Produktionskoordination 13 Wochen Gesamttätigkeit, 1 Woche davon Mehraufwand aufgrund von Green Filming Aktivitäten, d.h. 1 Woche zur geplanten Wochenpauschale im Beiblatt eingeben; aliquote Lohnnebenkosten berechnen sich automatisch).</t>
    </r>
  </si>
  <si>
    <t>Version 26.3</t>
  </si>
  <si>
    <r>
      <t xml:space="preserve">wirksam ab </t>
    </r>
    <r>
      <rPr>
        <b/>
        <sz val="14"/>
        <color theme="0"/>
        <rFont val="Verdana"/>
        <family val="2"/>
      </rPr>
      <t>1. Juli 2026</t>
    </r>
  </si>
  <si>
    <t>BMWKMS (IF)</t>
  </si>
  <si>
    <r>
      <rPr>
        <b/>
        <sz val="10"/>
        <color rgb="FFFFFFFF"/>
        <rFont val="Verdana"/>
        <family val="2"/>
      </rPr>
      <t>SOLL-Mehrkosten</t>
    </r>
    <r>
      <rPr>
        <sz val="10"/>
        <color indexed="9"/>
        <rFont val="Verdana"/>
        <family val="2"/>
      </rPr>
      <t xml:space="preserve"> lt. Vertrag</t>
    </r>
  </si>
  <si>
    <r>
      <rPr>
        <b/>
        <sz val="10"/>
        <color rgb="FFFFFFFF"/>
        <rFont val="Verdana"/>
        <family val="2"/>
      </rPr>
      <t>IST-Mehrkosten</t>
    </r>
    <r>
      <rPr>
        <sz val="10"/>
        <color indexed="9"/>
        <rFont val="Verdana"/>
        <family val="2"/>
      </rPr>
      <t xml:space="preserve"> lt. Abrechnung</t>
    </r>
  </si>
  <si>
    <r>
      <t xml:space="preserve">*) die hier angegebenen Posten müssen sich anteilig als </t>
    </r>
    <r>
      <rPr>
        <b/>
        <sz val="9"/>
        <color rgb="FFFFFF00"/>
        <rFont val="Verdana"/>
        <family val="2"/>
      </rPr>
      <t>Mehr-</t>
    </r>
    <r>
      <rPr>
        <sz val="9"/>
        <color rgb="FFFFFF00"/>
        <rFont val="Verdana"/>
        <family val="2"/>
      </rPr>
      <t>Kosten in der Hauptkalkulation wiederfinden.</t>
    </r>
  </si>
  <si>
    <t>*)</t>
  </si>
  <si>
    <t>Kompensation und  Zertifizierung</t>
  </si>
  <si>
    <t>SUMME Kompensation und  Zertifizierung</t>
  </si>
  <si>
    <t>²) Bei Umsetzung nach RL UZ76 und nach Anmeldung zur Zertifizierung auszufüllen</t>
  </si>
  <si>
    <r>
      <rPr>
        <vertAlign val="superscript"/>
        <sz val="9"/>
        <color rgb="FFFFFF00"/>
        <rFont val="Verdana"/>
        <family val="2"/>
      </rPr>
      <t>1</t>
    </r>
    <r>
      <rPr>
        <sz val="9"/>
        <color rgb="FFFFFF00"/>
        <rFont val="Verdana"/>
        <family val="2"/>
      </rPr>
      <t>) Kompensation der durch Mobilität anfallenden CO2-Menge lt. CO2 Bilanz</t>
    </r>
  </si>
  <si>
    <r>
      <t>Kosten CO2-Kompensation</t>
    </r>
    <r>
      <rPr>
        <sz val="10"/>
        <color rgb="FFFFFF00"/>
        <rFont val="Verdana"/>
        <family val="2"/>
      </rPr>
      <t xml:space="preserve"> </t>
    </r>
    <r>
      <rPr>
        <vertAlign val="superscript"/>
        <sz val="10"/>
        <color rgb="FFFFFF00"/>
        <rFont val="Verdana"/>
        <family val="2"/>
      </rPr>
      <t>1</t>
    </r>
    <r>
      <rPr>
        <sz val="10"/>
        <color rgb="FFFFFF00"/>
        <rFont val="Verdana"/>
        <family val="2"/>
      </rPr>
      <t>)</t>
    </r>
  </si>
  <si>
    <r>
      <t xml:space="preserve">Kosten der Zertifizierung  UZ76 (VKI) </t>
    </r>
    <r>
      <rPr>
        <sz val="10"/>
        <color rgb="FFFFFF00"/>
        <rFont val="Verdana"/>
        <family val="2"/>
      </rPr>
      <t>²)</t>
    </r>
  </si>
  <si>
    <r>
      <t xml:space="preserve">Kosten des UZ76 Beraters </t>
    </r>
    <r>
      <rPr>
        <sz val="10"/>
        <color rgb="FFFFFF00"/>
        <rFont val="Verdana"/>
        <family val="2"/>
      </rPr>
      <t>²)</t>
    </r>
  </si>
  <si>
    <t>Zeilennummer lt. Herstellungskosten</t>
  </si>
  <si>
    <t>Pos.</t>
  </si>
  <si>
    <t>SUMME Sonstiges</t>
  </si>
  <si>
    <r>
      <t xml:space="preserve">³) die hier angegebenen Posten müssen sich anteilig als </t>
    </r>
    <r>
      <rPr>
        <b/>
        <sz val="9"/>
        <color rgb="FFFFFF00"/>
        <rFont val="Verdana"/>
        <family val="2"/>
      </rPr>
      <t>Mehr</t>
    </r>
    <r>
      <rPr>
        <sz val="9"/>
        <color rgb="FFFFFF00"/>
        <rFont val="Verdana"/>
        <family val="2"/>
      </rPr>
      <t>-Kosten in der Hauptkalkulation wiederfinden.</t>
    </r>
  </si>
  <si>
    <r>
      <t xml:space="preserve">Sonstiges </t>
    </r>
    <r>
      <rPr>
        <b/>
        <u/>
        <sz val="11"/>
        <color rgb="FFFFFF00"/>
        <rFont val="Verdana"/>
        <family val="2"/>
      </rPr>
      <t>³)</t>
    </r>
    <r>
      <rPr>
        <b/>
        <u/>
        <sz val="11"/>
        <color rgb="FFFFFFFF"/>
        <rFont val="Verdana"/>
        <family val="2"/>
      </rPr>
      <t xml:space="preserve"> </t>
    </r>
    <r>
      <rPr>
        <b/>
        <u/>
        <sz val="10"/>
        <color rgb="FFFFFFFF"/>
        <rFont val="Verdana"/>
        <family val="2"/>
      </rPr>
      <t>(bitte um genaue Bezeichnung, wenn relevant)</t>
    </r>
  </si>
  <si>
    <t>UZ76 Berater</t>
  </si>
  <si>
    <t>Kosten der Zertifizierung UZ76</t>
  </si>
  <si>
    <t>UZ76 Consultant</t>
  </si>
  <si>
    <t>Originalton</t>
  </si>
  <si>
    <r>
      <t xml:space="preserve">Sollte ihre Kalkulation nach dem Download oder Öffnen einen </t>
    </r>
    <r>
      <rPr>
        <b/>
        <sz val="11"/>
        <rFont val="Verdana"/>
        <family val="2"/>
      </rPr>
      <t>Zirkelbezug</t>
    </r>
    <r>
      <rPr>
        <sz val="11"/>
        <rFont val="Verdana"/>
        <family val="2"/>
      </rPr>
      <t xml:space="preserve"> aufweisen, dann müssen Sie das Steuerfeld "Iterative Berechnung aktivieren" (bzw. "Iteration") ankreuzen. Auf PCs ist dieses Feld in der Regel unter Datei/Optionen/Formeln zu finden. Sollte in ihrer Kalkulation in einzelnen Zellen z.B. "</t>
    </r>
    <r>
      <rPr>
        <b/>
        <sz val="11"/>
        <rFont val="Verdana"/>
        <family val="2"/>
      </rPr>
      <t>#WERT</t>
    </r>
    <r>
      <rPr>
        <sz val="11"/>
        <rFont val="Verdana"/>
        <family val="2"/>
      </rPr>
      <t xml:space="preserve">" auftreten und folglich </t>
    </r>
    <r>
      <rPr>
        <b/>
        <sz val="11"/>
        <rFont val="Verdana"/>
        <family val="2"/>
      </rPr>
      <t>die Kalkulation nicht mehr reagieren</t>
    </r>
    <r>
      <rPr>
        <sz val="11"/>
        <rFont val="Verdana"/>
        <family val="2"/>
      </rPr>
      <t>, dann kann man in den meisten Fällen die Kalkulation wie folgt wiederherstellen: Gehen Sie in die Zusammenfassung, überschreiben Sie die Summe Fertigungskosten (z.B. mit "1") und bilden Sie danach wieder die korrekte Summenformel für die Fertigungskosten.</t>
    </r>
  </si>
  <si>
    <t>Financing &amp; currency risk costs *)</t>
  </si>
  <si>
    <t>Kosten der Finanzierung &amp; Währungskursrisiken *)</t>
  </si>
  <si>
    <t>Rest</t>
  </si>
  <si>
    <t>ORF Schwelle</t>
  </si>
  <si>
    <t>anerkannter Eigenanteil (Produktion)</t>
  </si>
  <si>
    <t>ÖFI</t>
  </si>
  <si>
    <t>Erlösverteilung</t>
  </si>
  <si>
    <t>Österreichischer Erlösanteil</t>
  </si>
  <si>
    <t>anerkannter Eigenanteil</t>
  </si>
  <si>
    <t>ORF (Beteiligung)</t>
  </si>
  <si>
    <t>FFW (selektiv)</t>
  </si>
  <si>
    <t>ÖFI (selektiv)</t>
  </si>
  <si>
    <t>Österreichischer Finanzierungsanteil</t>
  </si>
  <si>
    <t>Gesamtbudget</t>
  </si>
  <si>
    <t>relativ</t>
  </si>
  <si>
    <t>absolut</t>
  </si>
  <si>
    <t>beispielhaft</t>
  </si>
  <si>
    <t>Gesamt-Nettoerlöse (nach Abzug anerkannter Vorkosten)</t>
  </si>
  <si>
    <t>Lizenznehmer-Anteil</t>
  </si>
  <si>
    <t>vorabzugsfähige Kosten</t>
  </si>
  <si>
    <t>Brutto-Erlöse</t>
  </si>
  <si>
    <t>RECOUPMENTPLAN</t>
  </si>
  <si>
    <t>Test</t>
  </si>
  <si>
    <t>Green Filming ist sowohl bei ÖFI selektiv als auch bei ÖFI+ verpflichtend umzusetzen.</t>
  </si>
  <si>
    <t>Green Filming Förderung - Österreichisches Filminstitut</t>
  </si>
  <si>
    <t>Antworten auf häufig gestellte Fragen finden sie hier:</t>
  </si>
  <si>
    <t>Häufig gestellte Fragen -FAQ - Österreichisches Filminstitut</t>
  </si>
  <si>
    <r>
      <t xml:space="preserve">Den </t>
    </r>
    <r>
      <rPr>
        <b/>
        <sz val="11"/>
        <rFont val="Verdana"/>
        <family val="2"/>
      </rPr>
      <t>aktuellen Kriterienkatalog der ökologischen Standards für österreichische Kinofilme ÖFI/ÖFI+</t>
    </r>
    <r>
      <rPr>
        <sz val="11"/>
        <rFont val="Verdana"/>
        <family val="2"/>
      </rPr>
      <t xml:space="preserve"> sowie den </t>
    </r>
    <r>
      <rPr>
        <b/>
        <sz val="11"/>
        <rFont val="Verdana"/>
        <family val="2"/>
      </rPr>
      <t>verpflichtenden Green Filming Check_ÖFI_ÖFI+</t>
    </r>
    <r>
      <rPr>
        <sz val="11"/>
        <rFont val="Verdana"/>
        <family val="2"/>
      </rPr>
      <t xml:space="preserve"> finden sie unter:</t>
    </r>
  </si>
  <si>
    <t>ÖFI+ Grenn Bonus</t>
  </si>
  <si>
    <t>Der Green Bonus (ÖFI+) berechnet sich automatisch, wenn sie im Finanzierungsplan die entsprechende Check Box anklicken.</t>
  </si>
  <si>
    <t>Mehrkosten (betrifft ÖFI und ÖFI+)</t>
  </si>
  <si>
    <t>Mehrkosten sind im gesonderten Beiblatt „GREEN FILMING Mehrkosten“ in Zusammenarbeit mit dem Green Film Consultant zu erarbeiten und auszuweisen. Wichtig dabei ist, dass die Mehrkosten jedenfalls Bestandteil der Hauptkalkulation sind. Anders als im Beiblatt „ILV“, die einen Auszug aller in der Kalkulation bewerteten Eigenleistungen umfassen, sind hierbei nur die MEHR-Kosten anzusetzen. Besonders bei Personalkosten sind diese aliquot anzugeben, sollte ein Mehraufwand in konkreten Gewerken nötig sein. Für alle anderen eventuell nötigen Posten sind aliquote Mehr-Aufwände mit Bekanntgabe der Zeilennummer lt. Herstellungskosten in Verbindung zu setzen. Die Posten Green Film Consultant, Green Runner, Kosten CO2-Kompensation, Kosten der Zertifizierung UZ76 (VKI), Kosten UZ76 Berater sind mit der Hauptkalkulation verknüpft.</t>
  </si>
  <si>
    <r>
      <t xml:space="preserve">Bei Fragen bezüglich Green Filming wenden sie sich zeitgerecht an </t>
    </r>
    <r>
      <rPr>
        <b/>
        <sz val="11"/>
        <rFont val="Verdana"/>
        <family val="2"/>
      </rPr>
      <t>Mag. Nina Hauser und Christain Ruthner, MSc</t>
    </r>
    <r>
      <rPr>
        <sz val="11"/>
        <rFont val="Verdana"/>
        <family val="2"/>
      </rPr>
      <t xml:space="preserve"> unter: </t>
    </r>
  </si>
  <si>
    <t>greenfilming@filminstitut.at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</si>
</sst>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0_-;\-* #,##0_-;_-* &quot;-&quot;_-;_-@_-"/>
    <numFmt numFmtId="43" formatCode="_-* #,##0.00_-;\-* #,##0.00_-;_-* &quot;-&quot;??_-;_-@_-"/>
    <numFmt numFmtId="164" formatCode="0.0\ "/>
    <numFmt numFmtId="165" formatCode="0.00%\ "/>
    <numFmt numFmtId="166" formatCode="#,##0.00\ "/>
    <numFmt numFmtId="167" formatCode="0,\ "/>
    <numFmt numFmtId="168" formatCode="#,###"/>
    <numFmt numFmtId="169" formatCode="0.0%"/>
    <numFmt numFmtId="170" formatCode="#,##0\ "/>
    <numFmt numFmtId="171" formatCode="dd/mm/yyyy;@"/>
    <numFmt numFmtId="172" formatCode="&quot;€&quot;\ #,##0.00"/>
    <numFmt numFmtId="173" formatCode="dd/mm/yy"/>
    <numFmt numFmtId="174" formatCode="#,##0.00_ ;[Red]\-#,##0.00\ "/>
    <numFmt numFmtId="175" formatCode="dd/mm/yy;@"/>
    <numFmt numFmtId="176" formatCode="#,##0_ ;[Red]\-#,##0\ "/>
    <numFmt numFmtId="177" formatCode="0.0"/>
    <numFmt numFmtId="178" formatCode="#,##0.0000"/>
    <numFmt numFmtId="179" formatCode="dd\.mm\.yy;@"/>
    <numFmt numFmtId="180" formatCode="_-* #,##0_-;\-* #,##0_-;_-* &quot;-&quot;??_-;_-@_-"/>
  </numFmts>
  <fonts count="146" x14ac:knownFonts="1">
    <font>
      <sz val="12"/>
      <name val="System"/>
    </font>
    <font>
      <sz val="11"/>
      <color theme="1"/>
      <name val="Calibri"/>
      <family val="2"/>
      <scheme val="minor"/>
    </font>
    <font>
      <sz val="10"/>
      <name val="Helv"/>
    </font>
    <font>
      <sz val="10"/>
      <name val="MS Sans Serif"/>
      <family val="2"/>
    </font>
    <font>
      <sz val="12"/>
      <name val="System"/>
      <family val="2"/>
    </font>
    <font>
      <b/>
      <i/>
      <sz val="14"/>
      <color indexed="10"/>
      <name val="Verdana"/>
      <family val="2"/>
    </font>
    <font>
      <i/>
      <sz val="12"/>
      <name val="Verdana"/>
      <family val="2"/>
    </font>
    <font>
      <sz val="12"/>
      <name val="Verdana"/>
      <family val="2"/>
    </font>
    <font>
      <b/>
      <sz val="12"/>
      <name val="Verdana"/>
      <family val="2"/>
    </font>
    <font>
      <i/>
      <sz val="10"/>
      <name val="Verdana"/>
      <family val="2"/>
    </font>
    <font>
      <sz val="10"/>
      <name val="Verdana"/>
      <family val="2"/>
    </font>
    <font>
      <sz val="8"/>
      <name val="Verdana"/>
      <family val="2"/>
    </font>
    <font>
      <b/>
      <sz val="12"/>
      <color indexed="8"/>
      <name val="Verdana"/>
      <family val="2"/>
    </font>
    <font>
      <sz val="10"/>
      <color indexed="8"/>
      <name val="Verdana"/>
      <family val="2"/>
    </font>
    <font>
      <b/>
      <sz val="10"/>
      <name val="Verdana"/>
      <family val="2"/>
    </font>
    <font>
      <sz val="10"/>
      <color indexed="10"/>
      <name val="Verdana"/>
      <family val="2"/>
    </font>
    <font>
      <sz val="10"/>
      <color indexed="12"/>
      <name val="Verdana"/>
      <family val="2"/>
    </font>
    <font>
      <i/>
      <sz val="10"/>
      <color indexed="12"/>
      <name val="Verdana"/>
      <family val="2"/>
    </font>
    <font>
      <i/>
      <sz val="14"/>
      <color indexed="8"/>
      <name val="Verdana"/>
      <family val="2"/>
    </font>
    <font>
      <i/>
      <sz val="8"/>
      <color indexed="8"/>
      <name val="Verdana"/>
      <family val="2"/>
    </font>
    <font>
      <sz val="14"/>
      <name val="Verdana"/>
      <family val="2"/>
    </font>
    <font>
      <b/>
      <sz val="8"/>
      <name val="Verdana"/>
      <family val="2"/>
    </font>
    <font>
      <b/>
      <i/>
      <sz val="8"/>
      <color indexed="10"/>
      <name val="Verdana"/>
      <family val="2"/>
    </font>
    <font>
      <b/>
      <sz val="10"/>
      <color indexed="9"/>
      <name val="Verdana"/>
      <family val="2"/>
    </font>
    <font>
      <sz val="10"/>
      <color indexed="9"/>
      <name val="Verdana"/>
      <family val="2"/>
    </font>
    <font>
      <b/>
      <i/>
      <sz val="14"/>
      <color indexed="44"/>
      <name val="Verdana"/>
      <family val="2"/>
    </font>
    <font>
      <i/>
      <sz val="10"/>
      <color indexed="9"/>
      <name val="Verdana"/>
      <family val="2"/>
    </font>
    <font>
      <sz val="8"/>
      <color indexed="9"/>
      <name val="Verdana"/>
      <family val="2"/>
    </font>
    <font>
      <b/>
      <sz val="8"/>
      <color indexed="9"/>
      <name val="Verdana"/>
      <family val="2"/>
    </font>
    <font>
      <sz val="14"/>
      <color indexed="9"/>
      <name val="Verdana"/>
      <family val="2"/>
    </font>
    <font>
      <i/>
      <sz val="8"/>
      <color indexed="9"/>
      <name val="Verdana"/>
      <family val="2"/>
    </font>
    <font>
      <sz val="10"/>
      <color indexed="16"/>
      <name val="Verdana"/>
      <family val="2"/>
    </font>
    <font>
      <i/>
      <sz val="14"/>
      <color indexed="9"/>
      <name val="Verdana"/>
      <family val="2"/>
    </font>
    <font>
      <b/>
      <i/>
      <sz val="8"/>
      <color indexed="9"/>
      <name val="Verdana"/>
      <family val="2"/>
    </font>
    <font>
      <sz val="8"/>
      <color indexed="44"/>
      <name val="Arial"/>
      <family val="2"/>
    </font>
    <font>
      <sz val="10"/>
      <color indexed="22"/>
      <name val="Verdana"/>
      <family val="2"/>
    </font>
    <font>
      <sz val="8"/>
      <color indexed="43"/>
      <name val="Arial"/>
      <family val="2"/>
    </font>
    <font>
      <sz val="28"/>
      <color indexed="44"/>
      <name val="Webdings"/>
      <family val="1"/>
      <charset val="2"/>
    </font>
    <font>
      <sz val="12"/>
      <color indexed="9"/>
      <name val="System"/>
      <family val="2"/>
    </font>
    <font>
      <b/>
      <i/>
      <sz val="10"/>
      <color indexed="9"/>
      <name val="Verdana"/>
      <family val="2"/>
    </font>
    <font>
      <sz val="12"/>
      <color indexed="9"/>
      <name val="Verdana"/>
      <family val="2"/>
    </font>
    <font>
      <sz val="10"/>
      <color indexed="55"/>
      <name val="Verdana"/>
      <family val="2"/>
    </font>
    <font>
      <sz val="10"/>
      <color indexed="57"/>
      <name val="Verdana"/>
      <family val="2"/>
    </font>
    <font>
      <sz val="12"/>
      <color indexed="57"/>
      <name val="Verdana"/>
      <family val="2"/>
    </font>
    <font>
      <sz val="8"/>
      <color indexed="23"/>
      <name val="Verdana"/>
      <family val="2"/>
    </font>
    <font>
      <vertAlign val="superscript"/>
      <sz val="10"/>
      <color indexed="9"/>
      <name val="Verdana"/>
      <family val="2"/>
    </font>
    <font>
      <sz val="10"/>
      <name val="System"/>
      <family val="2"/>
    </font>
    <font>
      <sz val="9"/>
      <color indexed="9"/>
      <name val="Verdana"/>
      <family val="2"/>
    </font>
    <font>
      <i/>
      <sz val="10"/>
      <color indexed="23"/>
      <name val="Verdana"/>
      <family val="2"/>
    </font>
    <font>
      <b/>
      <sz val="12"/>
      <color indexed="10"/>
      <name val="Verdana"/>
      <family val="2"/>
    </font>
    <font>
      <sz val="12"/>
      <color indexed="55"/>
      <name val="Verdana"/>
      <family val="2"/>
    </font>
    <font>
      <b/>
      <sz val="9"/>
      <color indexed="9"/>
      <name val="Verdana"/>
      <family val="2"/>
    </font>
    <font>
      <b/>
      <sz val="8"/>
      <color indexed="81"/>
      <name val="Tahoma"/>
      <family val="2"/>
    </font>
    <font>
      <sz val="8"/>
      <color indexed="81"/>
      <name val="Tahoma"/>
      <family val="2"/>
    </font>
    <font>
      <sz val="9"/>
      <color indexed="81"/>
      <name val="Tahoma"/>
      <family val="2"/>
    </font>
    <font>
      <b/>
      <sz val="9"/>
      <color indexed="81"/>
      <name val="Tahoma"/>
      <family val="2"/>
    </font>
    <font>
      <sz val="10"/>
      <color theme="0" tint="-0.34998626667073579"/>
      <name val="Verdana"/>
      <family val="2"/>
    </font>
    <font>
      <i/>
      <sz val="10"/>
      <color theme="0" tint="-0.34998626667073579"/>
      <name val="Verdana"/>
      <family val="2"/>
    </font>
    <font>
      <sz val="12"/>
      <color indexed="8"/>
      <name val="Verdana"/>
      <family val="2"/>
    </font>
    <font>
      <b/>
      <i/>
      <sz val="10"/>
      <color rgb="FFFFFF00"/>
      <name val="Verdana"/>
      <family val="2"/>
    </font>
    <font>
      <b/>
      <sz val="12"/>
      <color rgb="FFFFFF00"/>
      <name val="Verdana"/>
      <family val="2"/>
    </font>
    <font>
      <sz val="10"/>
      <color theme="1"/>
      <name val="Verdana"/>
      <family val="2"/>
    </font>
    <font>
      <sz val="12"/>
      <name val="Arial"/>
      <family val="2"/>
    </font>
    <font>
      <sz val="8"/>
      <color indexed="44"/>
      <name val="Verdana"/>
      <family val="2"/>
    </font>
    <font>
      <sz val="8"/>
      <color indexed="81"/>
      <name val="Verdana"/>
      <family val="2"/>
    </font>
    <font>
      <b/>
      <sz val="8"/>
      <color indexed="81"/>
      <name val="Verdana"/>
      <family val="2"/>
    </font>
    <font>
      <b/>
      <sz val="8"/>
      <color rgb="FFFFFF00"/>
      <name val="Verdana"/>
      <family val="2"/>
    </font>
    <font>
      <b/>
      <sz val="10"/>
      <color rgb="FFFFFF00"/>
      <name val="Verdana"/>
      <family val="2"/>
    </font>
    <font>
      <sz val="8"/>
      <color theme="3" tint="0.59999389629810485"/>
      <name val="Verdana"/>
      <family val="2"/>
    </font>
    <font>
      <b/>
      <sz val="9"/>
      <color indexed="81"/>
      <name val="Verdana"/>
      <family val="2"/>
    </font>
    <font>
      <i/>
      <sz val="10"/>
      <color theme="0"/>
      <name val="Verdana"/>
      <family val="2"/>
    </font>
    <font>
      <b/>
      <sz val="12"/>
      <color indexed="9"/>
      <name val="Verdana"/>
      <family val="2"/>
    </font>
    <font>
      <sz val="9"/>
      <color indexed="81"/>
      <name val="Segoe UI"/>
      <family val="2"/>
    </font>
    <font>
      <b/>
      <sz val="9"/>
      <color indexed="81"/>
      <name val="Segoe UI"/>
      <family val="2"/>
    </font>
    <font>
      <sz val="8"/>
      <color rgb="FFFFFF00"/>
      <name val="Verdana"/>
      <family val="2"/>
    </font>
    <font>
      <sz val="10"/>
      <color theme="0"/>
      <name val="Verdana"/>
      <family val="2"/>
    </font>
    <font>
      <b/>
      <i/>
      <sz val="14"/>
      <color theme="0"/>
      <name val="Verdana"/>
      <family val="2"/>
    </font>
    <font>
      <b/>
      <i/>
      <sz val="12"/>
      <color theme="0"/>
      <name val="Verdana"/>
      <family val="2"/>
    </font>
    <font>
      <sz val="8"/>
      <color theme="0" tint="-0.34998626667073579"/>
      <name val="Verdana"/>
      <family val="2"/>
    </font>
    <font>
      <b/>
      <sz val="14"/>
      <color theme="0"/>
      <name val="Verdana"/>
      <family val="2"/>
    </font>
    <font>
      <sz val="12"/>
      <color theme="0"/>
      <name val="Verdana"/>
      <family val="2"/>
    </font>
    <font>
      <vertAlign val="superscript"/>
      <sz val="12"/>
      <color theme="0"/>
      <name val="Verdana"/>
      <family val="2"/>
    </font>
    <font>
      <b/>
      <sz val="14"/>
      <color indexed="9"/>
      <name val="Verdana"/>
      <family val="2"/>
    </font>
    <font>
      <u/>
      <sz val="10"/>
      <color indexed="9"/>
      <name val="Verdana"/>
      <family val="2"/>
    </font>
    <font>
      <b/>
      <sz val="11"/>
      <color indexed="9"/>
      <name val="Verdana"/>
      <family val="2"/>
    </font>
    <font>
      <b/>
      <u/>
      <sz val="11"/>
      <color indexed="9"/>
      <name val="Verdana"/>
      <family val="2"/>
    </font>
    <font>
      <b/>
      <u/>
      <sz val="11"/>
      <color rgb="FFFFFFFF"/>
      <name val="Verdana"/>
      <family val="2"/>
    </font>
    <font>
      <sz val="12"/>
      <color theme="0" tint="-4.9989318521683403E-2"/>
      <name val="Verdana"/>
      <family val="2"/>
    </font>
    <font>
      <sz val="10"/>
      <color theme="3" tint="-0.249977111117893"/>
      <name val="Verdana"/>
      <family val="2"/>
    </font>
    <font>
      <i/>
      <sz val="12"/>
      <color theme="3" tint="-0.249977111117893"/>
      <name val="Verdana"/>
      <family val="2"/>
    </font>
    <font>
      <sz val="12"/>
      <color theme="3" tint="-0.249977111117893"/>
      <name val="Verdana"/>
      <family val="2"/>
    </font>
    <font>
      <b/>
      <sz val="10"/>
      <color theme="3" tint="-0.249977111117893"/>
      <name val="Verdana"/>
      <family val="2"/>
    </font>
    <font>
      <sz val="10"/>
      <color rgb="FFFFC000"/>
      <name val="Verdana"/>
      <family val="2"/>
    </font>
    <font>
      <sz val="9"/>
      <color rgb="FFFFC000"/>
      <name val="Arial"/>
      <family val="2"/>
    </font>
    <font>
      <sz val="12"/>
      <color rgb="FFFFC000"/>
      <name val="Verdana"/>
      <family val="2"/>
    </font>
    <font>
      <sz val="8"/>
      <color rgb="FFFFC000"/>
      <name val="Verdana"/>
      <family val="2"/>
    </font>
    <font>
      <sz val="10"/>
      <color theme="4" tint="0.59999389629810485"/>
      <name val="Verdana"/>
      <family val="2"/>
    </font>
    <font>
      <sz val="12"/>
      <color theme="4" tint="0.59999389629810485"/>
      <name val="Verdana"/>
      <family val="2"/>
    </font>
    <font>
      <sz val="8"/>
      <color theme="4" tint="0.59999389629810485"/>
      <name val="Verdana"/>
      <family val="2"/>
    </font>
    <font>
      <sz val="10"/>
      <color rgb="FFFFFF00"/>
      <name val="Verdana"/>
      <family val="2"/>
    </font>
    <font>
      <sz val="9"/>
      <color rgb="FFFFFF00"/>
      <name val="Arial"/>
      <family val="2"/>
    </font>
    <font>
      <sz val="8"/>
      <color theme="3" tint="0.79998168889431442"/>
      <name val="Verdana"/>
      <family val="2"/>
    </font>
    <font>
      <i/>
      <sz val="8"/>
      <color theme="3" tint="0.79998168889431442"/>
      <name val="Verdana"/>
      <family val="2"/>
    </font>
    <font>
      <i/>
      <sz val="10"/>
      <color theme="3" tint="0.79998168889431442"/>
      <name val="Verdana"/>
      <family val="2"/>
    </font>
    <font>
      <sz val="8"/>
      <color theme="0" tint="-0.14999847407452621"/>
      <name val="Verdana"/>
      <family val="2"/>
    </font>
    <font>
      <sz val="11"/>
      <color theme="0" tint="-0.14999847407452621"/>
      <name val="Verdana"/>
      <family val="2"/>
    </font>
    <font>
      <sz val="10"/>
      <color theme="0" tint="-0.14999847407452621"/>
      <name val="Verdana"/>
      <family val="2"/>
    </font>
    <font>
      <b/>
      <i/>
      <sz val="14"/>
      <color theme="3" tint="0.79998168889431442"/>
      <name val="Verdana"/>
      <family val="2"/>
    </font>
    <font>
      <b/>
      <i/>
      <sz val="10"/>
      <color theme="3" tint="0.39997558519241921"/>
      <name val="Verdana"/>
      <family val="2"/>
    </font>
    <font>
      <sz val="10"/>
      <color rgb="FF268592"/>
      <name val="Verdana"/>
      <family val="2"/>
    </font>
    <font>
      <b/>
      <sz val="10"/>
      <color theme="0"/>
      <name val="Verdana"/>
      <family val="2"/>
    </font>
    <font>
      <i/>
      <sz val="10"/>
      <color rgb="FFFFFF00"/>
      <name val="Verdana"/>
      <family val="2"/>
    </font>
    <font>
      <i/>
      <sz val="10"/>
      <color theme="0" tint="-4.9989318521683403E-2"/>
      <name val="Verdana"/>
      <family val="2"/>
    </font>
    <font>
      <b/>
      <sz val="11"/>
      <color theme="0"/>
      <name val="Verdana"/>
      <family val="2"/>
    </font>
    <font>
      <sz val="11"/>
      <name val="Verdana"/>
      <family val="2"/>
    </font>
    <font>
      <b/>
      <sz val="11"/>
      <name val="Verdana"/>
      <family val="2"/>
    </font>
    <font>
      <b/>
      <sz val="14"/>
      <name val="Verdana"/>
      <family val="2"/>
    </font>
    <font>
      <b/>
      <i/>
      <sz val="11"/>
      <name val="Verdana"/>
      <family val="2"/>
    </font>
    <font>
      <sz val="11"/>
      <color rgb="FF000000"/>
      <name val="Verdana"/>
      <family val="2"/>
    </font>
    <font>
      <u/>
      <sz val="12"/>
      <color theme="10"/>
      <name val="System"/>
    </font>
    <font>
      <u/>
      <sz val="11"/>
      <color theme="10"/>
      <name val="Verdana"/>
      <family val="2"/>
    </font>
    <font>
      <b/>
      <sz val="16"/>
      <color indexed="9"/>
      <name val="Verdana"/>
      <family val="2"/>
    </font>
    <font>
      <b/>
      <sz val="20"/>
      <color rgb="FF4A95B9"/>
      <name val="Verdana"/>
      <family val="2"/>
    </font>
    <font>
      <b/>
      <i/>
      <sz val="11"/>
      <color theme="0"/>
      <name val="Verdana"/>
      <family val="2"/>
    </font>
    <font>
      <b/>
      <sz val="16"/>
      <color theme="0"/>
      <name val="Verdana"/>
      <family val="2"/>
    </font>
    <font>
      <sz val="14"/>
      <color theme="0"/>
      <name val="Verdana"/>
      <family val="2"/>
    </font>
    <font>
      <sz val="8"/>
      <color rgb="FF669AD8"/>
      <name val="Verdana"/>
      <family val="2"/>
    </font>
    <font>
      <b/>
      <sz val="9"/>
      <color rgb="FFFFFF00"/>
      <name val="Verdana"/>
      <family val="2"/>
    </font>
    <font>
      <sz val="9"/>
      <name val="Verdana"/>
      <family val="2"/>
    </font>
    <font>
      <sz val="9"/>
      <color indexed="44"/>
      <name val="Verdana"/>
      <family val="2"/>
    </font>
    <font>
      <sz val="28"/>
      <color indexed="44"/>
      <name val="Verdana"/>
      <family val="2"/>
    </font>
    <font>
      <vertAlign val="superscript"/>
      <sz val="10"/>
      <name val="Arial"/>
      <family val="2"/>
    </font>
    <font>
      <sz val="12"/>
      <color theme="0"/>
      <name val="Arial"/>
      <family val="2"/>
    </font>
    <font>
      <b/>
      <sz val="10"/>
      <color rgb="FF669AD8"/>
      <name val="Verdana"/>
      <family val="2"/>
    </font>
    <font>
      <b/>
      <i/>
      <sz val="10"/>
      <color rgb="FFFFFFFF"/>
      <name val="Verdana"/>
      <family val="2"/>
    </font>
    <font>
      <b/>
      <sz val="13"/>
      <color rgb="FFFFFF00"/>
      <name val="Verdana"/>
      <family val="2"/>
    </font>
    <font>
      <b/>
      <sz val="8"/>
      <color theme="0"/>
      <name val="Verdana"/>
      <family val="2"/>
    </font>
    <font>
      <b/>
      <sz val="10"/>
      <color rgb="FFFFFFFF"/>
      <name val="Verdana"/>
      <family val="2"/>
    </font>
    <font>
      <sz val="9"/>
      <color rgb="FFFFFF00"/>
      <name val="Verdana"/>
      <family val="2"/>
    </font>
    <font>
      <vertAlign val="superscript"/>
      <sz val="9"/>
      <color rgb="FFFFFF00"/>
      <name val="Verdana"/>
      <family val="2"/>
    </font>
    <font>
      <vertAlign val="superscript"/>
      <sz val="10"/>
      <color rgb="FFFFFF00"/>
      <name val="Verdana"/>
      <family val="2"/>
    </font>
    <font>
      <b/>
      <u/>
      <sz val="10"/>
      <color rgb="FFFFFFFF"/>
      <name val="Verdana"/>
      <family val="2"/>
    </font>
    <font>
      <b/>
      <u/>
      <sz val="11"/>
      <color rgb="FFFFFF00"/>
      <name val="Verdana"/>
      <family val="2"/>
    </font>
    <font>
      <sz val="11"/>
      <color theme="0"/>
      <name val="Verdana"/>
      <family val="2"/>
    </font>
    <font>
      <i/>
      <sz val="9"/>
      <color theme="0"/>
      <name val="Verdana"/>
      <family val="2"/>
    </font>
    <font>
      <b/>
      <sz val="11"/>
      <color rgb="FFFFFF00"/>
      <name val="Verdana"/>
      <family val="2"/>
    </font>
  </fonts>
  <fills count="25">
    <fill>
      <patternFill patternType="none"/>
    </fill>
    <fill>
      <patternFill patternType="gray125"/>
    </fill>
    <fill>
      <patternFill patternType="solid">
        <fgColor indexed="57"/>
        <bgColor indexed="64"/>
      </patternFill>
    </fill>
    <fill>
      <patternFill patternType="solid">
        <fgColor indexed="63"/>
        <bgColor indexed="64"/>
      </patternFill>
    </fill>
    <fill>
      <patternFill patternType="solid">
        <fgColor indexed="55"/>
        <bgColor indexed="64"/>
      </patternFill>
    </fill>
    <fill>
      <patternFill patternType="solid">
        <fgColor indexed="8"/>
        <bgColor indexed="64"/>
      </patternFill>
    </fill>
    <fill>
      <patternFill patternType="solid">
        <fgColor theme="0"/>
        <bgColor indexed="64"/>
      </patternFill>
    </fill>
    <fill>
      <patternFill patternType="solid">
        <fgColor theme="1" tint="0.249977111117893"/>
        <bgColor indexed="64"/>
      </patternFill>
    </fill>
    <fill>
      <patternFill patternType="solid">
        <fgColor rgb="FFFF9900"/>
        <bgColor indexed="64"/>
      </patternFill>
    </fill>
    <fill>
      <patternFill patternType="solid">
        <fgColor theme="0" tint="-0.34998626667073579"/>
        <bgColor indexed="64"/>
      </patternFill>
    </fill>
    <fill>
      <patternFill patternType="solid">
        <fgColor rgb="FF669AD8"/>
        <bgColor indexed="64"/>
      </patternFill>
    </fill>
    <fill>
      <patternFill patternType="solid">
        <fgColor theme="4" tint="-0.249977111117893"/>
        <bgColor indexed="64"/>
      </patternFill>
    </fill>
    <fill>
      <patternFill patternType="solid">
        <fgColor rgb="FF969696"/>
        <bgColor indexed="64"/>
      </patternFill>
    </fill>
    <fill>
      <patternFill patternType="solid">
        <fgColor theme="0" tint="-0.14999847407452621"/>
        <bgColor indexed="64"/>
      </patternFill>
    </fill>
    <fill>
      <patternFill patternType="solid">
        <fgColor rgb="FF4D4D4D"/>
        <bgColor indexed="64"/>
      </patternFill>
    </fill>
    <fill>
      <patternFill patternType="solid">
        <fgColor rgb="FF617CC7"/>
        <bgColor indexed="64"/>
      </patternFill>
    </fill>
    <fill>
      <patternFill patternType="solid">
        <fgColor rgb="FF61ACC7"/>
        <bgColor indexed="64"/>
      </patternFill>
    </fill>
    <fill>
      <patternFill patternType="solid">
        <fgColor rgb="FF72B6B6"/>
        <bgColor indexed="64"/>
      </patternFill>
    </fill>
    <fill>
      <patternFill patternType="solid">
        <fgColor rgb="FF6AAABE"/>
        <bgColor indexed="64"/>
      </patternFill>
    </fill>
    <fill>
      <patternFill patternType="solid">
        <fgColor theme="0" tint="-0.499984740745262"/>
        <bgColor indexed="64"/>
      </patternFill>
    </fill>
    <fill>
      <patternFill patternType="solid">
        <fgColor rgb="FF4F81BD"/>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002060"/>
        <bgColor indexed="64"/>
      </patternFill>
    </fill>
    <fill>
      <patternFill patternType="solid">
        <fgColor rgb="FF00B050"/>
        <bgColor indexed="64"/>
      </patternFill>
    </fill>
  </fills>
  <borders count="212">
    <border>
      <left/>
      <right/>
      <top/>
      <bottom/>
      <diagonal/>
    </border>
    <border>
      <left style="thin">
        <color indexed="22"/>
      </left>
      <right style="thin">
        <color indexed="22"/>
      </right>
      <top style="thin">
        <color indexed="22"/>
      </top>
      <bottom style="thin">
        <color indexed="22"/>
      </bottom>
      <diagonal/>
    </border>
    <border>
      <left/>
      <right/>
      <top style="medium">
        <color indexed="9"/>
      </top>
      <bottom style="medium">
        <color indexed="9"/>
      </bottom>
      <diagonal/>
    </border>
    <border>
      <left/>
      <right/>
      <top style="thin">
        <color indexed="22"/>
      </top>
      <bottom style="thin">
        <color indexed="22"/>
      </bottom>
      <diagonal/>
    </border>
    <border>
      <left/>
      <right/>
      <top style="hair">
        <color indexed="63"/>
      </top>
      <bottom style="hair">
        <color indexed="63"/>
      </bottom>
      <diagonal/>
    </border>
    <border>
      <left/>
      <right/>
      <top style="hair">
        <color indexed="63"/>
      </top>
      <bottom/>
      <diagonal/>
    </border>
    <border>
      <left/>
      <right/>
      <top/>
      <bottom style="hair">
        <color indexed="63"/>
      </bottom>
      <diagonal/>
    </border>
    <border>
      <left style="hair">
        <color indexed="63"/>
      </left>
      <right style="hair">
        <color indexed="63"/>
      </right>
      <top style="hair">
        <color indexed="63"/>
      </top>
      <bottom style="hair">
        <color indexed="63"/>
      </bottom>
      <diagonal/>
    </border>
    <border>
      <left style="hair">
        <color indexed="63"/>
      </left>
      <right style="hair">
        <color indexed="63"/>
      </right>
      <top/>
      <bottom/>
      <diagonal/>
    </border>
    <border>
      <left style="hair">
        <color indexed="63"/>
      </left>
      <right style="hair">
        <color indexed="63"/>
      </right>
      <top/>
      <bottom style="hair">
        <color indexed="63"/>
      </bottom>
      <diagonal/>
    </border>
    <border>
      <left style="hair">
        <color indexed="63"/>
      </left>
      <right style="hair">
        <color indexed="63"/>
      </right>
      <top style="hair">
        <color indexed="63"/>
      </top>
      <bottom/>
      <diagonal/>
    </border>
    <border>
      <left style="thin">
        <color indexed="9"/>
      </left>
      <right style="thin">
        <color indexed="9"/>
      </right>
      <top style="thin">
        <color indexed="9"/>
      </top>
      <bottom style="thin">
        <color indexed="9"/>
      </bottom>
      <diagonal/>
    </border>
    <border>
      <left/>
      <right style="hair">
        <color indexed="63"/>
      </right>
      <top/>
      <bottom style="hair">
        <color indexed="63"/>
      </bottom>
      <diagonal/>
    </border>
    <border>
      <left style="hair">
        <color indexed="64"/>
      </left>
      <right/>
      <top/>
      <bottom style="hair">
        <color indexed="64"/>
      </bottom>
      <diagonal/>
    </border>
    <border>
      <left/>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style="thin">
        <color indexed="9"/>
      </right>
      <top style="hair">
        <color indexed="63"/>
      </top>
      <bottom style="hair">
        <color indexed="63"/>
      </bottom>
      <diagonal/>
    </border>
    <border>
      <left style="thin">
        <color indexed="9"/>
      </left>
      <right style="thin">
        <color indexed="9"/>
      </right>
      <top style="hair">
        <color indexed="63"/>
      </top>
      <bottom style="thin">
        <color indexed="9"/>
      </bottom>
      <diagonal/>
    </border>
    <border>
      <left/>
      <right/>
      <top style="thin">
        <color indexed="9"/>
      </top>
      <bottom/>
      <diagonal/>
    </border>
    <border>
      <left/>
      <right/>
      <top/>
      <bottom style="thin">
        <color indexed="9"/>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3"/>
      </left>
      <right style="hair">
        <color indexed="63"/>
      </right>
      <top style="hair">
        <color indexed="64"/>
      </top>
      <bottom style="hair">
        <color indexed="63"/>
      </bottom>
      <diagonal/>
    </border>
    <border>
      <left style="hair">
        <color indexed="63"/>
      </left>
      <right style="hair">
        <color indexed="63"/>
      </right>
      <top/>
      <bottom style="thin">
        <color indexed="64"/>
      </bottom>
      <diagonal/>
    </border>
    <border>
      <left style="thin">
        <color indexed="9"/>
      </left>
      <right/>
      <top style="hair">
        <color indexed="63"/>
      </top>
      <bottom style="hair">
        <color indexed="63"/>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3"/>
      </right>
      <top/>
      <bottom/>
      <diagonal/>
    </border>
    <border>
      <left/>
      <right style="hair">
        <color indexed="63"/>
      </right>
      <top style="hair">
        <color indexed="63"/>
      </top>
      <bottom style="hair">
        <color indexed="63"/>
      </bottom>
      <diagonal/>
    </border>
    <border>
      <left style="hair">
        <color indexed="63"/>
      </left>
      <right/>
      <top style="hair">
        <color indexed="63"/>
      </top>
      <bottom style="hair">
        <color indexed="63"/>
      </bottom>
      <diagonal/>
    </border>
    <border>
      <left style="hair">
        <color indexed="63"/>
      </left>
      <right/>
      <top/>
      <bottom/>
      <diagonal/>
    </border>
    <border>
      <left style="hair">
        <color indexed="63"/>
      </left>
      <right/>
      <top/>
      <bottom style="hair">
        <color indexed="63"/>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top style="medium">
        <color indexed="22"/>
      </top>
      <bottom style="medium">
        <color indexed="22"/>
      </bottom>
      <diagonal/>
    </border>
    <border>
      <left/>
      <right style="thin">
        <color indexed="22"/>
      </right>
      <top style="medium">
        <color indexed="22"/>
      </top>
      <bottom style="medium">
        <color indexed="22"/>
      </bottom>
      <diagonal/>
    </border>
    <border>
      <left style="thin">
        <color indexed="9"/>
      </left>
      <right style="thin">
        <color indexed="9"/>
      </right>
      <top style="thin">
        <color indexed="9"/>
      </top>
      <bottom style="hair">
        <color indexed="63"/>
      </bottom>
      <diagonal/>
    </border>
    <border>
      <left style="thin">
        <color indexed="9"/>
      </left>
      <right/>
      <top style="hair">
        <color indexed="63"/>
      </top>
      <bottom style="thin">
        <color indexed="9"/>
      </bottom>
      <diagonal/>
    </border>
    <border>
      <left style="hair">
        <color indexed="63"/>
      </left>
      <right style="hair">
        <color indexed="63"/>
      </right>
      <top style="hair">
        <color indexed="64"/>
      </top>
      <bottom/>
      <diagonal/>
    </border>
    <border>
      <left/>
      <right style="hair">
        <color indexed="63"/>
      </right>
      <top style="hair">
        <color indexed="64"/>
      </top>
      <bottom/>
      <diagonal/>
    </border>
    <border>
      <left style="medium">
        <color indexed="22"/>
      </left>
      <right/>
      <top style="medium">
        <color indexed="22"/>
      </top>
      <bottom style="medium">
        <color indexed="22"/>
      </bottom>
      <diagonal/>
    </border>
    <border>
      <left style="hair">
        <color indexed="63"/>
      </left>
      <right/>
      <top style="hair">
        <color indexed="63"/>
      </top>
      <bottom/>
      <diagonal/>
    </border>
    <border>
      <left/>
      <right style="hair">
        <color indexed="63"/>
      </right>
      <top style="hair">
        <color indexed="63"/>
      </top>
      <bottom/>
      <diagonal/>
    </border>
    <border>
      <left/>
      <right style="thin">
        <color indexed="22"/>
      </right>
      <top style="hair">
        <color indexed="63"/>
      </top>
      <bottom/>
      <diagonal/>
    </border>
    <border>
      <left style="hair">
        <color indexed="63"/>
      </left>
      <right style="thin">
        <color indexed="22"/>
      </right>
      <top style="hair">
        <color indexed="63"/>
      </top>
      <bottom style="hair">
        <color indexed="63"/>
      </bottom>
      <diagonal/>
    </border>
    <border>
      <left/>
      <right style="thin">
        <color indexed="22"/>
      </right>
      <top/>
      <bottom/>
      <diagonal/>
    </border>
    <border>
      <left/>
      <right style="thin">
        <color indexed="22"/>
      </right>
      <top/>
      <bottom style="hair">
        <color indexed="63"/>
      </bottom>
      <diagonal/>
    </border>
    <border>
      <left/>
      <right style="thin">
        <color indexed="22"/>
      </right>
      <top style="hair">
        <color indexed="63"/>
      </top>
      <bottom style="hair">
        <color indexed="63"/>
      </bottom>
      <diagonal/>
    </border>
    <border>
      <left/>
      <right style="thin">
        <color indexed="22"/>
      </right>
      <top/>
      <bottom style="thin">
        <color indexed="22"/>
      </bottom>
      <diagonal/>
    </border>
    <border>
      <left style="thin">
        <color indexed="22"/>
      </left>
      <right style="hair">
        <color indexed="63"/>
      </right>
      <top style="hair">
        <color indexed="63"/>
      </top>
      <bottom style="hair">
        <color indexed="63"/>
      </bottom>
      <diagonal/>
    </border>
    <border>
      <left style="thin">
        <color indexed="22"/>
      </left>
      <right/>
      <top/>
      <bottom/>
      <diagonal/>
    </border>
    <border>
      <left style="thin">
        <color indexed="22"/>
      </left>
      <right/>
      <top/>
      <bottom style="hair">
        <color indexed="63"/>
      </bottom>
      <diagonal/>
    </border>
    <border>
      <left style="thin">
        <color indexed="22"/>
      </left>
      <right/>
      <top/>
      <bottom style="thin">
        <color indexed="22"/>
      </bottom>
      <diagonal/>
    </border>
    <border>
      <left style="thin">
        <color indexed="22"/>
      </left>
      <right style="thin">
        <color indexed="22"/>
      </right>
      <top/>
      <bottom/>
      <diagonal/>
    </border>
    <border>
      <left/>
      <right/>
      <top/>
      <bottom style="thin">
        <color indexed="64"/>
      </bottom>
      <diagonal/>
    </border>
    <border>
      <left style="hair">
        <color indexed="63"/>
      </left>
      <right style="hair">
        <color indexed="63"/>
      </right>
      <top/>
      <bottom style="thin">
        <color indexed="22"/>
      </bottom>
      <diagonal/>
    </border>
    <border>
      <left style="thin">
        <color indexed="22"/>
      </left>
      <right style="thin">
        <color indexed="22"/>
      </right>
      <top style="thin">
        <color indexed="22"/>
      </top>
      <bottom/>
      <diagonal/>
    </border>
    <border>
      <left style="thin">
        <color indexed="22"/>
      </left>
      <right style="thin">
        <color indexed="22"/>
      </right>
      <top/>
      <bottom style="thin">
        <color indexed="22"/>
      </bottom>
      <diagonal/>
    </border>
    <border>
      <left style="medium">
        <color indexed="22"/>
      </left>
      <right style="thin">
        <color indexed="22"/>
      </right>
      <top style="medium">
        <color indexed="22"/>
      </top>
      <bottom style="medium">
        <color indexed="22"/>
      </bottom>
      <diagonal/>
    </border>
    <border>
      <left style="thin">
        <color indexed="22"/>
      </left>
      <right style="thin">
        <color indexed="22"/>
      </right>
      <top style="medium">
        <color indexed="22"/>
      </top>
      <bottom style="medium">
        <color indexed="22"/>
      </bottom>
      <diagonal/>
    </border>
    <border>
      <left style="thin">
        <color indexed="22"/>
      </left>
      <right style="medium">
        <color indexed="22"/>
      </right>
      <top style="medium">
        <color indexed="22"/>
      </top>
      <bottom style="medium">
        <color indexed="22"/>
      </bottom>
      <diagonal/>
    </border>
    <border>
      <left/>
      <right/>
      <top/>
      <bottom style="thin">
        <color indexed="22"/>
      </bottom>
      <diagonal/>
    </border>
    <border>
      <left style="thin">
        <color indexed="22"/>
      </left>
      <right/>
      <top style="hair">
        <color indexed="63"/>
      </top>
      <bottom/>
      <diagonal/>
    </border>
    <border>
      <left style="medium">
        <color indexed="22"/>
      </left>
      <right/>
      <top style="thin">
        <color indexed="22"/>
      </top>
      <bottom style="thin">
        <color indexed="22"/>
      </bottom>
      <diagonal/>
    </border>
    <border>
      <left style="hair">
        <color indexed="63"/>
      </left>
      <right style="hair">
        <color indexed="63"/>
      </right>
      <top style="thin">
        <color indexed="22"/>
      </top>
      <bottom style="thin">
        <color indexed="22"/>
      </bottom>
      <diagonal/>
    </border>
    <border>
      <left style="thin">
        <color indexed="9"/>
      </left>
      <right style="thin">
        <color indexed="9"/>
      </right>
      <top style="hair">
        <color indexed="63"/>
      </top>
      <bottom style="hair">
        <color indexed="63"/>
      </bottom>
      <diagonal/>
    </border>
    <border>
      <left style="hair">
        <color indexed="64"/>
      </left>
      <right/>
      <top/>
      <bottom/>
      <diagonal/>
    </border>
    <border>
      <left style="thin">
        <color indexed="9"/>
      </left>
      <right/>
      <top style="thin">
        <color indexed="9"/>
      </top>
      <bottom style="hair">
        <color indexed="63"/>
      </bottom>
      <diagonal/>
    </border>
    <border>
      <left/>
      <right/>
      <top style="thin">
        <color indexed="9"/>
      </top>
      <bottom style="hair">
        <color indexed="63"/>
      </bottom>
      <diagonal/>
    </border>
    <border>
      <left/>
      <right style="thin">
        <color indexed="9"/>
      </right>
      <top style="thin">
        <color indexed="9"/>
      </top>
      <bottom style="hair">
        <color indexed="63"/>
      </bottom>
      <diagonal/>
    </border>
    <border>
      <left/>
      <right/>
      <top style="hair">
        <color indexed="63"/>
      </top>
      <bottom style="thin">
        <color indexed="9"/>
      </bottom>
      <diagonal/>
    </border>
    <border>
      <left/>
      <right style="thin">
        <color indexed="9"/>
      </right>
      <top style="hair">
        <color indexed="63"/>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style="thin">
        <color indexed="9"/>
      </bottom>
      <diagonal/>
    </border>
    <border>
      <left/>
      <right/>
      <top style="hair">
        <color indexed="64"/>
      </top>
      <bottom style="hair">
        <color indexed="64"/>
      </bottom>
      <diagonal/>
    </border>
    <border>
      <left style="hair">
        <color indexed="63"/>
      </left>
      <right/>
      <top style="hair">
        <color indexed="64"/>
      </top>
      <bottom style="hair">
        <color indexed="63"/>
      </bottom>
      <diagonal/>
    </border>
    <border>
      <left/>
      <right/>
      <top style="hair">
        <color indexed="64"/>
      </top>
      <bottom style="hair">
        <color indexed="63"/>
      </bottom>
      <diagonal/>
    </border>
    <border>
      <left/>
      <right style="hair">
        <color indexed="63"/>
      </right>
      <top style="hair">
        <color indexed="64"/>
      </top>
      <bottom style="hair">
        <color indexed="63"/>
      </bottom>
      <diagonal/>
    </border>
    <border>
      <left style="hair">
        <color indexed="64"/>
      </left>
      <right/>
      <top style="hair">
        <color indexed="64"/>
      </top>
      <bottom/>
      <diagonal/>
    </border>
    <border>
      <left style="thin">
        <color indexed="9"/>
      </left>
      <right/>
      <top style="hair">
        <color indexed="63"/>
      </top>
      <bottom/>
      <diagonal/>
    </border>
    <border>
      <left style="thin">
        <color indexed="9"/>
      </left>
      <right style="thin">
        <color indexed="9"/>
      </right>
      <top style="hair">
        <color indexed="63"/>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right style="medium">
        <color theme="0"/>
      </right>
      <top style="medium">
        <color indexed="9"/>
      </top>
      <bottom style="medium">
        <color indexed="9"/>
      </bottom>
      <diagonal/>
    </border>
    <border>
      <left/>
      <right/>
      <top style="medium">
        <color indexed="22"/>
      </top>
      <bottom/>
      <diagonal/>
    </border>
    <border>
      <left style="medium">
        <color indexed="22"/>
      </left>
      <right/>
      <top/>
      <bottom/>
      <diagonal/>
    </border>
    <border>
      <left style="medium">
        <color indexed="22"/>
      </left>
      <right/>
      <top style="hair">
        <color indexed="63"/>
      </top>
      <bottom style="hair">
        <color indexed="63"/>
      </bottom>
      <diagonal/>
    </border>
    <border>
      <left style="medium">
        <color indexed="22"/>
      </left>
      <right/>
      <top style="hair">
        <color indexed="63"/>
      </top>
      <bottom/>
      <diagonal/>
    </border>
    <border>
      <left style="medium">
        <color indexed="22"/>
      </left>
      <right/>
      <top/>
      <bottom style="thin">
        <color indexed="22"/>
      </bottom>
      <diagonal/>
    </border>
    <border>
      <left style="medium">
        <color indexed="22"/>
      </left>
      <right/>
      <top style="thin">
        <color indexed="22"/>
      </top>
      <bottom style="medium">
        <color indexed="22"/>
      </bottom>
      <diagonal/>
    </border>
    <border>
      <left/>
      <right/>
      <top style="thin">
        <color indexed="22"/>
      </top>
      <bottom style="medium">
        <color indexed="22"/>
      </bottom>
      <diagonal/>
    </border>
    <border>
      <left/>
      <right/>
      <top/>
      <bottom style="medium">
        <color theme="0"/>
      </bottom>
      <diagonal/>
    </border>
    <border>
      <left/>
      <right/>
      <top style="medium">
        <color indexed="9"/>
      </top>
      <bottom/>
      <diagonal/>
    </border>
    <border>
      <left style="medium">
        <color indexed="9"/>
      </left>
      <right/>
      <top/>
      <bottom/>
      <diagonal/>
    </border>
    <border>
      <left style="medium">
        <color indexed="9"/>
      </left>
      <right/>
      <top style="medium">
        <color indexed="9"/>
      </top>
      <bottom style="medium">
        <color indexed="9"/>
      </bottom>
      <diagonal/>
    </border>
    <border>
      <left style="hair">
        <color indexed="64"/>
      </left>
      <right style="hair">
        <color indexed="63"/>
      </right>
      <top style="hair">
        <color indexed="64"/>
      </top>
      <bottom/>
      <diagonal/>
    </border>
    <border>
      <left style="hair">
        <color indexed="64"/>
      </left>
      <right style="hair">
        <color indexed="63"/>
      </right>
      <top/>
      <bottom/>
      <diagonal/>
    </border>
    <border>
      <left style="hair">
        <color indexed="64"/>
      </left>
      <right style="hair">
        <color indexed="63"/>
      </right>
      <top/>
      <bottom style="thin">
        <color indexed="64"/>
      </bottom>
      <diagonal/>
    </border>
    <border>
      <left style="thin">
        <color indexed="22"/>
      </left>
      <right/>
      <top style="thin">
        <color indexed="22"/>
      </top>
      <bottom/>
      <diagonal/>
    </border>
    <border>
      <left/>
      <right/>
      <top style="thin">
        <color indexed="22"/>
      </top>
      <bottom/>
      <diagonal/>
    </border>
    <border>
      <left/>
      <right style="thin">
        <color indexed="22"/>
      </right>
      <top style="thin">
        <color indexed="22"/>
      </top>
      <bottom/>
      <diagonal/>
    </border>
    <border>
      <left style="thin">
        <color indexed="22"/>
      </left>
      <right/>
      <top style="hair">
        <color indexed="63"/>
      </top>
      <bottom style="hair">
        <color indexed="63"/>
      </bottom>
      <diagonal/>
    </border>
    <border>
      <left style="medium">
        <color indexed="9"/>
      </left>
      <right/>
      <top style="medium">
        <color indexed="9"/>
      </top>
      <bottom/>
      <diagonal/>
    </border>
    <border>
      <left/>
      <right style="medium">
        <color indexed="9"/>
      </right>
      <top style="medium">
        <color indexed="9"/>
      </top>
      <bottom/>
      <diagonal/>
    </border>
    <border>
      <left/>
      <right style="medium">
        <color indexed="9"/>
      </right>
      <top/>
      <bottom/>
      <diagonal/>
    </border>
    <border>
      <left/>
      <right style="medium">
        <color indexed="9"/>
      </right>
      <top style="medium">
        <color indexed="9"/>
      </top>
      <bottom style="medium">
        <color indexed="9"/>
      </bottom>
      <diagonal/>
    </border>
    <border>
      <left/>
      <right/>
      <top style="medium">
        <color indexed="22"/>
      </top>
      <bottom style="medium">
        <color indexed="22"/>
      </bottom>
      <diagonal/>
    </border>
    <border>
      <left style="thin">
        <color indexed="9"/>
      </left>
      <right/>
      <top/>
      <bottom style="thin">
        <color indexed="9"/>
      </bottom>
      <diagonal/>
    </border>
    <border>
      <left/>
      <right style="thin">
        <color indexed="9"/>
      </right>
      <top/>
      <bottom style="thin">
        <color indexed="9"/>
      </bottom>
      <diagonal/>
    </border>
    <border>
      <left style="medium">
        <color theme="0"/>
      </left>
      <right/>
      <top style="thin">
        <color theme="0"/>
      </top>
      <bottom style="medium">
        <color theme="0"/>
      </bottom>
      <diagonal/>
    </border>
    <border>
      <left/>
      <right style="medium">
        <color theme="0"/>
      </right>
      <top style="thin">
        <color theme="0"/>
      </top>
      <bottom style="medium">
        <color theme="0"/>
      </bottom>
      <diagonal/>
    </border>
    <border>
      <left style="medium">
        <color indexed="22"/>
      </left>
      <right/>
      <top/>
      <bottom style="hair">
        <color indexed="63"/>
      </bottom>
      <diagonal/>
    </border>
    <border>
      <left/>
      <right/>
      <top style="medium">
        <color theme="0"/>
      </top>
      <bottom style="medium">
        <color theme="0"/>
      </bottom>
      <diagonal/>
    </border>
    <border>
      <left/>
      <right/>
      <top style="hair">
        <color theme="1" tint="0.24994659260841701"/>
      </top>
      <bottom style="hair">
        <color theme="1" tint="0.24994659260841701"/>
      </bottom>
      <diagonal/>
    </border>
    <border>
      <left style="medium">
        <color theme="0" tint="-0.14996795556505021"/>
      </left>
      <right/>
      <top/>
      <bottom style="hair">
        <color indexed="63"/>
      </bottom>
      <diagonal/>
    </border>
    <border>
      <left/>
      <right style="medium">
        <color theme="0" tint="-0.14996795556505021"/>
      </right>
      <top/>
      <bottom style="hair">
        <color indexed="63"/>
      </bottom>
      <diagonal/>
    </border>
    <border>
      <left style="medium">
        <color theme="0" tint="-0.14996795556505021"/>
      </left>
      <right/>
      <top/>
      <bottom/>
      <diagonal/>
    </border>
    <border>
      <left/>
      <right style="medium">
        <color theme="0" tint="-0.14996795556505021"/>
      </right>
      <top/>
      <bottom/>
      <diagonal/>
    </border>
    <border>
      <left style="medium">
        <color theme="0" tint="-0.14996795556505021"/>
      </left>
      <right/>
      <top style="thin">
        <color theme="0" tint="-0.14993743705557422"/>
      </top>
      <bottom style="medium">
        <color theme="0" tint="-0.14996795556505021"/>
      </bottom>
      <diagonal/>
    </border>
    <border>
      <left/>
      <right/>
      <top style="thin">
        <color theme="0" tint="-0.14993743705557422"/>
      </top>
      <bottom style="medium">
        <color theme="0" tint="-0.14996795556505021"/>
      </bottom>
      <diagonal/>
    </border>
    <border>
      <left style="hair">
        <color indexed="63"/>
      </left>
      <right style="medium">
        <color theme="0" tint="-0.14996795556505021"/>
      </right>
      <top style="thin">
        <color theme="0" tint="-0.14993743705557422"/>
      </top>
      <bottom style="medium">
        <color theme="0" tint="-0.14996795556505021"/>
      </bottom>
      <diagonal/>
    </border>
    <border>
      <left style="medium">
        <color theme="0" tint="-0.14996795556505021"/>
      </left>
      <right/>
      <top style="medium">
        <color theme="0" tint="-0.14996795556505021"/>
      </top>
      <bottom style="thin">
        <color theme="0" tint="-0.14993743705557422"/>
      </bottom>
      <diagonal/>
    </border>
    <border>
      <left style="hair">
        <color indexed="63"/>
      </left>
      <right/>
      <top style="medium">
        <color theme="0" tint="-0.14996795556505021"/>
      </top>
      <bottom style="thin">
        <color theme="0" tint="-0.14993743705557422"/>
      </bottom>
      <diagonal/>
    </border>
    <border>
      <left/>
      <right/>
      <top style="medium">
        <color theme="0" tint="-0.14996795556505021"/>
      </top>
      <bottom style="thin">
        <color theme="0" tint="-0.14993743705557422"/>
      </bottom>
      <diagonal/>
    </border>
    <border>
      <left/>
      <right style="medium">
        <color theme="0" tint="-0.14996795556505021"/>
      </right>
      <top style="medium">
        <color theme="0" tint="-0.14996795556505021"/>
      </top>
      <bottom style="thin">
        <color theme="0" tint="-0.14993743705557422"/>
      </bottom>
      <diagonal/>
    </border>
    <border>
      <left/>
      <right/>
      <top style="thin">
        <color indexed="9"/>
      </top>
      <bottom style="thin">
        <color indexed="9"/>
      </bottom>
      <diagonal/>
    </border>
    <border>
      <left style="thin">
        <color theme="0"/>
      </left>
      <right style="thin">
        <color theme="0"/>
      </right>
      <top/>
      <bottom style="thin">
        <color theme="0"/>
      </bottom>
      <diagonal/>
    </border>
    <border>
      <left style="thin">
        <color theme="0"/>
      </left>
      <right style="medium">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medium">
        <color theme="0"/>
      </right>
      <top style="thin">
        <color theme="0"/>
      </top>
      <bottom style="thin">
        <color theme="0"/>
      </bottom>
      <diagonal/>
    </border>
    <border>
      <left style="thin">
        <color theme="0"/>
      </left>
      <right style="medium">
        <color theme="0"/>
      </right>
      <top style="thin">
        <color theme="0"/>
      </top>
      <bottom/>
      <diagonal/>
    </border>
    <border>
      <left style="thin">
        <color theme="0"/>
      </left>
      <right style="thin">
        <color theme="0"/>
      </right>
      <top style="medium">
        <color theme="0"/>
      </top>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theme="0"/>
      </left>
      <right style="medium">
        <color theme="0"/>
      </right>
      <top style="medium">
        <color theme="0"/>
      </top>
      <bottom/>
      <diagonal/>
    </border>
    <border>
      <left style="thin">
        <color theme="0"/>
      </left>
      <right style="medium">
        <color theme="0"/>
      </right>
      <top/>
      <bottom/>
      <diagonal/>
    </border>
    <border>
      <left/>
      <right/>
      <top style="hair">
        <color theme="1" tint="0.24994659260841701"/>
      </top>
      <bottom/>
      <diagonal/>
    </border>
    <border>
      <left/>
      <right style="thin">
        <color indexed="9"/>
      </right>
      <top/>
      <bottom/>
      <diagonal/>
    </border>
    <border>
      <left style="thin">
        <color indexed="64"/>
      </left>
      <right style="thin">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hair">
        <color indexed="63"/>
      </top>
      <bottom style="hair">
        <color indexed="63"/>
      </bottom>
      <diagonal/>
    </border>
    <border>
      <left style="thin">
        <color indexed="64"/>
      </left>
      <right/>
      <top style="hair">
        <color indexed="63"/>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indexed="64"/>
      </left>
      <right style="hair">
        <color indexed="63"/>
      </right>
      <top/>
      <bottom style="hair">
        <color indexed="63"/>
      </bottom>
      <diagonal/>
    </border>
    <border>
      <left/>
      <right/>
      <top/>
      <bottom style="dotted">
        <color theme="0" tint="-0.34998626667073579"/>
      </bottom>
      <diagonal/>
    </border>
    <border>
      <left/>
      <right style="medium">
        <color theme="0"/>
      </right>
      <top/>
      <bottom style="medium">
        <color indexed="9"/>
      </bottom>
      <diagonal/>
    </border>
    <border>
      <left/>
      <right style="medium">
        <color indexed="22"/>
      </right>
      <top style="thin">
        <color indexed="22"/>
      </top>
      <bottom style="thin">
        <color indexed="22"/>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hair">
        <color indexed="63"/>
      </right>
      <top style="thin">
        <color theme="0" tint="-0.14993743705557422"/>
      </top>
      <bottom style="hair">
        <color indexed="63"/>
      </bottom>
      <diagonal/>
    </border>
    <border>
      <left style="thin">
        <color theme="0"/>
      </left>
      <right/>
      <top style="thin">
        <color theme="0"/>
      </top>
      <bottom style="double">
        <color theme="0"/>
      </bottom>
      <diagonal/>
    </border>
    <border>
      <left/>
      <right/>
      <top style="thin">
        <color theme="0"/>
      </top>
      <bottom style="double">
        <color theme="0"/>
      </bottom>
      <diagonal/>
    </border>
    <border>
      <left style="hair">
        <color indexed="63"/>
      </left>
      <right style="thin">
        <color theme="0" tint="-0.34998626667073579"/>
      </right>
      <top style="hair">
        <color indexed="63"/>
      </top>
      <bottom style="hair">
        <color indexed="63"/>
      </bottom>
      <diagonal/>
    </border>
    <border>
      <left/>
      <right style="medium">
        <color indexed="9"/>
      </right>
      <top/>
      <bottom style="medium">
        <color indexed="9"/>
      </bottom>
      <diagonal/>
    </border>
    <border>
      <left style="thin">
        <color theme="0"/>
      </left>
      <right style="thin">
        <color theme="0" tint="-0.34998626667073579"/>
      </right>
      <top style="hair">
        <color indexed="63"/>
      </top>
      <bottom style="thin">
        <color indexed="22"/>
      </bottom>
      <diagonal/>
    </border>
    <border>
      <left style="thin">
        <color theme="0"/>
      </left>
      <right style="thin">
        <color theme="0" tint="-0.34998626667073579"/>
      </right>
      <top style="hair">
        <color indexed="63"/>
      </top>
      <bottom style="hair">
        <color indexed="63"/>
      </bottom>
      <diagonal/>
    </border>
    <border>
      <left style="hair">
        <color theme="0"/>
      </left>
      <right/>
      <top style="hair">
        <color indexed="63"/>
      </top>
      <bottom style="hair">
        <color indexed="63"/>
      </bottom>
      <diagonal/>
    </border>
    <border>
      <left style="thin">
        <color theme="0"/>
      </left>
      <right style="thin">
        <color theme="0" tint="-0.34998626667073579"/>
      </right>
      <top style="hair">
        <color indexed="63"/>
      </top>
      <bottom/>
      <diagonal/>
    </border>
    <border>
      <left style="thin">
        <color theme="0"/>
      </left>
      <right style="thin">
        <color theme="0" tint="-0.34998626667073579"/>
      </right>
      <top/>
      <bottom style="hair">
        <color indexed="63"/>
      </bottom>
      <diagonal/>
    </border>
    <border>
      <left style="thin">
        <color theme="0"/>
      </left>
      <right/>
      <top style="hair">
        <color indexed="63"/>
      </top>
      <bottom/>
      <diagonal/>
    </border>
    <border>
      <left style="hair">
        <color theme="0"/>
      </left>
      <right/>
      <top style="hair">
        <color indexed="63"/>
      </top>
      <bottom/>
      <diagonal/>
    </border>
    <border>
      <left style="hair">
        <color theme="0"/>
      </left>
      <right/>
      <top/>
      <bottom style="hair">
        <color indexed="63"/>
      </bottom>
      <diagonal/>
    </border>
    <border>
      <left style="hair">
        <color theme="0"/>
      </left>
      <right/>
      <top/>
      <bottom/>
      <diagonal/>
    </border>
    <border>
      <left style="thin">
        <color indexed="64"/>
      </left>
      <right style="thin">
        <color indexed="64"/>
      </right>
      <top style="thin">
        <color indexed="64"/>
      </top>
      <bottom style="medium">
        <color indexed="64"/>
      </bottom>
      <diagonal/>
    </border>
    <border>
      <left style="thin">
        <color theme="0"/>
      </left>
      <right style="thin">
        <color theme="0" tint="-0.34998626667073579"/>
      </right>
      <top/>
      <bottom/>
      <diagonal/>
    </border>
    <border>
      <left style="thin">
        <color theme="0"/>
      </left>
      <right style="thin">
        <color theme="0" tint="-0.34998626667073579"/>
      </right>
      <top style="thin">
        <color theme="0" tint="-0.14996795556505021"/>
      </top>
      <bottom style="thin">
        <color theme="0" tint="-0.14996795556505021"/>
      </bottom>
      <diagonal/>
    </border>
    <border>
      <left style="thin">
        <color theme="0" tint="-0.34998626667073579"/>
      </left>
      <right/>
      <top style="thin">
        <color theme="0" tint="-0.14996795556505021"/>
      </top>
      <bottom style="thin">
        <color theme="0" tint="-0.14996795556505021"/>
      </bottom>
      <diagonal/>
    </border>
    <border>
      <left/>
      <right style="thin">
        <color theme="0"/>
      </right>
      <top style="thin">
        <color theme="0" tint="-0.14996795556505021"/>
      </top>
      <bottom style="thin">
        <color theme="0" tint="-0.14996795556505021"/>
      </bottom>
      <diagonal/>
    </border>
    <border>
      <left style="thin">
        <color theme="0"/>
      </left>
      <right/>
      <top/>
      <bottom/>
      <diagonal/>
    </border>
    <border>
      <left/>
      <right/>
      <top/>
      <bottom style="thin">
        <color theme="0" tint="-0.14996795556505021"/>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thin">
        <color theme="0" tint="-4.9989318521683403E-2"/>
      </left>
      <right/>
      <top style="hair">
        <color indexed="63"/>
      </top>
      <bottom style="hair">
        <color indexed="63"/>
      </bottom>
      <diagonal/>
    </border>
    <border>
      <left style="thin">
        <color theme="0" tint="-4.9989318521683403E-2"/>
      </left>
      <right/>
      <top style="hair">
        <color indexed="63"/>
      </top>
      <bottom/>
      <diagonal/>
    </border>
    <border>
      <left style="thin">
        <color theme="0" tint="-4.9989318521683403E-2"/>
      </left>
      <right/>
      <top/>
      <bottom style="hair">
        <color indexed="63"/>
      </bottom>
      <diagonal/>
    </border>
    <border>
      <left style="hair">
        <color theme="0"/>
      </left>
      <right style="thin">
        <color theme="0"/>
      </right>
      <top style="hair">
        <color indexed="63"/>
      </top>
      <bottom style="hair">
        <color indexed="63"/>
      </bottom>
      <diagonal/>
    </border>
    <border>
      <left/>
      <right style="thin">
        <color theme="0"/>
      </right>
      <top style="thin">
        <color indexed="22"/>
      </top>
      <bottom style="thin">
        <color indexed="22"/>
      </bottom>
      <diagonal/>
    </border>
    <border>
      <left style="hair">
        <color theme="0"/>
      </left>
      <right style="thin">
        <color theme="0"/>
      </right>
      <top style="hair">
        <color indexed="63"/>
      </top>
      <bottom/>
      <diagonal/>
    </border>
    <border>
      <left style="hair">
        <color theme="0"/>
      </left>
      <right style="thin">
        <color theme="0"/>
      </right>
      <top/>
      <bottom style="hair">
        <color indexed="63"/>
      </bottom>
      <diagonal/>
    </border>
    <border>
      <left style="hair">
        <color theme="0"/>
      </left>
      <right style="thin">
        <color theme="0"/>
      </right>
      <top/>
      <bottom/>
      <diagonal/>
    </border>
    <border>
      <left style="thin">
        <color theme="0" tint="-4.9989318521683403E-2"/>
      </left>
      <right style="thin">
        <color theme="0" tint="-0.14996795556505021"/>
      </right>
      <top style="hair">
        <color indexed="63"/>
      </top>
      <bottom style="hair">
        <color indexed="63"/>
      </bottom>
      <diagonal/>
    </border>
    <border>
      <left/>
      <right/>
      <top/>
      <bottom style="thin">
        <color theme="0"/>
      </bottom>
      <diagonal/>
    </border>
    <border>
      <left style="thin">
        <color indexed="9"/>
      </left>
      <right style="thin">
        <color indexed="9"/>
      </right>
      <top/>
      <bottom/>
      <diagonal/>
    </border>
    <border>
      <left style="thin">
        <color indexed="9"/>
      </left>
      <right style="thin">
        <color indexed="9"/>
      </right>
      <top style="medium">
        <color indexed="9"/>
      </top>
      <bottom style="medium">
        <color indexed="9"/>
      </bottom>
      <diagonal/>
    </border>
    <border>
      <left style="thin">
        <color theme="0"/>
      </left>
      <right style="thin">
        <color theme="0"/>
      </right>
      <top style="medium">
        <color indexed="9"/>
      </top>
      <bottom style="medium">
        <color indexed="9"/>
      </bottom>
      <diagonal/>
    </border>
    <border>
      <left/>
      <right style="thin">
        <color indexed="9"/>
      </right>
      <top style="medium">
        <color indexed="9"/>
      </top>
      <bottom style="medium">
        <color indexed="9"/>
      </bottom>
      <diagonal/>
    </border>
    <border>
      <left style="medium">
        <color theme="0"/>
      </left>
      <right style="medium">
        <color theme="0"/>
      </right>
      <top style="medium">
        <color theme="0"/>
      </top>
      <bottom style="medium">
        <color theme="0"/>
      </bottom>
      <diagonal/>
    </border>
    <border>
      <left style="thin">
        <color indexed="9"/>
      </left>
      <right style="thin">
        <color indexed="9"/>
      </right>
      <top style="thin">
        <color theme="0"/>
      </top>
      <bottom/>
      <diagonal/>
    </border>
    <border>
      <left/>
      <right style="thin">
        <color theme="0"/>
      </right>
      <top/>
      <bottom/>
      <diagonal/>
    </border>
    <border>
      <left style="medium">
        <color indexed="64"/>
      </left>
      <right style="medium">
        <color indexed="64"/>
      </right>
      <top style="medium">
        <color indexed="64"/>
      </top>
      <bottom style="hair">
        <color indexed="63"/>
      </bottom>
      <diagonal/>
    </border>
    <border>
      <left style="medium">
        <color indexed="64"/>
      </left>
      <right style="medium">
        <color indexed="64"/>
      </right>
      <top/>
      <bottom style="hair">
        <color indexed="63"/>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theme="0" tint="-4.9989318521683403E-2"/>
      </left>
      <right/>
      <top style="medium">
        <color theme="0" tint="-4.9989318521683403E-2"/>
      </top>
      <bottom style="hair">
        <color theme="1" tint="0.24994659260841701"/>
      </bottom>
      <diagonal/>
    </border>
    <border>
      <left/>
      <right style="medium">
        <color theme="0" tint="-4.9989318521683403E-2"/>
      </right>
      <top style="medium">
        <color theme="0" tint="-4.9989318521683403E-2"/>
      </top>
      <bottom style="hair">
        <color indexed="63"/>
      </bottom>
      <diagonal/>
    </border>
    <border>
      <left style="medium">
        <color theme="0" tint="-4.9989318521683403E-2"/>
      </left>
      <right/>
      <top style="hair">
        <color theme="1" tint="0.24994659260841701"/>
      </top>
      <bottom style="hair">
        <color theme="1" tint="0.24994659260841701"/>
      </bottom>
      <diagonal/>
    </border>
    <border>
      <left/>
      <right style="medium">
        <color theme="0" tint="-4.9989318521683403E-2"/>
      </right>
      <top style="hair">
        <color indexed="63"/>
      </top>
      <bottom style="hair">
        <color indexed="63"/>
      </bottom>
      <diagonal/>
    </border>
    <border>
      <left style="medium">
        <color theme="0" tint="-4.9989318521683403E-2"/>
      </left>
      <right/>
      <top style="hair">
        <color theme="1" tint="0.24994659260841701"/>
      </top>
      <bottom style="medium">
        <color theme="0" tint="-4.9989318521683403E-2"/>
      </bottom>
      <diagonal/>
    </border>
    <border>
      <left/>
      <right style="medium">
        <color theme="0" tint="-4.9989318521683403E-2"/>
      </right>
      <top style="hair">
        <color indexed="63"/>
      </top>
      <bottom style="medium">
        <color theme="0" tint="-4.9989318521683403E-2"/>
      </bottom>
      <diagonal/>
    </border>
  </borders>
  <cellStyleXfs count="17">
    <xf numFmtId="0" fontId="0" fillId="0" borderId="0"/>
    <xf numFmtId="4" fontId="2" fillId="0" borderId="0" applyFont="0" applyFill="0" applyBorder="0" applyAlignment="0" applyProtection="0"/>
    <xf numFmtId="9" fontId="2" fillId="0" borderId="0" applyFont="0" applyFill="0" applyBorder="0" applyAlignment="0" applyProtection="0"/>
    <xf numFmtId="0" fontId="3" fillId="0" borderId="0"/>
    <xf numFmtId="0" fontId="4" fillId="0" borderId="0"/>
    <xf numFmtId="0" fontId="4" fillId="0" borderId="0"/>
    <xf numFmtId="0" fontId="3" fillId="0" borderId="0"/>
    <xf numFmtId="0" fontId="4" fillId="0" borderId="0"/>
    <xf numFmtId="43" fontId="58" fillId="0" borderId="0" applyFont="0" applyFill="0" applyBorder="0" applyAlignment="0" applyProtection="0"/>
    <xf numFmtId="0" fontId="58" fillId="0" borderId="0" applyNumberFormat="0" applyFill="0" applyBorder="0" applyProtection="0">
      <alignment vertical="top" wrapText="1"/>
    </xf>
    <xf numFmtId="9" fontId="58" fillId="0" borderId="0" applyFont="0" applyFill="0" applyBorder="0" applyAlignment="0" applyProtection="0"/>
    <xf numFmtId="0" fontId="61" fillId="0" borderId="0"/>
    <xf numFmtId="0" fontId="4" fillId="0" borderId="0"/>
    <xf numFmtId="0" fontId="119" fillId="0" borderId="0" applyNumberForma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1507">
    <xf numFmtId="0" fontId="0" fillId="0" borderId="0" xfId="0"/>
    <xf numFmtId="166" fontId="10" fillId="0" borderId="0" xfId="4" applyNumberFormat="1" applyFont="1" applyAlignment="1" applyProtection="1">
      <alignment horizontal="right" vertical="center"/>
      <protection locked="0"/>
    </xf>
    <xf numFmtId="4" fontId="7" fillId="0" borderId="0" xfId="6" applyNumberFormat="1" applyFont="1"/>
    <xf numFmtId="0" fontId="12" fillId="0" borderId="0" xfId="6" applyFont="1"/>
    <xf numFmtId="0" fontId="7" fillId="0" borderId="0" xfId="6" applyFont="1"/>
    <xf numFmtId="0" fontId="8" fillId="0" borderId="0" xfId="6" applyFont="1"/>
    <xf numFmtId="0" fontId="10" fillId="0" borderId="0" xfId="6" applyFont="1"/>
    <xf numFmtId="0" fontId="14" fillId="0" borderId="0" xfId="0" applyFont="1" applyAlignment="1" applyProtection="1">
      <alignment vertical="center"/>
      <protection locked="0"/>
    </xf>
    <xf numFmtId="0" fontId="10" fillId="0" borderId="0" xfId="0" applyFont="1" applyAlignment="1" applyProtection="1">
      <alignment vertical="center"/>
      <protection locked="0"/>
    </xf>
    <xf numFmtId="0" fontId="21" fillId="0" borderId="0" xfId="0" applyFont="1" applyAlignment="1" applyProtection="1">
      <alignment vertical="center"/>
      <protection locked="0"/>
    </xf>
    <xf numFmtId="0" fontId="18" fillId="0" borderId="0" xfId="4" applyFont="1" applyAlignment="1" applyProtection="1">
      <alignment vertical="center"/>
      <protection locked="0"/>
    </xf>
    <xf numFmtId="166" fontId="10" fillId="0" borderId="0" xfId="4" applyNumberFormat="1" applyFont="1" applyAlignment="1" applyProtection="1">
      <alignment horizontal="center" vertical="center"/>
      <protection locked="0"/>
    </xf>
    <xf numFmtId="166" fontId="10" fillId="0" borderId="0" xfId="4" applyNumberFormat="1" applyFont="1" applyAlignment="1" applyProtection="1">
      <alignment vertical="center"/>
      <protection locked="0"/>
    </xf>
    <xf numFmtId="0" fontId="10" fillId="0" borderId="0" xfId="4" applyFont="1" applyAlignment="1" applyProtection="1">
      <alignment vertical="center"/>
      <protection locked="0"/>
    </xf>
    <xf numFmtId="0" fontId="6" fillId="0" borderId="0" xfId="0" applyFont="1" applyAlignment="1" applyProtection="1">
      <alignment vertical="center"/>
      <protection locked="0"/>
    </xf>
    <xf numFmtId="0" fontId="7" fillId="0" borderId="0" xfId="0" applyFont="1" applyAlignment="1" applyProtection="1">
      <alignment vertical="center"/>
      <protection locked="0"/>
    </xf>
    <xf numFmtId="0" fontId="10" fillId="0" borderId="0" xfId="0" applyFont="1" applyProtection="1">
      <protection locked="0"/>
    </xf>
    <xf numFmtId="0" fontId="24" fillId="2" borderId="0" xfId="0" applyFont="1" applyFill="1" applyProtection="1">
      <protection locked="0"/>
    </xf>
    <xf numFmtId="0" fontId="7" fillId="0" borderId="0" xfId="0" applyFont="1" applyProtection="1">
      <protection locked="0"/>
    </xf>
    <xf numFmtId="0" fontId="23" fillId="0" borderId="0" xfId="0" applyFont="1" applyAlignment="1" applyProtection="1">
      <alignment vertical="center"/>
      <protection locked="0"/>
    </xf>
    <xf numFmtId="167" fontId="23" fillId="3" borderId="2" xfId="0" applyNumberFormat="1" applyFont="1" applyFill="1" applyBorder="1" applyAlignment="1" applyProtection="1">
      <alignment horizontal="center" vertical="center"/>
      <protection locked="0"/>
    </xf>
    <xf numFmtId="168" fontId="23" fillId="3" borderId="2" xfId="0" applyNumberFormat="1" applyFont="1" applyFill="1" applyBorder="1" applyAlignment="1" applyProtection="1">
      <alignment vertical="center"/>
      <protection locked="0"/>
    </xf>
    <xf numFmtId="0" fontId="29" fillId="0" borderId="0" xfId="0" applyFont="1" applyAlignment="1" applyProtection="1">
      <alignment vertical="center"/>
      <protection locked="0"/>
    </xf>
    <xf numFmtId="0" fontId="24" fillId="0" borderId="0" xfId="0" applyFont="1" applyAlignment="1" applyProtection="1">
      <alignment vertical="center"/>
      <protection locked="0"/>
    </xf>
    <xf numFmtId="0" fontId="26" fillId="0" borderId="0" xfId="0" applyFont="1" applyAlignment="1" applyProtection="1">
      <alignment vertical="center"/>
      <protection locked="0"/>
    </xf>
    <xf numFmtId="168" fontId="24" fillId="0" borderId="0" xfId="0" applyNumberFormat="1" applyFont="1" applyAlignment="1" applyProtection="1">
      <alignment vertical="center"/>
      <protection locked="0"/>
    </xf>
    <xf numFmtId="0" fontId="24" fillId="0" borderId="0" xfId="0" applyFont="1" applyAlignment="1" applyProtection="1">
      <alignment horizontal="left" vertical="center"/>
      <protection locked="0"/>
    </xf>
    <xf numFmtId="4" fontId="24" fillId="0" borderId="0" xfId="0" applyNumberFormat="1" applyFont="1" applyAlignment="1" applyProtection="1">
      <alignment horizontal="right" vertical="center"/>
      <protection locked="0"/>
    </xf>
    <xf numFmtId="4" fontId="24" fillId="3" borderId="3" xfId="0" applyNumberFormat="1" applyFont="1" applyFill="1" applyBorder="1" applyAlignment="1" applyProtection="1">
      <alignment horizontal="center" vertical="center"/>
      <protection locked="0"/>
    </xf>
    <xf numFmtId="4" fontId="24" fillId="0" borderId="0" xfId="0" applyNumberFormat="1" applyFont="1" applyAlignment="1" applyProtection="1">
      <alignment horizontal="center" vertical="center"/>
      <protection locked="0"/>
    </xf>
    <xf numFmtId="4" fontId="24" fillId="4" borderId="4" xfId="0" applyNumberFormat="1" applyFont="1" applyFill="1" applyBorder="1" applyAlignment="1" applyProtection="1">
      <alignment horizontal="center" vertical="center"/>
      <protection locked="0"/>
    </xf>
    <xf numFmtId="0" fontId="32" fillId="2" borderId="0" xfId="0" applyFont="1" applyFill="1" applyProtection="1">
      <protection locked="0"/>
    </xf>
    <xf numFmtId="4" fontId="24" fillId="4" borderId="4" xfId="0" applyNumberFormat="1" applyFont="1" applyFill="1" applyBorder="1" applyAlignment="1" applyProtection="1">
      <alignment vertical="center"/>
      <protection locked="0"/>
    </xf>
    <xf numFmtId="4" fontId="24" fillId="4" borderId="6" xfId="0" applyNumberFormat="1" applyFont="1" applyFill="1" applyBorder="1" applyAlignment="1" applyProtection="1">
      <alignment vertical="center"/>
      <protection locked="0"/>
    </xf>
    <xf numFmtId="4" fontId="24" fillId="3" borderId="3" xfId="0" applyNumberFormat="1" applyFont="1" applyFill="1" applyBorder="1" applyAlignment="1" applyProtection="1">
      <alignment vertical="center"/>
      <protection locked="0"/>
    </xf>
    <xf numFmtId="4" fontId="27" fillId="3" borderId="3" xfId="0" applyNumberFormat="1" applyFont="1" applyFill="1" applyBorder="1" applyAlignment="1" applyProtection="1">
      <alignment horizontal="center" vertical="center"/>
      <protection locked="0"/>
    </xf>
    <xf numFmtId="4" fontId="27" fillId="0" borderId="0" xfId="0" applyNumberFormat="1" applyFont="1" applyAlignment="1" applyProtection="1">
      <alignment horizontal="center" vertical="center"/>
      <protection locked="0"/>
    </xf>
    <xf numFmtId="4" fontId="24" fillId="0" borderId="0" xfId="0" applyNumberFormat="1" applyFont="1" applyAlignment="1" applyProtection="1">
      <alignment vertical="center"/>
      <protection locked="0"/>
    </xf>
    <xf numFmtId="168" fontId="24" fillId="4" borderId="4" xfId="0" applyNumberFormat="1" applyFont="1" applyFill="1" applyBorder="1" applyAlignment="1" applyProtection="1">
      <alignment vertical="center"/>
      <protection locked="0"/>
    </xf>
    <xf numFmtId="0" fontId="10" fillId="0" borderId="0" xfId="0" applyFont="1"/>
    <xf numFmtId="0" fontId="24" fillId="0" borderId="0" xfId="0" applyFont="1"/>
    <xf numFmtId="0" fontId="32" fillId="0" borderId="0" xfId="0" applyFont="1" applyProtection="1">
      <protection locked="0"/>
    </xf>
    <xf numFmtId="0" fontId="24" fillId="0" borderId="0" xfId="0" applyFont="1" applyProtection="1">
      <protection locked="0"/>
    </xf>
    <xf numFmtId="166" fontId="5" fillId="0" borderId="0" xfId="5" applyNumberFormat="1" applyFont="1" applyProtection="1">
      <protection locked="0"/>
    </xf>
    <xf numFmtId="166" fontId="10" fillId="0" borderId="0" xfId="5" applyNumberFormat="1" applyFont="1" applyProtection="1">
      <protection locked="0"/>
    </xf>
    <xf numFmtId="166" fontId="16" fillId="0" borderId="0" xfId="5" applyNumberFormat="1" applyFont="1" applyProtection="1">
      <protection locked="0"/>
    </xf>
    <xf numFmtId="166" fontId="17" fillId="0" borderId="0" xfId="5" applyNumberFormat="1" applyFont="1" applyProtection="1">
      <protection locked="0"/>
    </xf>
    <xf numFmtId="166" fontId="13" fillId="0" borderId="0" xfId="5" applyNumberFormat="1" applyFont="1" applyProtection="1">
      <protection locked="0"/>
    </xf>
    <xf numFmtId="1" fontId="10" fillId="0" borderId="0" xfId="5" applyNumberFormat="1" applyFont="1" applyProtection="1">
      <protection locked="0"/>
    </xf>
    <xf numFmtId="166" fontId="10" fillId="0" borderId="0" xfId="5" applyNumberFormat="1" applyFont="1" applyAlignment="1" applyProtection="1">
      <alignment horizontal="center"/>
      <protection locked="0"/>
    </xf>
    <xf numFmtId="166" fontId="10" fillId="0" borderId="0" xfId="5" applyNumberFormat="1" applyFont="1" applyAlignment="1" applyProtection="1">
      <alignment horizontal="right"/>
      <protection locked="0"/>
    </xf>
    <xf numFmtId="166" fontId="11" fillId="0" borderId="0" xfId="5" applyNumberFormat="1" applyFont="1" applyAlignment="1" applyProtection="1">
      <alignment horizontal="center"/>
      <protection locked="0"/>
    </xf>
    <xf numFmtId="1" fontId="7" fillId="0" borderId="0" xfId="5" applyNumberFormat="1" applyFont="1" applyProtection="1">
      <protection locked="0"/>
    </xf>
    <xf numFmtId="166" fontId="7" fillId="0" borderId="0" xfId="5" applyNumberFormat="1" applyFont="1" applyProtection="1">
      <protection locked="0"/>
    </xf>
    <xf numFmtId="166" fontId="7" fillId="0" borderId="0" xfId="5" applyNumberFormat="1" applyFont="1" applyAlignment="1" applyProtection="1">
      <alignment horizontal="center"/>
      <protection locked="0"/>
    </xf>
    <xf numFmtId="166" fontId="7" fillId="0" borderId="0" xfId="5" applyNumberFormat="1" applyFont="1" applyAlignment="1" applyProtection="1">
      <alignment horizontal="right"/>
      <protection locked="0"/>
    </xf>
    <xf numFmtId="3" fontId="40" fillId="0" borderId="0" xfId="0" applyNumberFormat="1" applyFont="1"/>
    <xf numFmtId="0" fontId="40" fillId="0" borderId="0" xfId="0" applyFont="1"/>
    <xf numFmtId="0" fontId="38" fillId="0" borderId="0" xfId="0" applyFont="1"/>
    <xf numFmtId="4" fontId="40" fillId="0" borderId="0" xfId="0" applyNumberFormat="1" applyFont="1"/>
    <xf numFmtId="4" fontId="23" fillId="3" borderId="3" xfId="0" applyNumberFormat="1" applyFont="1" applyFill="1" applyBorder="1" applyAlignment="1" applyProtection="1">
      <alignment horizontal="right" vertical="center"/>
      <protection locked="0"/>
    </xf>
    <xf numFmtId="166" fontId="24" fillId="4" borderId="0" xfId="5" applyNumberFormat="1" applyFont="1" applyFill="1" applyProtection="1">
      <protection locked="0"/>
    </xf>
    <xf numFmtId="166" fontId="24" fillId="4" borderId="0" xfId="5" applyNumberFormat="1" applyFont="1" applyFill="1" applyAlignment="1" applyProtection="1">
      <alignment horizontal="right"/>
      <protection locked="0"/>
    </xf>
    <xf numFmtId="172" fontId="24" fillId="4" borderId="0" xfId="5" applyNumberFormat="1" applyFont="1" applyFill="1" applyProtection="1">
      <protection locked="0"/>
    </xf>
    <xf numFmtId="3" fontId="23" fillId="3" borderId="3" xfId="0" applyNumberFormat="1" applyFont="1" applyFill="1" applyBorder="1" applyAlignment="1" applyProtection="1">
      <alignment vertical="center"/>
      <protection locked="0"/>
    </xf>
    <xf numFmtId="166" fontId="5" fillId="0" borderId="0" xfId="3" applyNumberFormat="1" applyFont="1" applyAlignment="1" applyProtection="1">
      <alignment vertical="center"/>
      <protection locked="0"/>
    </xf>
    <xf numFmtId="166" fontId="10" fillId="0" borderId="0" xfId="3" applyNumberFormat="1" applyFont="1" applyAlignment="1" applyProtection="1">
      <alignment vertical="center"/>
      <protection locked="0"/>
    </xf>
    <xf numFmtId="3" fontId="23" fillId="3" borderId="33" xfId="0" applyNumberFormat="1" applyFont="1" applyFill="1" applyBorder="1" applyAlignment="1" applyProtection="1">
      <alignment vertical="center"/>
      <protection locked="0"/>
    </xf>
    <xf numFmtId="3" fontId="23" fillId="3" borderId="35" xfId="0" applyNumberFormat="1" applyFont="1" applyFill="1" applyBorder="1" applyAlignment="1" applyProtection="1">
      <alignment vertical="center"/>
      <protection locked="0"/>
    </xf>
    <xf numFmtId="0" fontId="24" fillId="4" borderId="7" xfId="0" applyFont="1" applyFill="1" applyBorder="1" applyProtection="1">
      <protection locked="0"/>
    </xf>
    <xf numFmtId="4" fontId="24" fillId="4" borderId="7" xfId="0" applyNumberFormat="1" applyFont="1" applyFill="1" applyBorder="1" applyProtection="1">
      <protection locked="0"/>
    </xf>
    <xf numFmtId="4" fontId="24" fillId="2" borderId="0" xfId="0" applyNumberFormat="1" applyFont="1" applyFill="1" applyProtection="1">
      <protection locked="0"/>
    </xf>
    <xf numFmtId="4" fontId="24" fillId="0" borderId="0" xfId="0" applyNumberFormat="1" applyFont="1" applyProtection="1">
      <protection locked="0"/>
    </xf>
    <xf numFmtId="4" fontId="23" fillId="3" borderId="3" xfId="0" applyNumberFormat="1" applyFont="1" applyFill="1" applyBorder="1" applyAlignment="1" applyProtection="1">
      <alignment vertical="center"/>
      <protection locked="0"/>
    </xf>
    <xf numFmtId="0" fontId="23" fillId="3" borderId="3" xfId="0" applyFont="1" applyFill="1" applyBorder="1" applyAlignment="1" applyProtection="1">
      <alignment vertical="center"/>
      <protection locked="0"/>
    </xf>
    <xf numFmtId="3" fontId="24" fillId="4" borderId="23" xfId="0" applyNumberFormat="1" applyFont="1" applyFill="1" applyBorder="1" applyAlignment="1" applyProtection="1">
      <alignment vertical="center"/>
      <protection locked="0"/>
    </xf>
    <xf numFmtId="3" fontId="24" fillId="4" borderId="9" xfId="0" applyNumberFormat="1" applyFont="1" applyFill="1" applyBorder="1" applyAlignment="1" applyProtection="1">
      <alignment vertical="center"/>
      <protection locked="0"/>
    </xf>
    <xf numFmtId="0" fontId="23" fillId="3" borderId="41" xfId="0" applyFont="1" applyFill="1" applyBorder="1" applyAlignment="1" applyProtection="1">
      <alignment vertical="center"/>
      <protection locked="0"/>
    </xf>
    <xf numFmtId="4" fontId="24" fillId="4" borderId="7" xfId="0" applyNumberFormat="1" applyFont="1" applyFill="1" applyBorder="1" applyAlignment="1" applyProtection="1">
      <alignment vertical="center"/>
      <protection locked="0"/>
    </xf>
    <xf numFmtId="3" fontId="10" fillId="0" borderId="0" xfId="3" applyNumberFormat="1" applyFont="1" applyAlignment="1" applyProtection="1">
      <alignment vertical="center"/>
      <protection locked="0"/>
    </xf>
    <xf numFmtId="3" fontId="24" fillId="4" borderId="0" xfId="5" applyNumberFormat="1" applyFont="1" applyFill="1" applyProtection="1">
      <protection locked="0"/>
    </xf>
    <xf numFmtId="3" fontId="10" fillId="0" borderId="0" xfId="5" applyNumberFormat="1" applyFont="1" applyProtection="1">
      <protection locked="0"/>
    </xf>
    <xf numFmtId="3" fontId="7" fillId="0" borderId="0" xfId="5" applyNumberFormat="1" applyFont="1" applyProtection="1">
      <protection locked="0"/>
    </xf>
    <xf numFmtId="0" fontId="20" fillId="0" borderId="0" xfId="0" applyFont="1" applyProtection="1">
      <protection locked="0"/>
    </xf>
    <xf numFmtId="174" fontId="24" fillId="4" borderId="4" xfId="0" applyNumberFormat="1" applyFont="1" applyFill="1" applyBorder="1" applyAlignment="1" applyProtection="1">
      <alignment vertical="distributed"/>
      <protection locked="0"/>
    </xf>
    <xf numFmtId="10" fontId="28" fillId="3" borderId="33" xfId="2" applyNumberFormat="1" applyFont="1" applyFill="1" applyBorder="1" applyAlignment="1" applyProtection="1">
      <alignment vertical="center"/>
      <protection locked="0"/>
    </xf>
    <xf numFmtId="166" fontId="41" fillId="0" borderId="0" xfId="5" applyNumberFormat="1" applyFont="1" applyProtection="1">
      <protection locked="0"/>
    </xf>
    <xf numFmtId="166" fontId="50" fillId="0" borderId="0" xfId="5" applyNumberFormat="1" applyFont="1" applyProtection="1">
      <protection locked="0"/>
    </xf>
    <xf numFmtId="1" fontId="23" fillId="3" borderId="33" xfId="0" applyNumberFormat="1" applyFont="1" applyFill="1" applyBorder="1" applyAlignment="1" applyProtection="1">
      <alignment vertical="center"/>
      <protection locked="0"/>
    </xf>
    <xf numFmtId="166" fontId="41" fillId="0" borderId="0" xfId="3" applyNumberFormat="1" applyFont="1" applyAlignment="1" applyProtection="1">
      <alignment vertical="center"/>
      <protection locked="0"/>
    </xf>
    <xf numFmtId="174" fontId="24" fillId="3" borderId="3" xfId="0" applyNumberFormat="1" applyFont="1" applyFill="1" applyBorder="1" applyAlignment="1">
      <alignment vertical="center"/>
    </xf>
    <xf numFmtId="2" fontId="28" fillId="4" borderId="16" xfId="0" applyNumberFormat="1" applyFont="1" applyFill="1" applyBorder="1" applyAlignment="1" applyProtection="1">
      <alignment horizontal="center" vertical="center"/>
      <protection locked="0"/>
    </xf>
    <xf numFmtId="0" fontId="62" fillId="6" borderId="0" xfId="11" applyFont="1" applyFill="1" applyAlignment="1" applyProtection="1">
      <alignment horizontal="left" vertical="center"/>
      <protection locked="0"/>
    </xf>
    <xf numFmtId="0" fontId="62" fillId="6" borderId="0" xfId="11" applyFont="1" applyFill="1" applyAlignment="1" applyProtection="1">
      <alignment vertical="center"/>
      <protection locked="0"/>
    </xf>
    <xf numFmtId="4" fontId="24" fillId="4" borderId="6" xfId="0" applyNumberFormat="1" applyFont="1" applyFill="1" applyBorder="1" applyAlignment="1" applyProtection="1">
      <alignment horizontal="center" vertical="distributed"/>
      <protection locked="0"/>
    </xf>
    <xf numFmtId="4" fontId="24" fillId="4" borderId="6" xfId="0" applyNumberFormat="1" applyFont="1" applyFill="1" applyBorder="1" applyAlignment="1" applyProtection="1">
      <alignment vertical="distributed"/>
      <protection locked="0"/>
    </xf>
    <xf numFmtId="4" fontId="24" fillId="5" borderId="6" xfId="0" applyNumberFormat="1" applyFont="1" applyFill="1" applyBorder="1" applyAlignment="1">
      <alignment horizontal="right" vertical="distributed"/>
    </xf>
    <xf numFmtId="168" fontId="24" fillId="0" borderId="0" xfId="0" applyNumberFormat="1" applyFont="1" applyAlignment="1" applyProtection="1">
      <alignment vertical="distributed"/>
      <protection locked="0"/>
    </xf>
    <xf numFmtId="0" fontId="26" fillId="0" borderId="0" xfId="0" applyFont="1" applyAlignment="1" applyProtection="1">
      <alignment vertical="distributed"/>
      <protection locked="0"/>
    </xf>
    <xf numFmtId="4" fontId="24" fillId="4" borderId="5" xfId="0" applyNumberFormat="1" applyFont="1" applyFill="1" applyBorder="1" applyAlignment="1" applyProtection="1">
      <alignment horizontal="center" vertical="distributed"/>
      <protection locked="0"/>
    </xf>
    <xf numFmtId="4" fontId="24" fillId="5" borderId="5" xfId="0" applyNumberFormat="1" applyFont="1" applyFill="1" applyBorder="1" applyAlignment="1">
      <alignment horizontal="right" vertical="distributed"/>
    </xf>
    <xf numFmtId="0" fontId="24" fillId="0" borderId="0" xfId="0" applyFont="1" applyAlignment="1" applyProtection="1">
      <alignment vertical="distributed"/>
      <protection locked="0"/>
    </xf>
    <xf numFmtId="4" fontId="24" fillId="4" borderId="4" xfId="0" applyNumberFormat="1" applyFont="1" applyFill="1" applyBorder="1" applyAlignment="1" applyProtection="1">
      <alignment vertical="distributed"/>
      <protection locked="0"/>
    </xf>
    <xf numFmtId="4" fontId="24" fillId="4" borderId="5" xfId="0" applyNumberFormat="1" applyFont="1" applyFill="1" applyBorder="1" applyAlignment="1" applyProtection="1">
      <alignment vertical="distributed"/>
      <protection locked="0"/>
    </xf>
    <xf numFmtId="4" fontId="24" fillId="4" borderId="4" xfId="0" applyNumberFormat="1" applyFont="1" applyFill="1" applyBorder="1" applyAlignment="1" applyProtection="1">
      <alignment horizontal="center" vertical="distributed"/>
      <protection locked="0"/>
    </xf>
    <xf numFmtId="0" fontId="24" fillId="4" borderId="5" xfId="0" applyFont="1" applyFill="1" applyBorder="1" applyAlignment="1" applyProtection="1">
      <alignment vertical="distributed" wrapText="1"/>
      <protection locked="0"/>
    </xf>
    <xf numFmtId="0" fontId="24" fillId="4" borderId="4" xfId="0" applyFont="1" applyFill="1" applyBorder="1" applyAlignment="1" applyProtection="1">
      <alignment vertical="distributed" wrapText="1"/>
      <protection locked="0"/>
    </xf>
    <xf numFmtId="4" fontId="27" fillId="0" borderId="0" xfId="0" applyNumberFormat="1" applyFont="1" applyAlignment="1" applyProtection="1">
      <alignment horizontal="right" vertical="center"/>
      <protection locked="0"/>
    </xf>
    <xf numFmtId="0" fontId="26" fillId="0" borderId="0" xfId="0" applyFont="1" applyAlignment="1">
      <alignment vertical="center"/>
    </xf>
    <xf numFmtId="0" fontId="23" fillId="3" borderId="110" xfId="0" applyFont="1" applyFill="1" applyBorder="1" applyAlignment="1" applyProtection="1">
      <alignment vertical="center"/>
      <protection locked="0"/>
    </xf>
    <xf numFmtId="3" fontId="23" fillId="3" borderId="2" xfId="0" applyNumberFormat="1" applyFont="1" applyFill="1" applyBorder="1" applyAlignment="1">
      <alignment vertical="center"/>
    </xf>
    <xf numFmtId="3" fontId="24" fillId="4" borderId="4" xfId="0" applyNumberFormat="1" applyFont="1" applyFill="1" applyBorder="1" applyAlignment="1" applyProtection="1">
      <alignment vertical="center"/>
      <protection locked="0"/>
    </xf>
    <xf numFmtId="0" fontId="0" fillId="6" borderId="0" xfId="0" applyFill="1"/>
    <xf numFmtId="0" fontId="23" fillId="3" borderId="33" xfId="0" applyFont="1" applyFill="1" applyBorder="1" applyAlignment="1">
      <alignment vertical="center"/>
    </xf>
    <xf numFmtId="3" fontId="23" fillId="3" borderId="34" xfId="0" applyNumberFormat="1" applyFont="1" applyFill="1" applyBorder="1" applyAlignment="1">
      <alignment vertical="center"/>
    </xf>
    <xf numFmtId="10" fontId="28" fillId="3" borderId="33" xfId="2" applyNumberFormat="1" applyFont="1" applyFill="1" applyBorder="1" applyAlignment="1" applyProtection="1">
      <alignment vertical="center"/>
    </xf>
    <xf numFmtId="4" fontId="0" fillId="0" borderId="0" xfId="1" applyFont="1" applyAlignment="1">
      <alignment horizontal="center"/>
    </xf>
    <xf numFmtId="0" fontId="0" fillId="0" borderId="0" xfId="0" applyAlignment="1">
      <alignment horizontal="center"/>
    </xf>
    <xf numFmtId="3" fontId="27" fillId="4" borderId="4" xfId="0" applyNumberFormat="1" applyFont="1" applyFill="1" applyBorder="1" applyAlignment="1" applyProtection="1">
      <alignment vertical="center"/>
      <protection locked="0"/>
    </xf>
    <xf numFmtId="3" fontId="0" fillId="0" borderId="0" xfId="0" applyNumberFormat="1"/>
    <xf numFmtId="3" fontId="0" fillId="0" borderId="0" xfId="1" applyNumberFormat="1" applyFont="1"/>
    <xf numFmtId="0" fontId="76" fillId="9" borderId="0" xfId="0" applyFont="1" applyFill="1" applyAlignment="1" applyProtection="1">
      <alignment horizontal="left" indent="1"/>
      <protection locked="0"/>
    </xf>
    <xf numFmtId="0" fontId="25" fillId="9" borderId="0" xfId="0" applyFont="1" applyFill="1" applyProtection="1">
      <protection locked="0"/>
    </xf>
    <xf numFmtId="171" fontId="23" fillId="9" borderId="11" xfId="0" applyNumberFormat="1" applyFont="1" applyFill="1" applyBorder="1" applyAlignment="1" applyProtection="1">
      <alignment vertical="center"/>
      <protection locked="0"/>
    </xf>
    <xf numFmtId="1" fontId="23" fillId="9" borderId="17" xfId="0" applyNumberFormat="1" applyFont="1" applyFill="1" applyBorder="1" applyAlignment="1" applyProtection="1">
      <alignment horizontal="left" vertical="center"/>
      <protection locked="0"/>
    </xf>
    <xf numFmtId="1" fontId="23" fillId="9" borderId="74" xfId="0" applyNumberFormat="1" applyFont="1" applyFill="1" applyBorder="1" applyAlignment="1" applyProtection="1">
      <alignment vertical="center"/>
      <protection locked="0"/>
    </xf>
    <xf numFmtId="1" fontId="24" fillId="9" borderId="37" xfId="0" applyNumberFormat="1" applyFont="1" applyFill="1" applyBorder="1" applyAlignment="1" applyProtection="1">
      <alignment horizontal="left" vertical="center"/>
      <protection locked="0"/>
    </xf>
    <xf numFmtId="49" fontId="24" fillId="9" borderId="18" xfId="0" applyNumberFormat="1" applyFont="1" applyFill="1" applyBorder="1" applyAlignment="1" applyProtection="1">
      <alignment vertical="center"/>
      <protection locked="0"/>
    </xf>
    <xf numFmtId="0" fontId="24" fillId="9" borderId="25" xfId="0" applyFont="1" applyFill="1" applyBorder="1" applyAlignment="1" applyProtection="1">
      <alignment vertical="center"/>
      <protection locked="0"/>
    </xf>
    <xf numFmtId="0" fontId="24" fillId="9" borderId="80" xfId="0" applyFont="1" applyFill="1" applyBorder="1" applyAlignment="1" applyProtection="1">
      <alignment vertical="center"/>
      <protection locked="0"/>
    </xf>
    <xf numFmtId="0" fontId="38" fillId="9" borderId="38" xfId="0" applyFont="1" applyFill="1" applyBorder="1" applyProtection="1">
      <protection locked="0"/>
    </xf>
    <xf numFmtId="1" fontId="24" fillId="9" borderId="66" xfId="0" applyNumberFormat="1" applyFont="1" applyFill="1" applyBorder="1" applyAlignment="1" applyProtection="1">
      <alignment horizontal="right" vertical="center" indent="1"/>
      <protection locked="0"/>
    </xf>
    <xf numFmtId="1" fontId="24" fillId="9" borderId="81" xfId="0" applyNumberFormat="1" applyFont="1" applyFill="1" applyBorder="1" applyAlignment="1" applyProtection="1">
      <alignment horizontal="right" vertical="center" indent="1"/>
      <protection locked="0"/>
    </xf>
    <xf numFmtId="3" fontId="24" fillId="9" borderId="30" xfId="3" applyNumberFormat="1" applyFont="1" applyFill="1" applyBorder="1" applyAlignment="1" applyProtection="1">
      <alignment vertical="center"/>
      <protection locked="0"/>
    </xf>
    <xf numFmtId="3" fontId="27" fillId="9" borderId="7" xfId="3" applyNumberFormat="1" applyFont="1" applyFill="1" applyBorder="1" applyAlignment="1" applyProtection="1">
      <alignment horizontal="right" vertical="center" indent="1"/>
      <protection locked="0"/>
    </xf>
    <xf numFmtId="3" fontId="27" fillId="9" borderId="32" xfId="3" applyNumberFormat="1" applyFont="1" applyFill="1" applyBorder="1" applyAlignment="1" applyProtection="1">
      <alignment horizontal="right" vertical="center" indent="1"/>
      <protection locked="0"/>
    </xf>
    <xf numFmtId="3" fontId="24" fillId="9" borderId="12" xfId="3" applyNumberFormat="1" applyFont="1" applyFill="1" applyBorder="1" applyAlignment="1" applyProtection="1">
      <alignment vertical="center"/>
      <protection locked="0"/>
    </xf>
    <xf numFmtId="3" fontId="24" fillId="9" borderId="32" xfId="3" applyNumberFormat="1" applyFont="1" applyFill="1" applyBorder="1" applyAlignment="1" applyProtection="1">
      <alignment vertical="center"/>
      <protection locked="0"/>
    </xf>
    <xf numFmtId="3" fontId="24" fillId="9" borderId="119" xfId="3" applyNumberFormat="1" applyFont="1" applyFill="1" applyBorder="1" applyAlignment="1" applyProtection="1">
      <alignment vertical="center"/>
      <protection locked="0"/>
    </xf>
    <xf numFmtId="3" fontId="24" fillId="9" borderId="31" xfId="3" applyNumberFormat="1" applyFont="1" applyFill="1" applyBorder="1" applyAlignment="1" applyProtection="1">
      <alignment vertical="center"/>
      <protection locked="0"/>
    </xf>
    <xf numFmtId="3" fontId="24" fillId="9" borderId="28" xfId="3" applyNumberFormat="1" applyFont="1" applyFill="1" applyBorder="1" applyAlignment="1" applyProtection="1">
      <alignment vertical="center"/>
      <protection locked="0"/>
    </xf>
    <xf numFmtId="3" fontId="24" fillId="9" borderId="121" xfId="3" applyNumberFormat="1" applyFont="1" applyFill="1" applyBorder="1" applyAlignment="1" applyProtection="1">
      <alignment vertical="center"/>
      <protection locked="0"/>
    </xf>
    <xf numFmtId="3" fontId="24" fillId="9" borderId="0" xfId="0" applyNumberFormat="1" applyFont="1" applyFill="1" applyAlignment="1" applyProtection="1">
      <alignment vertical="center"/>
      <protection locked="0"/>
    </xf>
    <xf numFmtId="3" fontId="24" fillId="9" borderId="85" xfId="0" applyNumberFormat="1" applyFont="1" applyFill="1" applyBorder="1" applyAlignment="1" applyProtection="1">
      <alignment vertical="center"/>
      <protection locked="0"/>
    </xf>
    <xf numFmtId="0" fontId="41" fillId="0" borderId="0" xfId="0" applyFont="1" applyAlignment="1" applyProtection="1">
      <alignment vertical="center"/>
      <protection locked="0"/>
    </xf>
    <xf numFmtId="0" fontId="15" fillId="0" borderId="0" xfId="0" applyFont="1" applyAlignment="1">
      <alignment horizontal="left" indent="1"/>
    </xf>
    <xf numFmtId="0" fontId="47" fillId="10" borderId="0" xfId="0" applyFont="1" applyFill="1" applyAlignment="1" applyProtection="1">
      <alignment horizontal="left" vertical="center" indent="1"/>
      <protection hidden="1"/>
    </xf>
    <xf numFmtId="166" fontId="6" fillId="10" borderId="0" xfId="0" applyNumberFormat="1" applyFont="1" applyFill="1" applyAlignment="1" applyProtection="1">
      <alignment horizontal="center" vertical="center"/>
      <protection locked="0"/>
    </xf>
    <xf numFmtId="49" fontId="34" fillId="10" borderId="0" xfId="0" applyNumberFormat="1" applyFont="1" applyFill="1" applyAlignment="1" applyProtection="1">
      <alignment horizontal="right"/>
      <protection locked="0"/>
    </xf>
    <xf numFmtId="164" fontId="6" fillId="10" borderId="0" xfId="0" applyNumberFormat="1" applyFont="1" applyFill="1" applyAlignment="1">
      <alignment horizontal="center" vertical="center"/>
    </xf>
    <xf numFmtId="166" fontId="6" fillId="10" borderId="0" xfId="0" applyNumberFormat="1" applyFont="1" applyFill="1" applyAlignment="1">
      <alignment vertical="center"/>
    </xf>
    <xf numFmtId="0" fontId="27" fillId="10" borderId="0" xfId="0" applyFont="1" applyFill="1" applyAlignment="1" applyProtection="1">
      <alignment horizontal="right" vertical="center"/>
      <protection hidden="1"/>
    </xf>
    <xf numFmtId="0" fontId="27" fillId="10" borderId="0" xfId="0" applyFont="1" applyFill="1" applyAlignment="1" applyProtection="1">
      <alignment horizontal="left" vertical="center"/>
      <protection hidden="1"/>
    </xf>
    <xf numFmtId="49" fontId="100" fillId="10" borderId="0" xfId="0" applyNumberFormat="1" applyFont="1" applyFill="1" applyAlignment="1">
      <alignment horizontal="right" vertical="top"/>
    </xf>
    <xf numFmtId="168" fontId="23" fillId="10" borderId="0" xfId="0" applyNumberFormat="1" applyFont="1" applyFill="1" applyAlignment="1" applyProtection="1">
      <alignment horizontal="right" vertical="center" indent="1"/>
      <protection hidden="1"/>
    </xf>
    <xf numFmtId="49" fontId="93" fillId="10" borderId="0" xfId="0" applyNumberFormat="1" applyFont="1" applyFill="1" applyAlignment="1">
      <alignment horizontal="right" vertical="top"/>
    </xf>
    <xf numFmtId="0" fontId="96" fillId="10" borderId="0" xfId="0" applyFont="1" applyFill="1" applyAlignment="1">
      <alignment horizontal="right"/>
    </xf>
    <xf numFmtId="0" fontId="92" fillId="10" borderId="0" xfId="0" quotePrefix="1" applyFont="1" applyFill="1" applyAlignment="1">
      <alignment horizontal="left" indent="1"/>
    </xf>
    <xf numFmtId="49" fontId="36" fillId="10" borderId="0" xfId="0" applyNumberFormat="1" applyFont="1" applyFill="1" applyAlignment="1" applyProtection="1">
      <alignment horizontal="right" vertical="top"/>
      <protection locked="0"/>
    </xf>
    <xf numFmtId="0" fontId="27" fillId="10" borderId="0" xfId="0" applyFont="1" applyFill="1" applyAlignment="1" applyProtection="1">
      <alignment horizontal="right" vertical="center" indent="1"/>
      <protection hidden="1"/>
    </xf>
    <xf numFmtId="168" fontId="23" fillId="10" borderId="0" xfId="0" applyNumberFormat="1" applyFont="1" applyFill="1" applyAlignment="1" applyProtection="1">
      <alignment horizontal="right" vertical="center" indent="1"/>
      <protection locked="0"/>
    </xf>
    <xf numFmtId="168" fontId="24" fillId="10" borderId="0" xfId="0" applyNumberFormat="1" applyFont="1" applyFill="1" applyAlignment="1" applyProtection="1">
      <alignment horizontal="right" vertical="center" indent="1"/>
      <protection hidden="1"/>
    </xf>
    <xf numFmtId="0" fontId="10" fillId="10" borderId="0" xfId="0" applyFont="1" applyFill="1" applyProtection="1">
      <protection locked="0"/>
    </xf>
    <xf numFmtId="0" fontId="7" fillId="10" borderId="0" xfId="0" applyFont="1" applyFill="1" applyProtection="1">
      <protection locked="0"/>
    </xf>
    <xf numFmtId="168" fontId="24" fillId="10" borderId="111" xfId="0" applyNumberFormat="1" applyFont="1" applyFill="1" applyBorder="1" applyAlignment="1" applyProtection="1">
      <alignment vertical="center"/>
      <protection hidden="1"/>
    </xf>
    <xf numFmtId="166" fontId="6" fillId="10" borderId="20" xfId="0" applyNumberFormat="1" applyFont="1" applyFill="1" applyBorder="1" applyAlignment="1" applyProtection="1">
      <alignment horizontal="center" vertical="center"/>
      <protection locked="0"/>
    </xf>
    <xf numFmtId="49" fontId="36" fillId="10" borderId="112" xfId="0" applyNumberFormat="1" applyFont="1" applyFill="1" applyBorder="1" applyAlignment="1" applyProtection="1">
      <alignment horizontal="right" vertical="top"/>
      <protection locked="0"/>
    </xf>
    <xf numFmtId="1" fontId="23" fillId="10" borderId="0" xfId="0" applyNumberFormat="1" applyFont="1" applyFill="1" applyAlignment="1" applyProtection="1">
      <alignment horizontal="left" vertical="center"/>
      <protection locked="0"/>
    </xf>
    <xf numFmtId="49" fontId="24" fillId="10" borderId="0" xfId="0" applyNumberFormat="1" applyFont="1" applyFill="1" applyAlignment="1" applyProtection="1">
      <alignment vertical="center"/>
      <protection locked="0"/>
    </xf>
    <xf numFmtId="1" fontId="23" fillId="10" borderId="0" xfId="0" applyNumberFormat="1" applyFont="1" applyFill="1" applyAlignment="1" applyProtection="1">
      <alignment vertical="center"/>
      <protection locked="0"/>
    </xf>
    <xf numFmtId="168" fontId="24" fillId="10" borderId="0" xfId="0" applyNumberFormat="1" applyFont="1" applyFill="1" applyAlignment="1" applyProtection="1">
      <alignment horizontal="right" vertical="center"/>
      <protection locked="0"/>
    </xf>
    <xf numFmtId="171" fontId="24" fillId="10" borderId="0" xfId="0" applyNumberFormat="1" applyFont="1" applyFill="1" applyAlignment="1" applyProtection="1">
      <alignment horizontal="center" vertical="center"/>
      <protection locked="0"/>
    </xf>
    <xf numFmtId="1" fontId="24" fillId="10" borderId="0" xfId="0" applyNumberFormat="1" applyFont="1" applyFill="1" applyAlignment="1" applyProtection="1">
      <alignment vertical="center"/>
      <protection locked="0"/>
    </xf>
    <xf numFmtId="168" fontId="24" fillId="10" borderId="0" xfId="0" applyNumberFormat="1" applyFont="1" applyFill="1" applyAlignment="1" applyProtection="1">
      <alignment horizontal="right" vertical="center"/>
      <protection hidden="1"/>
    </xf>
    <xf numFmtId="1" fontId="31" fillId="10" borderId="0" xfId="0" applyNumberFormat="1" applyFont="1" applyFill="1" applyAlignment="1" applyProtection="1">
      <alignment horizontal="left" vertical="center"/>
      <protection locked="0"/>
    </xf>
    <xf numFmtId="1" fontId="10" fillId="10" borderId="0" xfId="0" applyNumberFormat="1" applyFont="1" applyFill="1" applyAlignment="1" applyProtection="1">
      <alignment horizontal="left" vertical="center"/>
      <protection locked="0"/>
    </xf>
    <xf numFmtId="0" fontId="23" fillId="10" borderId="0" xfId="0" applyFont="1" applyFill="1" applyAlignment="1" applyProtection="1">
      <alignment horizontal="left" vertical="center"/>
      <protection hidden="1"/>
    </xf>
    <xf numFmtId="0" fontId="99" fillId="10" borderId="0" xfId="0" applyFont="1" applyFill="1" applyAlignment="1">
      <alignment horizontal="right"/>
    </xf>
    <xf numFmtId="0" fontId="23" fillId="10" borderId="11" xfId="0" applyFont="1" applyFill="1" applyBorder="1" applyAlignment="1" applyProtection="1">
      <alignment horizontal="center" vertical="center"/>
      <protection hidden="1"/>
    </xf>
    <xf numFmtId="166" fontId="7" fillId="10" borderId="0" xfId="0" applyNumberFormat="1" applyFont="1" applyFill="1" applyAlignment="1" applyProtection="1">
      <alignment horizontal="center" vertical="center"/>
      <protection locked="0"/>
    </xf>
    <xf numFmtId="164" fontId="97" fillId="10" borderId="0" xfId="0" applyNumberFormat="1" applyFont="1" applyFill="1" applyAlignment="1">
      <alignment horizontal="center" vertical="center"/>
    </xf>
    <xf numFmtId="166" fontId="94" fillId="10" borderId="0" xfId="0" applyNumberFormat="1" applyFont="1" applyFill="1" applyAlignment="1">
      <alignment vertical="center"/>
    </xf>
    <xf numFmtId="0" fontId="95" fillId="10" borderId="0" xfId="0" applyFont="1" applyFill="1" applyAlignment="1">
      <alignment horizontal="left" indent="1"/>
    </xf>
    <xf numFmtId="0" fontId="98" fillId="10" borderId="0" xfId="0" applyFont="1" applyFill="1" applyAlignment="1">
      <alignment horizontal="left" indent="1"/>
    </xf>
    <xf numFmtId="166" fontId="10" fillId="10" borderId="0" xfId="0" applyNumberFormat="1" applyFont="1" applyFill="1" applyAlignment="1" applyProtection="1">
      <alignment horizontal="center" vertical="center"/>
      <protection locked="0"/>
    </xf>
    <xf numFmtId="164" fontId="96" fillId="10" borderId="0" xfId="0" applyNumberFormat="1" applyFont="1" applyFill="1" applyAlignment="1">
      <alignment horizontal="center" vertical="center"/>
    </xf>
    <xf numFmtId="0" fontId="92" fillId="10" borderId="0" xfId="0" applyFont="1" applyFill="1" applyAlignment="1">
      <alignment horizontal="left" indent="1"/>
    </xf>
    <xf numFmtId="0" fontId="96" fillId="10" borderId="0" xfId="0" applyFont="1" applyFill="1"/>
    <xf numFmtId="0" fontId="92" fillId="10" borderId="0" xfId="0" applyFont="1" applyFill="1"/>
    <xf numFmtId="0" fontId="10" fillId="10" borderId="0" xfId="0" applyFont="1" applyFill="1"/>
    <xf numFmtId="0" fontId="15" fillId="10" borderId="0" xfId="0" applyFont="1" applyFill="1"/>
    <xf numFmtId="0" fontId="23" fillId="10" borderId="11" xfId="0" applyFont="1" applyFill="1" applyBorder="1" applyProtection="1">
      <protection hidden="1"/>
    </xf>
    <xf numFmtId="1" fontId="23" fillId="10" borderId="11" xfId="0" applyNumberFormat="1" applyFont="1" applyFill="1" applyBorder="1" applyAlignment="1">
      <alignment horizontal="right" indent="1"/>
    </xf>
    <xf numFmtId="0" fontId="6" fillId="10" borderId="0" xfId="0" applyFont="1" applyFill="1" applyAlignment="1">
      <alignment vertical="center"/>
    </xf>
    <xf numFmtId="0" fontId="15" fillId="10" borderId="0" xfId="0" applyFont="1" applyFill="1" applyAlignment="1">
      <alignment horizontal="left" indent="1"/>
    </xf>
    <xf numFmtId="0" fontId="6" fillId="10" borderId="0" xfId="0" applyFont="1" applyFill="1" applyAlignment="1" applyProtection="1">
      <alignment vertical="center"/>
      <protection locked="0"/>
    </xf>
    <xf numFmtId="0" fontId="88" fillId="10" borderId="0" xfId="0" applyFont="1" applyFill="1" applyAlignment="1">
      <alignment horizontal="left" indent="1"/>
    </xf>
    <xf numFmtId="0" fontId="89" fillId="10" borderId="0" xfId="0" applyFont="1" applyFill="1" applyAlignment="1" applyProtection="1">
      <alignment vertical="center"/>
      <protection locked="0"/>
    </xf>
    <xf numFmtId="0" fontId="90" fillId="10" borderId="0" xfId="0" applyFont="1" applyFill="1" applyAlignment="1" applyProtection="1">
      <alignment vertical="center"/>
      <protection locked="0"/>
    </xf>
    <xf numFmtId="0" fontId="7" fillId="10" borderId="0" xfId="0" applyFont="1" applyFill="1" applyAlignment="1">
      <alignment vertical="center"/>
    </xf>
    <xf numFmtId="0" fontId="7" fillId="10" borderId="0" xfId="0" applyFont="1" applyFill="1" applyAlignment="1" applyProtection="1">
      <alignment vertical="center"/>
      <protection locked="0"/>
    </xf>
    <xf numFmtId="0" fontId="10" fillId="10" borderId="0" xfId="0" applyFont="1" applyFill="1" applyAlignment="1">
      <alignment vertical="center"/>
    </xf>
    <xf numFmtId="0" fontId="88" fillId="10" borderId="0" xfId="0" applyFont="1" applyFill="1" applyAlignment="1" applyProtection="1">
      <alignment vertical="center"/>
      <protection locked="0"/>
    </xf>
    <xf numFmtId="0" fontId="10" fillId="10" borderId="0" xfId="0" applyFont="1" applyFill="1" applyAlignment="1" applyProtection="1">
      <alignment vertical="center"/>
      <protection locked="0"/>
    </xf>
    <xf numFmtId="0" fontId="87" fillId="10" borderId="0" xfId="0" applyFont="1" applyFill="1" applyAlignment="1" applyProtection="1">
      <alignment vertical="center"/>
      <protection locked="0"/>
    </xf>
    <xf numFmtId="0" fontId="88" fillId="10" borderId="0" xfId="0" applyFont="1" applyFill="1" applyProtection="1">
      <protection locked="0"/>
    </xf>
    <xf numFmtId="0" fontId="91" fillId="10" borderId="0" xfId="0" applyFont="1" applyFill="1" applyAlignment="1">
      <alignment horizontal="left" indent="1"/>
    </xf>
    <xf numFmtId="0" fontId="20" fillId="10" borderId="0" xfId="0" applyFont="1" applyFill="1" applyProtection="1">
      <protection locked="0"/>
    </xf>
    <xf numFmtId="0" fontId="23" fillId="10" borderId="0" xfId="0" applyFont="1" applyFill="1" applyAlignment="1" applyProtection="1">
      <alignment vertical="center"/>
      <protection locked="0"/>
    </xf>
    <xf numFmtId="1" fontId="26" fillId="10" borderId="0" xfId="0" applyNumberFormat="1" applyFont="1" applyFill="1" applyAlignment="1">
      <alignment horizontal="right" vertical="center" wrapText="1" shrinkToFit="1"/>
    </xf>
    <xf numFmtId="0" fontId="14" fillId="10" borderId="0" xfId="0" applyFont="1" applyFill="1" applyAlignment="1" applyProtection="1">
      <alignment vertical="center"/>
      <protection locked="0"/>
    </xf>
    <xf numFmtId="167" fontId="24" fillId="10" borderId="0" xfId="0" applyNumberFormat="1" applyFont="1" applyFill="1" applyAlignment="1" applyProtection="1">
      <alignment horizontal="center" vertical="center"/>
      <protection locked="0"/>
    </xf>
    <xf numFmtId="0" fontId="24" fillId="10" borderId="0" xfId="0" applyFont="1" applyFill="1" applyAlignment="1" applyProtection="1">
      <alignment vertical="center"/>
      <protection locked="0"/>
    </xf>
    <xf numFmtId="3" fontId="24" fillId="10" borderId="0" xfId="0" applyNumberFormat="1" applyFont="1" applyFill="1" applyAlignment="1">
      <alignment vertical="center"/>
    </xf>
    <xf numFmtId="168" fontId="24" fillId="10" borderId="0" xfId="0" applyNumberFormat="1" applyFont="1" applyFill="1" applyAlignment="1" applyProtection="1">
      <alignment vertical="center"/>
      <protection locked="0"/>
    </xf>
    <xf numFmtId="0" fontId="41" fillId="10" borderId="0" xfId="0" applyFont="1" applyFill="1" applyAlignment="1" applyProtection="1">
      <alignment vertical="center"/>
      <protection locked="0"/>
    </xf>
    <xf numFmtId="3" fontId="24" fillId="10" borderId="0" xfId="0" applyNumberFormat="1" applyFont="1" applyFill="1" applyAlignment="1" applyProtection="1">
      <alignment vertical="center"/>
      <protection locked="0"/>
    </xf>
    <xf numFmtId="0" fontId="21" fillId="10" borderId="0" xfId="0" applyFont="1" applyFill="1" applyAlignment="1" applyProtection="1">
      <alignment vertical="center"/>
      <protection locked="0"/>
    </xf>
    <xf numFmtId="168" fontId="23" fillId="10" borderId="0" xfId="0" applyNumberFormat="1" applyFont="1" applyFill="1" applyAlignment="1" applyProtection="1">
      <alignment vertical="center"/>
      <protection locked="0"/>
    </xf>
    <xf numFmtId="9" fontId="27" fillId="10" borderId="85" xfId="2" applyFont="1" applyFill="1" applyBorder="1" applyAlignment="1" applyProtection="1">
      <alignment horizontal="center" vertical="center"/>
    </xf>
    <xf numFmtId="9" fontId="27" fillId="10" borderId="86" xfId="2" applyFont="1" applyFill="1" applyBorder="1" applyAlignment="1" applyProtection="1">
      <alignment horizontal="center" vertical="center"/>
    </xf>
    <xf numFmtId="9" fontId="42" fillId="10" borderId="0" xfId="2" applyFont="1" applyFill="1" applyBorder="1" applyAlignment="1" applyProtection="1">
      <alignment horizontal="center" vertical="center"/>
    </xf>
    <xf numFmtId="0" fontId="76" fillId="10" borderId="0" xfId="0" applyFont="1" applyFill="1" applyAlignment="1">
      <alignment vertical="center"/>
    </xf>
    <xf numFmtId="0" fontId="25" fillId="10" borderId="0" xfId="0" applyFont="1" applyFill="1" applyAlignment="1">
      <alignment vertical="center"/>
    </xf>
    <xf numFmtId="166" fontId="5" fillId="10" borderId="0" xfId="3" applyNumberFormat="1" applyFont="1" applyFill="1" applyAlignment="1" applyProtection="1">
      <alignment horizontal="right" vertical="center"/>
      <protection locked="0"/>
    </xf>
    <xf numFmtId="166" fontId="5" fillId="10" borderId="0" xfId="3" applyNumberFormat="1" applyFont="1" applyFill="1" applyAlignment="1" applyProtection="1">
      <alignment vertical="center"/>
      <protection locked="0"/>
    </xf>
    <xf numFmtId="3" fontId="5" fillId="10" borderId="0" xfId="3" applyNumberFormat="1" applyFont="1" applyFill="1" applyAlignment="1" applyProtection="1">
      <alignment vertical="center"/>
      <protection locked="0"/>
    </xf>
    <xf numFmtId="168" fontId="25" fillId="10" borderId="0" xfId="7" applyNumberFormat="1" applyFont="1" applyFill="1" applyAlignment="1" applyProtection="1">
      <alignment horizontal="left"/>
      <protection locked="0"/>
    </xf>
    <xf numFmtId="3" fontId="23" fillId="10" borderId="0" xfId="0" applyNumberFormat="1" applyFont="1" applyFill="1" applyAlignment="1" applyProtection="1">
      <alignment vertical="center"/>
      <protection locked="0"/>
    </xf>
    <xf numFmtId="3" fontId="33" fillId="10" borderId="57" xfId="2" applyNumberFormat="1" applyFont="1" applyFill="1" applyBorder="1" applyAlignment="1" applyProtection="1">
      <alignment horizontal="center" vertical="center"/>
      <protection locked="0"/>
    </xf>
    <xf numFmtId="166" fontId="24" fillId="10" borderId="0" xfId="3" applyNumberFormat="1" applyFont="1" applyFill="1" applyAlignment="1" applyProtection="1">
      <alignment vertical="center"/>
      <protection locked="0"/>
    </xf>
    <xf numFmtId="10" fontId="33" fillId="10" borderId="1" xfId="2" applyNumberFormat="1" applyFont="1" applyFill="1" applyBorder="1" applyAlignment="1" applyProtection="1">
      <alignment horizontal="center" vertical="center" wrapText="1"/>
      <protection locked="0"/>
    </xf>
    <xf numFmtId="3" fontId="33" fillId="10" borderId="58" xfId="2" applyNumberFormat="1" applyFont="1" applyFill="1" applyBorder="1" applyAlignment="1" applyProtection="1">
      <alignment horizontal="center" vertical="center"/>
      <protection locked="0"/>
    </xf>
    <xf numFmtId="175" fontId="27" fillId="10" borderId="51" xfId="2" applyNumberFormat="1" applyFont="1" applyFill="1" applyBorder="1" applyAlignment="1" applyProtection="1">
      <alignment horizontal="center" vertical="center"/>
      <protection locked="0"/>
    </xf>
    <xf numFmtId="10" fontId="27" fillId="10" borderId="46" xfId="2" applyNumberFormat="1" applyFont="1" applyFill="1" applyBorder="1" applyAlignment="1" applyProtection="1">
      <alignment horizontal="center" vertical="center" wrapText="1"/>
      <protection locked="0"/>
    </xf>
    <xf numFmtId="166" fontId="10" fillId="10" borderId="0" xfId="3" applyNumberFormat="1" applyFont="1" applyFill="1" applyAlignment="1" applyProtection="1">
      <alignment vertical="center"/>
      <protection locked="0"/>
    </xf>
    <xf numFmtId="175" fontId="28" fillId="10" borderId="52" xfId="2" applyNumberFormat="1" applyFont="1" applyFill="1" applyBorder="1" applyAlignment="1" applyProtection="1">
      <protection locked="0"/>
    </xf>
    <xf numFmtId="175" fontId="27" fillId="10" borderId="47" xfId="2" applyNumberFormat="1" applyFont="1" applyFill="1" applyBorder="1" applyAlignment="1" applyProtection="1">
      <protection locked="0"/>
    </xf>
    <xf numFmtId="3" fontId="24" fillId="10" borderId="1" xfId="3" applyNumberFormat="1" applyFont="1" applyFill="1" applyBorder="1" applyAlignment="1" applyProtection="1">
      <alignment vertical="center"/>
      <protection locked="0"/>
    </xf>
    <xf numFmtId="3" fontId="24" fillId="10" borderId="0" xfId="3" applyNumberFormat="1" applyFont="1" applyFill="1" applyAlignment="1" applyProtection="1">
      <alignment vertical="center"/>
      <protection locked="0"/>
    </xf>
    <xf numFmtId="175" fontId="27" fillId="10" borderId="50" xfId="2" applyNumberFormat="1" applyFont="1" applyFill="1" applyBorder="1" applyAlignment="1" applyProtection="1">
      <alignment horizontal="center" vertical="center"/>
      <protection locked="0"/>
    </xf>
    <xf numFmtId="175" fontId="27" fillId="10" borderId="45" xfId="2" applyNumberFormat="1" applyFont="1" applyFill="1" applyBorder="1" applyAlignment="1" applyProtection="1">
      <alignment vertical="center"/>
      <protection locked="0"/>
    </xf>
    <xf numFmtId="175" fontId="27" fillId="10" borderId="44" xfId="2" applyNumberFormat="1" applyFont="1" applyFill="1" applyBorder="1" applyAlignment="1" applyProtection="1">
      <alignment vertical="center"/>
      <protection locked="0"/>
    </xf>
    <xf numFmtId="175" fontId="27" fillId="10" borderId="63" xfId="2" applyNumberFormat="1" applyFont="1" applyFill="1" applyBorder="1" applyAlignment="1" applyProtection="1">
      <alignment horizontal="center" vertical="center"/>
      <protection locked="0"/>
    </xf>
    <xf numFmtId="3" fontId="24" fillId="10" borderId="57" xfId="3" applyNumberFormat="1" applyFont="1" applyFill="1" applyBorder="1" applyAlignment="1" applyProtection="1">
      <alignment vertical="center"/>
      <protection locked="0"/>
    </xf>
    <xf numFmtId="175" fontId="27" fillId="10" borderId="46" xfId="2" applyNumberFormat="1" applyFont="1" applyFill="1" applyBorder="1" applyAlignment="1" applyProtection="1">
      <alignment vertical="center"/>
      <protection locked="0"/>
    </xf>
    <xf numFmtId="3" fontId="24" fillId="10" borderId="54" xfId="3" applyNumberFormat="1" applyFont="1" applyFill="1" applyBorder="1" applyAlignment="1" applyProtection="1">
      <alignment vertical="center"/>
      <protection locked="0"/>
    </xf>
    <xf numFmtId="175" fontId="27" fillId="10" borderId="52" xfId="2" applyNumberFormat="1" applyFont="1" applyFill="1" applyBorder="1" applyAlignment="1" applyProtection="1">
      <alignment horizontal="center" vertical="center"/>
      <protection locked="0"/>
    </xf>
    <xf numFmtId="175" fontId="27" fillId="10" borderId="47" xfId="2" applyNumberFormat="1" applyFont="1" applyFill="1" applyBorder="1" applyAlignment="1" applyProtection="1">
      <alignment vertical="center"/>
      <protection locked="0"/>
    </xf>
    <xf numFmtId="3" fontId="24" fillId="10" borderId="58" xfId="3" applyNumberFormat="1" applyFont="1" applyFill="1" applyBorder="1" applyAlignment="1" applyProtection="1">
      <alignment vertical="center"/>
      <protection locked="0"/>
    </xf>
    <xf numFmtId="175" fontId="28" fillId="10" borderId="51" xfId="2" applyNumberFormat="1" applyFont="1" applyFill="1" applyBorder="1" applyAlignment="1" applyProtection="1">
      <alignment horizontal="center" vertical="center"/>
      <protection locked="0"/>
    </xf>
    <xf numFmtId="175" fontId="28" fillId="10" borderId="53" xfId="2" applyNumberFormat="1" applyFont="1" applyFill="1" applyBorder="1" applyAlignment="1" applyProtection="1">
      <alignment horizontal="center" vertical="center"/>
      <protection locked="0"/>
    </xf>
    <xf numFmtId="175" fontId="27" fillId="10" borderId="49" xfId="2" applyNumberFormat="1" applyFont="1" applyFill="1" applyBorder="1" applyAlignment="1" applyProtection="1">
      <alignment vertical="center"/>
      <protection locked="0"/>
    </xf>
    <xf numFmtId="0" fontId="28" fillId="10" borderId="0" xfId="2" applyNumberFormat="1" applyFont="1" applyFill="1" applyBorder="1" applyAlignment="1" applyProtection="1">
      <alignment horizontal="center" vertical="center"/>
      <protection locked="0"/>
    </xf>
    <xf numFmtId="175" fontId="27" fillId="10" borderId="0" xfId="2" applyNumberFormat="1" applyFont="1" applyFill="1" applyBorder="1" applyAlignment="1" applyProtection="1">
      <alignment vertical="center"/>
      <protection locked="0"/>
    </xf>
    <xf numFmtId="3" fontId="10" fillId="10" borderId="0" xfId="3" applyNumberFormat="1" applyFont="1" applyFill="1" applyAlignment="1" applyProtection="1">
      <alignment vertical="center"/>
      <protection locked="0"/>
    </xf>
    <xf numFmtId="3" fontId="27" fillId="10" borderId="0" xfId="3" applyNumberFormat="1" applyFont="1" applyFill="1" applyAlignment="1">
      <alignment horizontal="right" vertical="center"/>
    </xf>
    <xf numFmtId="166" fontId="23" fillId="10" borderId="123" xfId="3" applyNumberFormat="1" applyFont="1" applyFill="1" applyBorder="1" applyAlignment="1" applyProtection="1">
      <alignment vertical="center"/>
      <protection locked="0"/>
    </xf>
    <xf numFmtId="3" fontId="23" fillId="10" borderId="124" xfId="3" applyNumberFormat="1" applyFont="1" applyFill="1" applyBorder="1" applyAlignment="1" applyProtection="1">
      <alignment vertical="distributed"/>
      <protection locked="0"/>
    </xf>
    <xf numFmtId="166" fontId="23" fillId="10" borderId="126" xfId="3" applyNumberFormat="1" applyFont="1" applyFill="1" applyBorder="1" applyAlignment="1" applyProtection="1">
      <alignment vertical="center"/>
      <protection locked="0"/>
    </xf>
    <xf numFmtId="166" fontId="23" fillId="10" borderId="127" xfId="3" applyNumberFormat="1" applyFont="1" applyFill="1" applyBorder="1" applyAlignment="1" applyProtection="1">
      <alignment vertical="center"/>
      <protection locked="0"/>
    </xf>
    <xf numFmtId="166" fontId="23" fillId="10" borderId="128" xfId="3" applyNumberFormat="1" applyFont="1" applyFill="1" applyBorder="1" applyAlignment="1" applyProtection="1">
      <alignment vertical="center"/>
      <protection locked="0"/>
    </xf>
    <xf numFmtId="166" fontId="23" fillId="10" borderId="32" xfId="3" applyNumberFormat="1" applyFont="1" applyFill="1" applyBorder="1" applyAlignment="1" applyProtection="1">
      <alignment vertical="center"/>
      <protection locked="0"/>
    </xf>
    <xf numFmtId="3" fontId="24" fillId="10" borderId="32" xfId="3" applyNumberFormat="1" applyFont="1" applyFill="1" applyBorder="1" applyAlignment="1" applyProtection="1">
      <alignment vertical="center"/>
      <protection locked="0"/>
    </xf>
    <xf numFmtId="166" fontId="24" fillId="10" borderId="32" xfId="3" applyNumberFormat="1" applyFont="1" applyFill="1" applyBorder="1" applyAlignment="1" applyProtection="1">
      <alignment vertical="center"/>
      <protection locked="0"/>
    </xf>
    <xf numFmtId="3" fontId="27" fillId="10" borderId="31" xfId="3" applyNumberFormat="1" applyFont="1" applyFill="1" applyBorder="1" applyAlignment="1">
      <alignment horizontal="right" vertical="center"/>
    </xf>
    <xf numFmtId="3" fontId="27" fillId="10" borderId="28" xfId="3" applyNumberFormat="1" applyFont="1" applyFill="1" applyBorder="1" applyAlignment="1">
      <alignment horizontal="right" vertical="center"/>
    </xf>
    <xf numFmtId="10" fontId="27" fillId="10" borderId="6" xfId="2" applyNumberFormat="1" applyFont="1" applyFill="1" applyBorder="1" applyAlignment="1" applyProtection="1">
      <alignment horizontal="right" vertical="center" indent="1"/>
      <protection locked="0"/>
    </xf>
    <xf numFmtId="10" fontId="27" fillId="10" borderId="4" xfId="2" applyNumberFormat="1" applyFont="1" applyFill="1" applyBorder="1" applyAlignment="1" applyProtection="1">
      <protection locked="0"/>
    </xf>
    <xf numFmtId="10" fontId="27" fillId="10" borderId="31" xfId="2" applyNumberFormat="1" applyFont="1" applyFill="1" applyBorder="1" applyAlignment="1" applyProtection="1">
      <alignment horizontal="right" vertical="center" indent="1"/>
      <protection locked="0"/>
    </xf>
    <xf numFmtId="10" fontId="27" fillId="10" borderId="0" xfId="2" applyNumberFormat="1" applyFont="1" applyFill="1" applyBorder="1" applyAlignment="1" applyProtection="1">
      <alignment horizontal="right" vertical="center" indent="1"/>
      <protection locked="0"/>
    </xf>
    <xf numFmtId="166" fontId="24" fillId="10" borderId="0" xfId="3" applyNumberFormat="1" applyFont="1" applyFill="1" applyAlignment="1" applyProtection="1">
      <alignment horizontal="right" vertical="center" indent="1"/>
      <protection locked="0"/>
    </xf>
    <xf numFmtId="166" fontId="23" fillId="10" borderId="31" xfId="3" applyNumberFormat="1" applyFont="1" applyFill="1" applyBorder="1"/>
    <xf numFmtId="166" fontId="23" fillId="10" borderId="0" xfId="3" applyNumberFormat="1" applyFont="1" applyFill="1" applyProtection="1">
      <protection locked="0"/>
    </xf>
    <xf numFmtId="166" fontId="24" fillId="10" borderId="31" xfId="3" applyNumberFormat="1" applyFont="1" applyFill="1" applyBorder="1" applyAlignment="1">
      <alignment horizontal="left" vertical="center" indent="1"/>
    </xf>
    <xf numFmtId="166" fontId="24" fillId="10" borderId="0" xfId="3" applyNumberFormat="1" applyFont="1" applyFill="1" applyAlignment="1" applyProtection="1">
      <alignment horizontal="left" vertical="center" indent="1"/>
      <protection locked="0"/>
    </xf>
    <xf numFmtId="166" fontId="24" fillId="10" borderId="32" xfId="3" applyNumberFormat="1" applyFont="1" applyFill="1" applyBorder="1" applyAlignment="1">
      <alignment horizontal="left" vertical="center" indent="1"/>
    </xf>
    <xf numFmtId="166" fontId="24" fillId="10" borderId="6" xfId="3" applyNumberFormat="1" applyFont="1" applyFill="1" applyBorder="1" applyAlignment="1" applyProtection="1">
      <alignment horizontal="left" vertical="center" indent="1"/>
      <protection locked="0"/>
    </xf>
    <xf numFmtId="166" fontId="23" fillId="10" borderId="30" xfId="3" applyNumberFormat="1" applyFont="1" applyFill="1" applyBorder="1" applyAlignment="1">
      <alignment vertical="center"/>
    </xf>
    <xf numFmtId="166" fontId="23" fillId="10" borderId="29" xfId="3" applyNumberFormat="1" applyFont="1" applyFill="1" applyBorder="1" applyProtection="1">
      <protection locked="0"/>
    </xf>
    <xf numFmtId="166" fontId="27" fillId="10" borderId="31" xfId="3" applyNumberFormat="1" applyFont="1" applyFill="1" applyBorder="1" applyAlignment="1">
      <alignment horizontal="left" vertical="center" indent="2"/>
    </xf>
    <xf numFmtId="166" fontId="27" fillId="10" borderId="32" xfId="3" applyNumberFormat="1" applyFont="1" applyFill="1" applyBorder="1" applyAlignment="1">
      <alignment horizontal="left" vertical="center" indent="2"/>
    </xf>
    <xf numFmtId="166" fontId="23" fillId="10" borderId="5" xfId="3" applyNumberFormat="1" applyFont="1" applyFill="1" applyBorder="1" applyProtection="1">
      <protection locked="0"/>
    </xf>
    <xf numFmtId="10" fontId="66" fillId="10" borderId="0" xfId="2" applyNumberFormat="1" applyFont="1" applyFill="1" applyBorder="1" applyAlignment="1" applyProtection="1">
      <alignment horizontal="center" vertical="center"/>
      <protection locked="0"/>
    </xf>
    <xf numFmtId="3" fontId="24" fillId="10" borderId="42" xfId="3" applyNumberFormat="1" applyFont="1" applyFill="1" applyBorder="1" applyProtection="1">
      <protection locked="0"/>
    </xf>
    <xf numFmtId="3" fontId="24" fillId="10" borderId="30" xfId="3" applyNumberFormat="1" applyFont="1" applyFill="1" applyBorder="1" applyAlignment="1" applyProtection="1">
      <alignment vertical="center"/>
      <protection locked="0"/>
    </xf>
    <xf numFmtId="10" fontId="27" fillId="10" borderId="4" xfId="2" applyNumberFormat="1" applyFont="1" applyFill="1" applyBorder="1" applyAlignment="1" applyProtection="1">
      <alignment vertical="center"/>
      <protection locked="0"/>
    </xf>
    <xf numFmtId="3" fontId="24" fillId="10" borderId="42" xfId="3" applyNumberFormat="1" applyFont="1" applyFill="1" applyBorder="1" applyAlignment="1" applyProtection="1">
      <alignment vertical="center"/>
      <protection locked="0"/>
    </xf>
    <xf numFmtId="3" fontId="24" fillId="10" borderId="31" xfId="3" applyNumberFormat="1" applyFont="1" applyFill="1" applyBorder="1" applyAlignment="1" applyProtection="1">
      <alignment vertical="center"/>
      <protection locked="0"/>
    </xf>
    <xf numFmtId="3" fontId="24" fillId="10" borderId="31" xfId="3" applyNumberFormat="1" applyFont="1" applyFill="1" applyBorder="1" applyProtection="1">
      <protection locked="0"/>
    </xf>
    <xf numFmtId="10" fontId="27" fillId="10" borderId="0" xfId="2" applyNumberFormat="1" applyFont="1" applyFill="1" applyBorder="1" applyAlignment="1" applyProtection="1">
      <protection locked="0"/>
    </xf>
    <xf numFmtId="10" fontId="27" fillId="10" borderId="0" xfId="2" applyNumberFormat="1" applyFont="1" applyFill="1" applyBorder="1" applyAlignment="1" applyProtection="1">
      <alignment horizontal="right" indent="1"/>
      <protection locked="0"/>
    </xf>
    <xf numFmtId="3" fontId="24" fillId="10" borderId="30" xfId="3" applyNumberFormat="1" applyFont="1" applyFill="1" applyBorder="1" applyProtection="1">
      <protection locked="0"/>
    </xf>
    <xf numFmtId="168" fontId="29" fillId="10" borderId="0" xfId="0" applyNumberFormat="1" applyFont="1" applyFill="1" applyAlignment="1" applyProtection="1">
      <alignment vertical="center"/>
      <protection locked="0"/>
    </xf>
    <xf numFmtId="4" fontId="29" fillId="10" borderId="0" xfId="0" applyNumberFormat="1" applyFont="1" applyFill="1" applyAlignment="1" applyProtection="1">
      <alignment horizontal="center" vertical="center"/>
      <protection locked="0"/>
    </xf>
    <xf numFmtId="4" fontId="27" fillId="10" borderId="0" xfId="0" applyNumberFormat="1" applyFont="1" applyFill="1" applyAlignment="1" applyProtection="1">
      <alignment horizontal="center" vertical="center"/>
      <protection locked="0"/>
    </xf>
    <xf numFmtId="4" fontId="29" fillId="10" borderId="0" xfId="0" applyNumberFormat="1" applyFont="1" applyFill="1" applyAlignment="1" applyProtection="1">
      <alignment vertical="center"/>
      <protection locked="0"/>
    </xf>
    <xf numFmtId="4" fontId="29" fillId="10" borderId="0" xfId="0" applyNumberFormat="1" applyFont="1" applyFill="1" applyAlignment="1" applyProtection="1">
      <alignment horizontal="right" vertical="center"/>
      <protection locked="0"/>
    </xf>
    <xf numFmtId="4" fontId="27" fillId="10" borderId="0" xfId="0" applyNumberFormat="1" applyFont="1" applyFill="1" applyAlignment="1" applyProtection="1">
      <alignment horizontal="right" vertical="center"/>
      <protection locked="0"/>
    </xf>
    <xf numFmtId="0" fontId="32" fillId="10" borderId="0" xfId="0" applyFont="1" applyFill="1" applyAlignment="1" applyProtection="1">
      <alignment vertical="center"/>
      <protection locked="0"/>
    </xf>
    <xf numFmtId="0" fontId="32" fillId="10" borderId="0" xfId="0" applyFont="1" applyFill="1" applyAlignment="1">
      <alignment vertical="center"/>
    </xf>
    <xf numFmtId="0" fontId="29" fillId="10" borderId="0" xfId="0" applyFont="1" applyFill="1" applyAlignment="1" applyProtection="1">
      <alignment vertical="center"/>
      <protection locked="0"/>
    </xf>
    <xf numFmtId="0" fontId="24" fillId="10" borderId="0" xfId="0" applyFont="1" applyFill="1" applyAlignment="1" applyProtection="1">
      <alignment horizontal="left" vertical="center"/>
      <protection locked="0"/>
    </xf>
    <xf numFmtId="4" fontId="24" fillId="10" borderId="0" xfId="0" applyNumberFormat="1" applyFont="1" applyFill="1" applyAlignment="1" applyProtection="1">
      <alignment horizontal="center" vertical="center"/>
      <protection locked="0"/>
    </xf>
    <xf numFmtId="4" fontId="24" fillId="10" borderId="0" xfId="0" applyNumberFormat="1" applyFont="1" applyFill="1" applyAlignment="1" applyProtection="1">
      <alignment vertical="center"/>
      <protection locked="0"/>
    </xf>
    <xf numFmtId="4" fontId="26" fillId="10" borderId="0" xfId="0" applyNumberFormat="1" applyFont="1" applyFill="1" applyAlignment="1" applyProtection="1">
      <alignment horizontal="right" vertical="center"/>
      <protection locked="0"/>
    </xf>
    <xf numFmtId="4" fontId="30" fillId="10" borderId="0" xfId="0" applyNumberFormat="1" applyFont="1" applyFill="1" applyAlignment="1" applyProtection="1">
      <alignment horizontal="right" vertical="center"/>
      <protection locked="0"/>
    </xf>
    <xf numFmtId="0" fontId="26" fillId="10" borderId="0" xfId="0" applyFont="1" applyFill="1" applyAlignment="1">
      <alignment vertical="center"/>
    </xf>
    <xf numFmtId="0" fontId="26" fillId="10" borderId="0" xfId="0" applyFont="1" applyFill="1" applyAlignment="1" applyProtection="1">
      <alignment vertical="center"/>
      <protection locked="0"/>
    </xf>
    <xf numFmtId="4" fontId="68" fillId="10" borderId="0" xfId="0" applyNumberFormat="1" applyFont="1" applyFill="1" applyAlignment="1">
      <alignment horizontal="center" vertical="center"/>
    </xf>
    <xf numFmtId="0" fontId="26" fillId="10" borderId="0" xfId="0" applyFont="1" applyFill="1" applyAlignment="1">
      <alignment vertical="distributed"/>
    </xf>
    <xf numFmtId="9" fontId="24" fillId="10" borderId="0" xfId="0" applyNumberFormat="1" applyFont="1" applyFill="1" applyAlignment="1">
      <alignment horizontal="center" vertical="center"/>
    </xf>
    <xf numFmtId="4" fontId="24" fillId="10" borderId="0" xfId="1" applyFont="1" applyFill="1" applyBorder="1" applyAlignment="1" applyProtection="1">
      <alignment vertical="distributed"/>
    </xf>
    <xf numFmtId="0" fontId="24" fillId="10" borderId="0" xfId="0" applyFont="1" applyFill="1" applyAlignment="1" applyProtection="1">
      <alignment vertical="distributed"/>
      <protection locked="0"/>
    </xf>
    <xf numFmtId="168" fontId="24" fillId="10" borderId="0" xfId="0" applyNumberFormat="1" applyFont="1" applyFill="1" applyAlignment="1" applyProtection="1">
      <alignment vertical="distributed"/>
      <protection locked="0"/>
    </xf>
    <xf numFmtId="4" fontId="24" fillId="10" borderId="0" xfId="1" applyFont="1" applyFill="1" applyBorder="1" applyAlignment="1" applyProtection="1">
      <alignment horizontal="center" vertical="distributed"/>
    </xf>
    <xf numFmtId="0" fontId="24" fillId="10" borderId="4" xfId="0" applyFont="1" applyFill="1" applyBorder="1" applyAlignment="1" applyProtection="1">
      <alignment horizontal="left" vertical="center"/>
      <protection locked="0"/>
    </xf>
    <xf numFmtId="4" fontId="24" fillId="10" borderId="4" xfId="0" applyNumberFormat="1" applyFont="1" applyFill="1" applyBorder="1" applyAlignment="1" applyProtection="1">
      <alignment horizontal="center" vertical="center"/>
      <protection locked="0"/>
    </xf>
    <xf numFmtId="4" fontId="27" fillId="10" borderId="4" xfId="0" applyNumberFormat="1" applyFont="1" applyFill="1" applyBorder="1" applyAlignment="1" applyProtection="1">
      <alignment horizontal="center" vertical="center"/>
      <protection locked="0"/>
    </xf>
    <xf numFmtId="4" fontId="24" fillId="10" borderId="4" xfId="0" applyNumberFormat="1" applyFont="1" applyFill="1" applyBorder="1" applyAlignment="1" applyProtection="1">
      <alignment vertical="center"/>
      <protection locked="0"/>
    </xf>
    <xf numFmtId="4" fontId="24" fillId="10" borderId="4" xfId="0" applyNumberFormat="1" applyFont="1" applyFill="1" applyBorder="1" applyAlignment="1" applyProtection="1">
      <alignment horizontal="right" vertical="center"/>
      <protection locked="0"/>
    </xf>
    <xf numFmtId="4" fontId="27" fillId="10" borderId="4" xfId="0" applyNumberFormat="1" applyFont="1" applyFill="1" applyBorder="1" applyAlignment="1" applyProtection="1">
      <alignment horizontal="right" vertical="center"/>
      <protection locked="0"/>
    </xf>
    <xf numFmtId="4" fontId="24" fillId="10" borderId="105" xfId="0" applyNumberFormat="1" applyFont="1" applyFill="1" applyBorder="1" applyAlignment="1" applyProtection="1">
      <alignment horizontal="right" vertical="center"/>
      <protection locked="0"/>
    </xf>
    <xf numFmtId="4" fontId="24" fillId="10" borderId="48" xfId="0" applyNumberFormat="1" applyFont="1" applyFill="1" applyBorder="1" applyAlignment="1" applyProtection="1">
      <alignment vertical="center"/>
      <protection locked="0"/>
    </xf>
    <xf numFmtId="4" fontId="24" fillId="10" borderId="0" xfId="0" applyNumberFormat="1" applyFont="1" applyFill="1" applyAlignment="1" applyProtection="1">
      <alignment horizontal="right" vertical="center"/>
      <protection locked="0"/>
    </xf>
    <xf numFmtId="4" fontId="24" fillId="10" borderId="51" xfId="0" applyNumberFormat="1" applyFont="1" applyFill="1" applyBorder="1" applyAlignment="1" applyProtection="1">
      <alignment horizontal="right" vertical="center"/>
      <protection locked="0"/>
    </xf>
    <xf numFmtId="4" fontId="24" fillId="10" borderId="46" xfId="0" applyNumberFormat="1" applyFont="1" applyFill="1" applyBorder="1" applyAlignment="1" applyProtection="1">
      <alignment vertical="center"/>
      <protection locked="0"/>
    </xf>
    <xf numFmtId="174" fontId="24" fillId="10" borderId="0" xfId="0" applyNumberFormat="1" applyFont="1" applyFill="1" applyAlignment="1" applyProtection="1">
      <alignment vertical="center"/>
      <protection locked="0"/>
    </xf>
    <xf numFmtId="4" fontId="27" fillId="10" borderId="0" xfId="0" applyNumberFormat="1" applyFont="1" applyFill="1" applyAlignment="1">
      <alignment horizontal="center" vertical="center"/>
    </xf>
    <xf numFmtId="4" fontId="26" fillId="10" borderId="0" xfId="0" applyNumberFormat="1" applyFont="1" applyFill="1" applyAlignment="1">
      <alignment vertical="center"/>
    </xf>
    <xf numFmtId="4" fontId="27" fillId="10" borderId="51" xfId="0" applyNumberFormat="1" applyFont="1" applyFill="1" applyBorder="1" applyAlignment="1">
      <alignment horizontal="center" vertical="center"/>
    </xf>
    <xf numFmtId="4" fontId="27" fillId="10" borderId="46" xfId="0" applyNumberFormat="1" applyFont="1" applyFill="1" applyBorder="1" applyAlignment="1" applyProtection="1">
      <alignment vertical="center"/>
      <protection locked="0"/>
    </xf>
    <xf numFmtId="174" fontId="26" fillId="10" borderId="0" xfId="0" applyNumberFormat="1" applyFont="1" applyFill="1" applyAlignment="1" applyProtection="1">
      <alignment vertical="center"/>
      <protection locked="0"/>
    </xf>
    <xf numFmtId="4" fontId="24" fillId="10" borderId="48" xfId="0" applyNumberFormat="1" applyFont="1" applyFill="1" applyBorder="1" applyAlignment="1">
      <alignment vertical="center"/>
    </xf>
    <xf numFmtId="41" fontId="67" fillId="10" borderId="47" xfId="0" applyNumberFormat="1" applyFont="1" applyFill="1" applyBorder="1" applyAlignment="1">
      <alignment vertical="distributed"/>
    </xf>
    <xf numFmtId="4" fontId="24" fillId="10" borderId="46" xfId="0" applyNumberFormat="1" applyFont="1" applyFill="1" applyBorder="1" applyAlignment="1">
      <alignment vertical="center"/>
    </xf>
    <xf numFmtId="4" fontId="26" fillId="10" borderId="0" xfId="0" applyNumberFormat="1" applyFont="1" applyFill="1" applyAlignment="1" applyProtection="1">
      <alignment horizontal="right" vertical="distributed"/>
      <protection locked="0"/>
    </xf>
    <xf numFmtId="4" fontId="24" fillId="10" borderId="4" xfId="0" applyNumberFormat="1" applyFont="1" applyFill="1" applyBorder="1" applyAlignment="1" applyProtection="1">
      <alignment horizontal="right" vertical="distributed"/>
      <protection locked="0"/>
    </xf>
    <xf numFmtId="4" fontId="27" fillId="10" borderId="4" xfId="0" applyNumberFormat="1" applyFont="1" applyFill="1" applyBorder="1" applyAlignment="1" applyProtection="1">
      <alignment horizontal="right" vertical="distributed"/>
      <protection locked="0"/>
    </xf>
    <xf numFmtId="4" fontId="24" fillId="10" borderId="105" xfId="0" applyNumberFormat="1" applyFont="1" applyFill="1" applyBorder="1" applyAlignment="1" applyProtection="1">
      <alignment horizontal="right" vertical="distributed"/>
      <protection locked="0"/>
    </xf>
    <xf numFmtId="4" fontId="24" fillId="10" borderId="48" xfId="0" applyNumberFormat="1" applyFont="1" applyFill="1" applyBorder="1" applyAlignment="1" applyProtection="1">
      <alignment vertical="distributed"/>
      <protection locked="0"/>
    </xf>
    <xf numFmtId="4" fontId="24" fillId="10" borderId="52" xfId="0" applyNumberFormat="1" applyFont="1" applyFill="1" applyBorder="1" applyAlignment="1" applyProtection="1">
      <alignment horizontal="right" vertical="distributed"/>
      <protection locked="0"/>
    </xf>
    <xf numFmtId="4" fontId="24" fillId="10" borderId="6" xfId="0" applyNumberFormat="1" applyFont="1" applyFill="1" applyBorder="1" applyAlignment="1" applyProtection="1">
      <alignment horizontal="right" vertical="distributed"/>
      <protection locked="0"/>
    </xf>
    <xf numFmtId="4" fontId="24" fillId="10" borderId="47" xfId="0" applyNumberFormat="1" applyFont="1" applyFill="1" applyBorder="1" applyAlignment="1" applyProtection="1">
      <alignment vertical="distributed"/>
      <protection locked="0"/>
    </xf>
    <xf numFmtId="0" fontId="27" fillId="10" borderId="0" xfId="0" applyFont="1" applyFill="1" applyAlignment="1" applyProtection="1">
      <alignment vertical="center"/>
      <protection locked="0"/>
    </xf>
    <xf numFmtId="0" fontId="24" fillId="10" borderId="51" xfId="0" applyFont="1" applyFill="1" applyBorder="1" applyAlignment="1" applyProtection="1">
      <alignment vertical="center"/>
      <protection locked="0"/>
    </xf>
    <xf numFmtId="0" fontId="24" fillId="10" borderId="46" xfId="0" applyFont="1" applyFill="1" applyBorder="1" applyAlignment="1" applyProtection="1">
      <alignment vertical="center"/>
      <protection locked="0"/>
    </xf>
    <xf numFmtId="4" fontId="24" fillId="10" borderId="52" xfId="0" applyNumberFormat="1" applyFont="1" applyFill="1" applyBorder="1" applyAlignment="1" applyProtection="1">
      <alignment horizontal="right" vertical="center"/>
      <protection locked="0"/>
    </xf>
    <xf numFmtId="4" fontId="24" fillId="10" borderId="6" xfId="0" applyNumberFormat="1" applyFont="1" applyFill="1" applyBorder="1" applyAlignment="1" applyProtection="1">
      <alignment horizontal="right" vertical="center"/>
      <protection locked="0"/>
    </xf>
    <xf numFmtId="4" fontId="24" fillId="10" borderId="47" xfId="0" applyNumberFormat="1" applyFont="1" applyFill="1" applyBorder="1" applyAlignment="1" applyProtection="1">
      <alignment vertical="center"/>
      <protection locked="0"/>
    </xf>
    <xf numFmtId="4" fontId="27" fillId="10" borderId="4" xfId="0" applyNumberFormat="1" applyFont="1" applyFill="1" applyBorder="1" applyAlignment="1" applyProtection="1">
      <alignment vertical="center"/>
      <protection locked="0"/>
    </xf>
    <xf numFmtId="4" fontId="24" fillId="10" borderId="3" xfId="0" applyNumberFormat="1" applyFont="1" applyFill="1" applyBorder="1" applyAlignment="1" applyProtection="1">
      <alignment horizontal="center" vertical="center"/>
      <protection locked="0"/>
    </xf>
    <xf numFmtId="4" fontId="27" fillId="10" borderId="3" xfId="0" applyNumberFormat="1" applyFont="1" applyFill="1" applyBorder="1" applyAlignment="1" applyProtection="1">
      <alignment horizontal="center" vertical="center"/>
      <protection locked="0"/>
    </xf>
    <xf numFmtId="4" fontId="24" fillId="10" borderId="3" xfId="0" applyNumberFormat="1" applyFont="1" applyFill="1" applyBorder="1" applyAlignment="1" applyProtection="1">
      <alignment vertical="center"/>
      <protection locked="0"/>
    </xf>
    <xf numFmtId="166" fontId="24" fillId="10" borderId="4" xfId="0" applyNumberFormat="1" applyFont="1" applyFill="1" applyBorder="1" applyAlignment="1" applyProtection="1">
      <alignment vertical="center"/>
      <protection locked="0"/>
    </xf>
    <xf numFmtId="4" fontId="24" fillId="10" borderId="6" xfId="0" applyNumberFormat="1" applyFont="1" applyFill="1" applyBorder="1" applyAlignment="1" applyProtection="1">
      <alignment vertical="center"/>
      <protection locked="0"/>
    </xf>
    <xf numFmtId="41" fontId="27" fillId="10" borderId="4" xfId="0" applyNumberFormat="1" applyFont="1" applyFill="1" applyBorder="1" applyAlignment="1" applyProtection="1">
      <alignment horizontal="center" vertical="distributed"/>
      <protection locked="0"/>
    </xf>
    <xf numFmtId="41" fontId="67" fillId="10" borderId="48" xfId="0" applyNumberFormat="1" applyFont="1" applyFill="1" applyBorder="1" applyAlignment="1">
      <alignment vertical="distributed"/>
    </xf>
    <xf numFmtId="166" fontId="24" fillId="10" borderId="5" xfId="0" applyNumberFormat="1" applyFont="1" applyFill="1" applyBorder="1" applyAlignment="1" applyProtection="1">
      <alignment vertical="center"/>
      <protection locked="0"/>
    </xf>
    <xf numFmtId="41" fontId="27" fillId="10" borderId="0" xfId="0" applyNumberFormat="1" applyFont="1" applyFill="1" applyAlignment="1" applyProtection="1">
      <alignment horizontal="center" vertical="distributed"/>
      <protection locked="0"/>
    </xf>
    <xf numFmtId="41" fontId="67" fillId="10" borderId="46" xfId="0" applyNumberFormat="1" applyFont="1" applyFill="1" applyBorder="1" applyAlignment="1">
      <alignment vertical="distributed"/>
    </xf>
    <xf numFmtId="4" fontId="24" fillId="10" borderId="5" xfId="0" applyNumberFormat="1" applyFont="1" applyFill="1" applyBorder="1" applyAlignment="1" applyProtection="1">
      <alignment horizontal="right" vertical="center"/>
      <protection locked="0"/>
    </xf>
    <xf numFmtId="4" fontId="24" fillId="10" borderId="5" xfId="0" applyNumberFormat="1" applyFont="1" applyFill="1" applyBorder="1" applyAlignment="1" applyProtection="1">
      <alignment vertical="center"/>
      <protection locked="0"/>
    </xf>
    <xf numFmtId="10" fontId="74" fillId="10" borderId="4" xfId="2" applyNumberFormat="1" applyFont="1" applyFill="1" applyBorder="1" applyAlignment="1" applyProtection="1">
      <alignment vertical="center"/>
      <protection locked="0"/>
    </xf>
    <xf numFmtId="4" fontId="24" fillId="10" borderId="5" xfId="0" applyNumberFormat="1" applyFont="1" applyFill="1" applyBorder="1" applyAlignment="1" applyProtection="1">
      <alignment horizontal="center" vertical="center"/>
      <protection locked="0"/>
    </xf>
    <xf numFmtId="4" fontId="27" fillId="10" borderId="5" xfId="0" applyNumberFormat="1" applyFont="1" applyFill="1" applyBorder="1" applyAlignment="1" applyProtection="1">
      <alignment horizontal="center" vertical="center"/>
      <protection locked="0"/>
    </xf>
    <xf numFmtId="168" fontId="24" fillId="10" borderId="0" xfId="0" applyNumberFormat="1" applyFont="1" applyFill="1" applyAlignment="1" applyProtection="1">
      <alignment horizontal="left" vertical="center" indent="1"/>
      <protection locked="0"/>
    </xf>
    <xf numFmtId="4" fontId="24" fillId="10" borderId="6" xfId="0" applyNumberFormat="1" applyFont="1" applyFill="1" applyBorder="1" applyAlignment="1" applyProtection="1">
      <alignment horizontal="center" vertical="center"/>
      <protection locked="0"/>
    </xf>
    <xf numFmtId="4" fontId="27" fillId="10" borderId="6" xfId="0" applyNumberFormat="1" applyFont="1" applyFill="1" applyBorder="1" applyAlignment="1" applyProtection="1">
      <alignment horizontal="center" vertical="center"/>
      <protection locked="0"/>
    </xf>
    <xf numFmtId="4" fontId="24" fillId="10" borderId="63" xfId="0" applyNumberFormat="1" applyFont="1" applyFill="1" applyBorder="1" applyAlignment="1" applyProtection="1">
      <alignment horizontal="right" vertical="center"/>
      <protection locked="0"/>
    </xf>
    <xf numFmtId="4" fontId="24" fillId="10" borderId="44" xfId="0" applyNumberFormat="1" applyFont="1" applyFill="1" applyBorder="1" applyAlignment="1" applyProtection="1">
      <alignment vertical="center"/>
      <protection locked="0"/>
    </xf>
    <xf numFmtId="4" fontId="24" fillId="10" borderId="0" xfId="0" applyNumberFormat="1" applyFont="1" applyFill="1" applyAlignment="1">
      <alignment vertical="center"/>
    </xf>
    <xf numFmtId="4" fontId="24" fillId="10" borderId="3" xfId="0" applyNumberFormat="1" applyFont="1" applyFill="1" applyBorder="1" applyAlignment="1">
      <alignment vertical="center"/>
    </xf>
    <xf numFmtId="41" fontId="24" fillId="10" borderId="4" xfId="0" applyNumberFormat="1" applyFont="1" applyFill="1" applyBorder="1" applyAlignment="1" applyProtection="1">
      <alignment horizontal="center" vertical="distributed"/>
      <protection locked="0"/>
    </xf>
    <xf numFmtId="169" fontId="24" fillId="10" borderId="0" xfId="2" applyNumberFormat="1" applyFont="1" applyFill="1" applyBorder="1" applyAlignment="1" applyProtection="1">
      <alignment vertical="center"/>
      <protection locked="0"/>
    </xf>
    <xf numFmtId="0" fontId="63" fillId="10" borderId="0" xfId="0" applyFont="1" applyFill="1" applyAlignment="1" applyProtection="1">
      <alignment vertical="center"/>
      <protection locked="0"/>
    </xf>
    <xf numFmtId="0" fontId="37" fillId="10" borderId="51" xfId="0" applyFont="1" applyFill="1" applyBorder="1" applyAlignment="1" applyProtection="1">
      <alignment vertical="center"/>
      <protection locked="0"/>
    </xf>
    <xf numFmtId="0" fontId="37" fillId="10" borderId="0" xfId="0" applyFont="1" applyFill="1" applyAlignment="1" applyProtection="1">
      <alignment vertical="center"/>
      <protection locked="0"/>
    </xf>
    <xf numFmtId="0" fontId="37" fillId="10" borderId="46" xfId="0" applyFont="1" applyFill="1" applyBorder="1" applyAlignment="1">
      <alignment vertical="center"/>
    </xf>
    <xf numFmtId="4" fontId="26" fillId="10" borderId="0" xfId="0" applyNumberFormat="1" applyFont="1" applyFill="1" applyAlignment="1">
      <alignment horizontal="center" vertical="center"/>
    </xf>
    <xf numFmtId="4" fontId="27" fillId="10" borderId="0" xfId="0" applyNumberFormat="1" applyFont="1" applyFill="1" applyAlignment="1">
      <alignment vertical="center"/>
    </xf>
    <xf numFmtId="4" fontId="27" fillId="10" borderId="46" xfId="0" applyNumberFormat="1" applyFont="1" applyFill="1" applyBorder="1" applyAlignment="1">
      <alignment vertical="center"/>
    </xf>
    <xf numFmtId="0" fontId="24" fillId="10" borderId="4" xfId="0" applyFont="1" applyFill="1" applyBorder="1" applyAlignment="1" applyProtection="1">
      <alignment horizontal="left" vertical="distributed"/>
      <protection locked="0"/>
    </xf>
    <xf numFmtId="0" fontId="26" fillId="10" borderId="0" xfId="0" applyFont="1" applyFill="1" applyAlignment="1" applyProtection="1">
      <alignment vertical="distributed"/>
      <protection locked="0"/>
    </xf>
    <xf numFmtId="0" fontId="63" fillId="10" borderId="5" xfId="0" applyFont="1" applyFill="1" applyBorder="1" applyAlignment="1" applyProtection="1">
      <alignment horizontal="center" vertical="distributed"/>
      <protection locked="0"/>
    </xf>
    <xf numFmtId="4" fontId="27" fillId="10" borderId="5" xfId="0" applyNumberFormat="1" applyFont="1" applyFill="1" applyBorder="1" applyAlignment="1" applyProtection="1">
      <alignment horizontal="center" vertical="distributed"/>
      <protection locked="0"/>
    </xf>
    <xf numFmtId="4" fontId="27" fillId="10" borderId="6" xfId="0" applyNumberFormat="1" applyFont="1" applyFill="1" applyBorder="1" applyAlignment="1" applyProtection="1">
      <alignment horizontal="center" vertical="distributed"/>
      <protection locked="0"/>
    </xf>
    <xf numFmtId="4" fontId="27" fillId="10" borderId="4" xfId="0" applyNumberFormat="1" applyFont="1" applyFill="1" applyBorder="1" applyAlignment="1" applyProtection="1">
      <alignment horizontal="center" vertical="distributed"/>
      <protection locked="0"/>
    </xf>
    <xf numFmtId="4" fontId="24" fillId="10" borderId="4" xfId="0" applyNumberFormat="1" applyFont="1" applyFill="1" applyBorder="1" applyAlignment="1">
      <alignment vertical="distributed"/>
    </xf>
    <xf numFmtId="4" fontId="24" fillId="10" borderId="6" xfId="0" applyNumberFormat="1" applyFont="1" applyFill="1" applyBorder="1" applyAlignment="1">
      <alignment vertical="distributed"/>
    </xf>
    <xf numFmtId="41" fontId="27" fillId="10" borderId="6" xfId="0" applyNumberFormat="1" applyFont="1" applyFill="1" applyBorder="1" applyAlignment="1" applyProtection="1">
      <alignment horizontal="center" vertical="distributed"/>
      <protection locked="0"/>
    </xf>
    <xf numFmtId="4" fontId="27" fillId="10" borderId="0" xfId="0" applyNumberFormat="1" applyFont="1" applyFill="1" applyAlignment="1" applyProtection="1">
      <alignment horizontal="center" vertical="distributed"/>
      <protection locked="0"/>
    </xf>
    <xf numFmtId="4" fontId="101" fillId="10" borderId="0" xfId="0" applyNumberFormat="1" applyFont="1" applyFill="1" applyAlignment="1">
      <alignment horizontal="center" vertical="center"/>
    </xf>
    <xf numFmtId="4" fontId="102" fillId="10" borderId="0" xfId="0" applyNumberFormat="1" applyFont="1" applyFill="1" applyAlignment="1">
      <alignment vertical="distributed"/>
    </xf>
    <xf numFmtId="0" fontId="103" fillId="10" borderId="0" xfId="0" applyFont="1" applyFill="1" applyAlignment="1">
      <alignment vertical="center"/>
    </xf>
    <xf numFmtId="174" fontId="24" fillId="10" borderId="5" xfId="0" applyNumberFormat="1" applyFont="1" applyFill="1" applyBorder="1" applyAlignment="1" applyProtection="1">
      <alignment vertical="center"/>
      <protection locked="0"/>
    </xf>
    <xf numFmtId="4" fontId="24" fillId="10" borderId="4" xfId="0" applyNumberFormat="1" applyFont="1" applyFill="1" applyBorder="1" applyAlignment="1">
      <alignment vertical="center"/>
    </xf>
    <xf numFmtId="174" fontId="24" fillId="10" borderId="4" xfId="0" applyNumberFormat="1" applyFont="1" applyFill="1" applyBorder="1" applyAlignment="1">
      <alignment vertical="distributed"/>
    </xf>
    <xf numFmtId="174" fontId="24" fillId="10" borderId="6" xfId="0" applyNumberFormat="1" applyFont="1" applyFill="1" applyBorder="1" applyAlignment="1" applyProtection="1">
      <alignment vertical="center"/>
      <protection locked="0"/>
    </xf>
    <xf numFmtId="0" fontId="62" fillId="10" borderId="0" xfId="11" applyFont="1" applyFill="1" applyAlignment="1" applyProtection="1">
      <alignment horizontal="left" vertical="center"/>
      <protection locked="0"/>
    </xf>
    <xf numFmtId="0" fontId="62" fillId="10" borderId="0" xfId="11" applyFont="1" applyFill="1" applyAlignment="1" applyProtection="1">
      <alignment vertical="center"/>
      <protection locked="0"/>
    </xf>
    <xf numFmtId="0" fontId="80" fillId="10" borderId="82" xfId="0" applyFont="1" applyFill="1" applyBorder="1" applyAlignment="1" applyProtection="1">
      <alignment vertical="center"/>
      <protection locked="0"/>
    </xf>
    <xf numFmtId="0" fontId="80" fillId="10" borderId="85" xfId="0" applyFont="1" applyFill="1" applyBorder="1" applyAlignment="1" applyProtection="1">
      <alignment vertical="center"/>
      <protection locked="0"/>
    </xf>
    <xf numFmtId="4" fontId="80" fillId="10" borderId="132" xfId="0" applyNumberFormat="1" applyFont="1" applyFill="1" applyBorder="1" applyAlignment="1">
      <alignment horizontal="right" vertical="center" indent="1"/>
    </xf>
    <xf numFmtId="4" fontId="80" fillId="10" borderId="133" xfId="0" applyNumberFormat="1" applyFont="1" applyFill="1" applyBorder="1" applyAlignment="1">
      <alignment horizontal="right" vertical="center" indent="1"/>
    </xf>
    <xf numFmtId="0" fontId="80" fillId="10" borderId="0" xfId="0" applyFont="1" applyFill="1" applyAlignment="1" applyProtection="1">
      <alignment vertical="center"/>
      <protection locked="0"/>
    </xf>
    <xf numFmtId="4" fontId="80" fillId="10" borderId="0" xfId="0" applyNumberFormat="1" applyFont="1" applyFill="1" applyAlignment="1" applyProtection="1">
      <alignment vertical="center"/>
      <protection locked="0"/>
    </xf>
    <xf numFmtId="0" fontId="80" fillId="10" borderId="0" xfId="0" applyFont="1" applyFill="1" applyProtection="1">
      <protection locked="0"/>
    </xf>
    <xf numFmtId="0" fontId="25" fillId="10" borderId="0" xfId="0" applyFont="1" applyFill="1" applyAlignment="1" applyProtection="1">
      <alignment horizontal="left" vertical="center"/>
      <protection locked="0"/>
    </xf>
    <xf numFmtId="0" fontId="12" fillId="10" borderId="0" xfId="6" applyFont="1" applyFill="1"/>
    <xf numFmtId="0" fontId="10" fillId="10" borderId="0" xfId="6" applyFont="1" applyFill="1"/>
    <xf numFmtId="2" fontId="44" fillId="10" borderId="0" xfId="6" applyNumberFormat="1" applyFont="1" applyFill="1" applyAlignment="1">
      <alignment horizontal="right"/>
    </xf>
    <xf numFmtId="2" fontId="44" fillId="10" borderId="0" xfId="6" applyNumberFormat="1" applyFont="1" applyFill="1"/>
    <xf numFmtId="0" fontId="44" fillId="10" borderId="0" xfId="6" applyFont="1" applyFill="1"/>
    <xf numFmtId="2" fontId="28" fillId="10" borderId="0" xfId="6" applyNumberFormat="1" applyFont="1" applyFill="1"/>
    <xf numFmtId="0" fontId="7" fillId="10" borderId="0" xfId="6" applyFont="1" applyFill="1"/>
    <xf numFmtId="3" fontId="24" fillId="10" borderId="0" xfId="6" applyNumberFormat="1" applyFont="1" applyFill="1"/>
    <xf numFmtId="10" fontId="24" fillId="10" borderId="0" xfId="2" applyNumberFormat="1" applyFont="1" applyFill="1" applyBorder="1" applyProtection="1"/>
    <xf numFmtId="0" fontId="8" fillId="10" borderId="0" xfId="6" applyFont="1" applyFill="1"/>
    <xf numFmtId="166" fontId="18" fillId="10" borderId="0" xfId="4" applyNumberFormat="1" applyFont="1" applyFill="1" applyAlignment="1" applyProtection="1">
      <alignment horizontal="center" vertical="center"/>
      <protection locked="0"/>
    </xf>
    <xf numFmtId="166" fontId="18" fillId="10" borderId="0" xfId="4" applyNumberFormat="1" applyFont="1" applyFill="1" applyAlignment="1" applyProtection="1">
      <alignment horizontal="right" vertical="center"/>
      <protection locked="0"/>
    </xf>
    <xf numFmtId="166" fontId="18" fillId="10" borderId="0" xfId="4" applyNumberFormat="1" applyFont="1" applyFill="1" applyAlignment="1" applyProtection="1">
      <alignment vertical="center"/>
      <protection locked="0"/>
    </xf>
    <xf numFmtId="0" fontId="18" fillId="10" borderId="0" xfId="4" applyFont="1" applyFill="1" applyAlignment="1" applyProtection="1">
      <alignment vertical="center"/>
      <protection locked="0"/>
    </xf>
    <xf numFmtId="0" fontId="77" fillId="10" borderId="0" xfId="0" applyFont="1" applyFill="1" applyAlignment="1" applyProtection="1">
      <alignment horizontal="left" vertical="center"/>
      <protection locked="0"/>
    </xf>
    <xf numFmtId="166" fontId="19" fillId="10" borderId="0" xfId="4" applyNumberFormat="1" applyFont="1" applyFill="1" applyAlignment="1" applyProtection="1">
      <alignment horizontal="center" vertical="center"/>
      <protection locked="0"/>
    </xf>
    <xf numFmtId="170" fontId="24" fillId="10" borderId="0" xfId="4" applyNumberFormat="1" applyFont="1" applyFill="1" applyAlignment="1" applyProtection="1">
      <alignment horizontal="center" vertical="center"/>
      <protection locked="0"/>
    </xf>
    <xf numFmtId="166" fontId="10" fillId="10" borderId="0" xfId="4" applyNumberFormat="1" applyFont="1" applyFill="1" applyAlignment="1" applyProtection="1">
      <alignment vertical="center"/>
      <protection locked="0"/>
    </xf>
    <xf numFmtId="0" fontId="10" fillId="10" borderId="0" xfId="4" applyFont="1" applyFill="1" applyAlignment="1" applyProtection="1">
      <alignment vertical="center"/>
      <protection locked="0"/>
    </xf>
    <xf numFmtId="166" fontId="10" fillId="10" borderId="0" xfId="4" applyNumberFormat="1" applyFont="1" applyFill="1" applyAlignment="1" applyProtection="1">
      <alignment horizontal="right" vertical="center"/>
      <protection locked="0"/>
    </xf>
    <xf numFmtId="0" fontId="24" fillId="10" borderId="0" xfId="4" applyFont="1" applyFill="1" applyAlignment="1" applyProtection="1">
      <alignment horizontal="left" vertical="center"/>
      <protection locked="0"/>
    </xf>
    <xf numFmtId="170" fontId="10" fillId="10" borderId="0" xfId="4" applyNumberFormat="1" applyFont="1" applyFill="1" applyAlignment="1">
      <alignment vertical="center"/>
    </xf>
    <xf numFmtId="0" fontId="56" fillId="10" borderId="0" xfId="4" applyFont="1" applyFill="1" applyAlignment="1" applyProtection="1">
      <alignment horizontal="left" vertical="center"/>
      <protection locked="0"/>
    </xf>
    <xf numFmtId="170" fontId="56" fillId="10" borderId="0" xfId="4" applyNumberFormat="1" applyFont="1" applyFill="1" applyAlignment="1">
      <alignment vertical="center"/>
    </xf>
    <xf numFmtId="0" fontId="45" fillId="10" borderId="0" xfId="4" applyFont="1" applyFill="1" applyAlignment="1" applyProtection="1">
      <alignment horizontal="left" vertical="center"/>
      <protection locked="0"/>
    </xf>
    <xf numFmtId="0" fontId="27" fillId="10" borderId="0" xfId="4" applyFont="1" applyFill="1" applyAlignment="1" applyProtection="1">
      <alignment horizontal="left" vertical="center"/>
      <protection locked="0"/>
    </xf>
    <xf numFmtId="0" fontId="27" fillId="10" borderId="0" xfId="4" applyFont="1" applyFill="1" applyAlignment="1" applyProtection="1">
      <alignment horizontal="left" vertical="center" indent="1"/>
      <protection locked="0"/>
    </xf>
    <xf numFmtId="0" fontId="27" fillId="10" borderId="0" xfId="4" applyFont="1" applyFill="1" applyAlignment="1" applyProtection="1">
      <alignment vertical="center" wrapText="1"/>
      <protection locked="0"/>
    </xf>
    <xf numFmtId="0" fontId="24" fillId="10" borderId="0" xfId="4" applyFont="1" applyFill="1" applyAlignment="1" applyProtection="1">
      <alignment vertical="center"/>
      <protection locked="0"/>
    </xf>
    <xf numFmtId="166" fontId="10" fillId="10" borderId="0" xfId="4" applyNumberFormat="1" applyFont="1" applyFill="1" applyAlignment="1" applyProtection="1">
      <alignment horizontal="center" vertical="center"/>
      <protection locked="0"/>
    </xf>
    <xf numFmtId="0" fontId="76" fillId="10" borderId="0" xfId="0" applyFont="1" applyFill="1" applyAlignment="1">
      <alignment horizontal="left" vertical="center"/>
    </xf>
    <xf numFmtId="170" fontId="24" fillId="10" borderId="0" xfId="4" applyNumberFormat="1" applyFont="1" applyFill="1" applyAlignment="1">
      <alignment horizontal="center" vertical="center"/>
    </xf>
    <xf numFmtId="9" fontId="24" fillId="10" borderId="0" xfId="2" applyFont="1" applyFill="1" applyAlignment="1" applyProtection="1">
      <alignment horizontal="center"/>
    </xf>
    <xf numFmtId="169" fontId="27" fillId="10" borderId="0" xfId="2" applyNumberFormat="1" applyFont="1" applyFill="1" applyAlignment="1" applyProtection="1"/>
    <xf numFmtId="169" fontId="11" fillId="10" borderId="0" xfId="4" applyNumberFormat="1" applyFont="1" applyFill="1" applyAlignment="1" applyProtection="1">
      <alignment horizontal="right" vertical="center"/>
      <protection locked="0"/>
    </xf>
    <xf numFmtId="0" fontId="47" fillId="10" borderId="0" xfId="0" applyFont="1" applyFill="1" applyAlignment="1" applyProtection="1">
      <alignment horizontal="right" vertical="center" indent="1"/>
      <protection hidden="1"/>
    </xf>
    <xf numFmtId="168" fontId="23" fillId="10" borderId="0" xfId="0" applyNumberFormat="1" applyFont="1" applyFill="1" applyAlignment="1" applyProtection="1">
      <alignment horizontal="left" vertical="center"/>
      <protection hidden="1"/>
    </xf>
    <xf numFmtId="0" fontId="0" fillId="10" borderId="22" xfId="0" applyFill="1" applyBorder="1"/>
    <xf numFmtId="0" fontId="23" fillId="10" borderId="55" xfId="0" applyFont="1" applyFill="1" applyBorder="1" applyAlignment="1" applyProtection="1">
      <alignment vertical="center"/>
      <protection locked="0"/>
    </xf>
    <xf numFmtId="0" fontId="0" fillId="10" borderId="0" xfId="0" applyFill="1"/>
    <xf numFmtId="4" fontId="23" fillId="10" borderId="9" xfId="0" applyNumberFormat="1" applyFont="1" applyFill="1" applyBorder="1" applyAlignment="1">
      <alignment vertical="center"/>
    </xf>
    <xf numFmtId="0" fontId="0" fillId="10" borderId="14" xfId="0" applyFill="1" applyBorder="1"/>
    <xf numFmtId="0" fontId="24" fillId="10" borderId="0" xfId="0" applyFont="1" applyFill="1" applyAlignment="1" applyProtection="1">
      <alignment horizontal="left" vertical="center" wrapText="1"/>
      <protection locked="0"/>
    </xf>
    <xf numFmtId="0" fontId="43" fillId="10" borderId="0" xfId="0" applyFont="1" applyFill="1" applyAlignment="1">
      <alignment horizontal="left"/>
    </xf>
    <xf numFmtId="0" fontId="28" fillId="10" borderId="0" xfId="0" applyFont="1" applyFill="1" applyAlignment="1" applyProtection="1">
      <alignment horizontal="center" vertical="center"/>
      <protection locked="0"/>
    </xf>
    <xf numFmtId="0" fontId="27" fillId="10" borderId="8" xfId="0" applyFont="1" applyFill="1" applyBorder="1" applyAlignment="1" applyProtection="1">
      <alignment horizontal="center" vertical="center"/>
      <protection locked="0"/>
    </xf>
    <xf numFmtId="0" fontId="27" fillId="10" borderId="10" xfId="0" applyFont="1" applyFill="1" applyBorder="1" applyAlignment="1" applyProtection="1">
      <alignment horizontal="center" vertical="center"/>
      <protection locked="0"/>
    </xf>
    <xf numFmtId="4" fontId="23" fillId="10" borderId="12" xfId="0" applyNumberFormat="1" applyFont="1" applyFill="1" applyBorder="1" applyAlignment="1">
      <alignment vertical="center"/>
    </xf>
    <xf numFmtId="4" fontId="24" fillId="10" borderId="9" xfId="0" applyNumberFormat="1" applyFont="1" applyFill="1" applyBorder="1" applyAlignment="1">
      <alignment vertical="center"/>
    </xf>
    <xf numFmtId="4" fontId="23" fillId="10" borderId="0" xfId="0" applyNumberFormat="1" applyFont="1" applyFill="1" applyAlignment="1">
      <alignment vertical="center"/>
    </xf>
    <xf numFmtId="3" fontId="40" fillId="10" borderId="0" xfId="0" applyNumberFormat="1" applyFont="1" applyFill="1"/>
    <xf numFmtId="0" fontId="40" fillId="10" borderId="0" xfId="0" applyFont="1" applyFill="1"/>
    <xf numFmtId="4" fontId="40" fillId="10" borderId="0" xfId="0" applyNumberFormat="1" applyFont="1" applyFill="1"/>
    <xf numFmtId="0" fontId="38" fillId="10" borderId="0" xfId="0" applyFont="1" applyFill="1"/>
    <xf numFmtId="3" fontId="28" fillId="10" borderId="21" xfId="0" applyNumberFormat="1" applyFont="1" applyFill="1" applyBorder="1" applyAlignment="1" applyProtection="1">
      <alignment horizontal="center" vertical="center"/>
      <protection locked="0"/>
    </xf>
    <xf numFmtId="4" fontId="28" fillId="10" borderId="0" xfId="0" applyNumberFormat="1" applyFont="1" applyFill="1" applyAlignment="1" applyProtection="1">
      <alignment vertical="center"/>
      <protection locked="0"/>
    </xf>
    <xf numFmtId="3" fontId="28" fillId="10" borderId="22" xfId="0" applyNumberFormat="1" applyFont="1" applyFill="1" applyBorder="1" applyAlignment="1" applyProtection="1">
      <alignment horizontal="center" vertical="center"/>
      <protection locked="0"/>
    </xf>
    <xf numFmtId="0" fontId="28" fillId="10" borderId="22" xfId="0" applyFont="1" applyFill="1" applyBorder="1" applyAlignment="1" applyProtection="1">
      <alignment horizontal="center" vertical="center"/>
      <protection locked="0"/>
    </xf>
    <xf numFmtId="4" fontId="28" fillId="10" borderId="22" xfId="0" applyNumberFormat="1" applyFont="1" applyFill="1" applyBorder="1" applyAlignment="1" applyProtection="1">
      <alignment horizontal="center" vertical="center"/>
      <protection locked="0"/>
    </xf>
    <xf numFmtId="3" fontId="24" fillId="10" borderId="9" xfId="0" applyNumberFormat="1" applyFont="1" applyFill="1" applyBorder="1" applyAlignment="1">
      <alignment vertical="center"/>
    </xf>
    <xf numFmtId="169" fontId="23" fillId="10" borderId="0" xfId="2" applyNumberFormat="1" applyFont="1" applyFill="1" applyAlignment="1">
      <alignment vertical="center"/>
    </xf>
    <xf numFmtId="3" fontId="0" fillId="10" borderId="0" xfId="0" applyNumberFormat="1" applyFill="1"/>
    <xf numFmtId="3" fontId="24" fillId="10" borderId="7" xfId="0" applyNumberFormat="1" applyFont="1" applyFill="1" applyBorder="1" applyAlignment="1">
      <alignment vertical="center"/>
    </xf>
    <xf numFmtId="0" fontId="46" fillId="10" borderId="0" xfId="0" applyFont="1" applyFill="1"/>
    <xf numFmtId="2" fontId="46" fillId="10" borderId="0" xfId="0" applyNumberFormat="1" applyFont="1" applyFill="1"/>
    <xf numFmtId="0" fontId="28" fillId="10" borderId="21" xfId="0" applyFont="1" applyFill="1" applyBorder="1" applyAlignment="1" applyProtection="1">
      <alignment horizontal="center" vertical="center"/>
      <protection locked="0"/>
    </xf>
    <xf numFmtId="0" fontId="27" fillId="10" borderId="39" xfId="0" applyFont="1" applyFill="1" applyBorder="1" applyAlignment="1" applyProtection="1">
      <alignment horizontal="center" vertical="center"/>
      <protection locked="0"/>
    </xf>
    <xf numFmtId="0" fontId="40" fillId="10" borderId="0" xfId="0" applyFont="1" applyFill="1" applyAlignment="1">
      <alignment horizontal="center"/>
    </xf>
    <xf numFmtId="4" fontId="24" fillId="10" borderId="28" xfId="1" applyFont="1" applyFill="1" applyBorder="1"/>
    <xf numFmtId="4" fontId="24" fillId="10" borderId="0" xfId="1" applyFont="1" applyFill="1" applyBorder="1"/>
    <xf numFmtId="4" fontId="24" fillId="10" borderId="9" xfId="1" applyFont="1" applyFill="1" applyBorder="1"/>
    <xf numFmtId="4" fontId="24" fillId="10" borderId="7" xfId="1" applyFont="1" applyFill="1" applyBorder="1"/>
    <xf numFmtId="2" fontId="24" fillId="10" borderId="9" xfId="0" applyNumberFormat="1" applyFont="1" applyFill="1" applyBorder="1"/>
    <xf numFmtId="2" fontId="24" fillId="10" borderId="7" xfId="0" applyNumberFormat="1" applyFont="1" applyFill="1" applyBorder="1"/>
    <xf numFmtId="0" fontId="23" fillId="10" borderId="55" xfId="0" applyFont="1" applyFill="1" applyBorder="1" applyAlignment="1">
      <alignment vertical="center"/>
    </xf>
    <xf numFmtId="0" fontId="24" fillId="10" borderId="13" xfId="0" applyFont="1" applyFill="1" applyBorder="1" applyAlignment="1">
      <alignment horizontal="left" vertical="center" wrapText="1"/>
    </xf>
    <xf numFmtId="0" fontId="26" fillId="10" borderId="67" xfId="0" applyFont="1" applyFill="1" applyBorder="1" applyAlignment="1">
      <alignment horizontal="left" vertical="center" wrapText="1"/>
    </xf>
    <xf numFmtId="0" fontId="24" fillId="10" borderId="0" xfId="0" applyFont="1" applyFill="1" applyAlignment="1">
      <alignment horizontal="left" vertical="center" wrapText="1"/>
    </xf>
    <xf numFmtId="0" fontId="23" fillId="10" borderId="0" xfId="0" applyFont="1" applyFill="1" applyAlignment="1">
      <alignment horizontal="left" vertical="center" wrapText="1"/>
    </xf>
    <xf numFmtId="0" fontId="26" fillId="10" borderId="0" xfId="0" applyFont="1" applyFill="1" applyAlignment="1">
      <alignment horizontal="left" vertical="center" wrapText="1"/>
    </xf>
    <xf numFmtId="41" fontId="27" fillId="10" borderId="4" xfId="0" applyNumberFormat="1" applyFont="1" applyFill="1" applyBorder="1" applyAlignment="1">
      <alignment horizontal="center" vertical="distributed"/>
    </xf>
    <xf numFmtId="4" fontId="24" fillId="10" borderId="0" xfId="0" applyNumberFormat="1" applyFont="1" applyFill="1" applyAlignment="1">
      <alignment horizontal="center" vertical="center"/>
    </xf>
    <xf numFmtId="4" fontId="24" fillId="10" borderId="4" xfId="0" applyNumberFormat="1" applyFont="1" applyFill="1" applyBorder="1" applyAlignment="1">
      <alignment horizontal="center" vertical="center"/>
    </xf>
    <xf numFmtId="4" fontId="27" fillId="10" borderId="4" xfId="0" applyNumberFormat="1" applyFont="1" applyFill="1" applyBorder="1" applyAlignment="1">
      <alignment horizontal="center" vertical="center"/>
    </xf>
    <xf numFmtId="1" fontId="39" fillId="10" borderId="0" xfId="0" applyNumberFormat="1" applyFont="1" applyFill="1" applyAlignment="1" applyProtection="1">
      <alignment horizontal="right" vertical="center" wrapText="1" shrinkToFit="1"/>
      <protection locked="0"/>
    </xf>
    <xf numFmtId="4" fontId="24" fillId="12" borderId="4" xfId="0" applyNumberFormat="1" applyFont="1" applyFill="1" applyBorder="1" applyAlignment="1" applyProtection="1">
      <alignment vertical="center"/>
      <protection locked="0"/>
    </xf>
    <xf numFmtId="173" fontId="59" fillId="10" borderId="0" xfId="0" applyNumberFormat="1" applyFont="1" applyFill="1" applyAlignment="1" applyProtection="1">
      <alignment horizontal="right" vertical="center"/>
      <protection locked="0"/>
    </xf>
    <xf numFmtId="168" fontId="24" fillId="10" borderId="0" xfId="0" applyNumberFormat="1" applyFont="1" applyFill="1" applyAlignment="1">
      <alignment vertical="center"/>
    </xf>
    <xf numFmtId="168" fontId="23" fillId="10" borderId="0" xfId="0" applyNumberFormat="1" applyFont="1" applyFill="1" applyAlignment="1">
      <alignment vertical="center"/>
    </xf>
    <xf numFmtId="174" fontId="59" fillId="10" borderId="88" xfId="0" applyNumberFormat="1" applyFont="1" applyFill="1" applyBorder="1" applyAlignment="1" applyProtection="1">
      <alignment horizontal="right" vertical="center"/>
      <protection locked="0"/>
    </xf>
    <xf numFmtId="174" fontId="59" fillId="10" borderId="0" xfId="0" applyNumberFormat="1" applyFont="1" applyFill="1" applyAlignment="1" applyProtection="1">
      <alignment horizontal="right" vertical="center"/>
      <protection locked="0"/>
    </xf>
    <xf numFmtId="174" fontId="108" fillId="0" borderId="0" xfId="0" applyNumberFormat="1" applyFont="1" applyAlignment="1" applyProtection="1">
      <alignment horizontal="center" vertical="center"/>
      <protection locked="0"/>
    </xf>
    <xf numFmtId="174" fontId="26" fillId="10" borderId="0" xfId="0" applyNumberFormat="1" applyFont="1" applyFill="1" applyAlignment="1" applyProtection="1">
      <alignment horizontal="center" vertical="center" wrapText="1"/>
      <protection locked="0"/>
    </xf>
    <xf numFmtId="174" fontId="26" fillId="10" borderId="0" xfId="0" applyNumberFormat="1" applyFont="1" applyFill="1" applyAlignment="1" applyProtection="1">
      <alignment horizontal="right" vertical="center"/>
      <protection locked="0"/>
    </xf>
    <xf numFmtId="174" fontId="26" fillId="10" borderId="0" xfId="0" quotePrefix="1" applyNumberFormat="1" applyFont="1" applyFill="1" applyAlignment="1" applyProtection="1">
      <alignment horizontal="center" vertical="center"/>
      <protection locked="0"/>
    </xf>
    <xf numFmtId="174" fontId="26" fillId="10" borderId="89" xfId="0" applyNumberFormat="1" applyFont="1" applyFill="1" applyBorder="1" applyAlignment="1" applyProtection="1">
      <alignment vertical="center"/>
      <protection locked="0"/>
    </xf>
    <xf numFmtId="174" fontId="24" fillId="4" borderId="4" xfId="0" applyNumberFormat="1" applyFont="1" applyFill="1" applyBorder="1" applyAlignment="1" applyProtection="1">
      <alignment vertical="center"/>
      <protection locked="0"/>
    </xf>
    <xf numFmtId="174" fontId="109" fillId="0" borderId="143" xfId="0" applyNumberFormat="1" applyFont="1" applyBorder="1" applyAlignment="1" applyProtection="1">
      <alignment vertical="center"/>
      <protection locked="0"/>
    </xf>
    <xf numFmtId="174" fontId="24" fillId="4" borderId="146" xfId="0" applyNumberFormat="1" applyFont="1" applyFill="1" applyBorder="1" applyAlignment="1" applyProtection="1">
      <alignment vertical="center"/>
      <protection locked="0"/>
    </xf>
    <xf numFmtId="174" fontId="109" fillId="0" borderId="0" xfId="0" applyNumberFormat="1" applyFont="1" applyAlignment="1" applyProtection="1">
      <alignment vertical="center"/>
      <protection locked="0"/>
    </xf>
    <xf numFmtId="174" fontId="24" fillId="10" borderId="0" xfId="0" applyNumberFormat="1" applyFont="1" applyFill="1" applyAlignment="1" applyProtection="1">
      <alignment horizontal="right" vertical="center"/>
      <protection locked="0"/>
    </xf>
    <xf numFmtId="174" fontId="24" fillId="10" borderId="89" xfId="0" applyNumberFormat="1" applyFont="1" applyFill="1" applyBorder="1" applyAlignment="1" applyProtection="1">
      <alignment vertical="center"/>
      <protection locked="0"/>
    </xf>
    <xf numFmtId="174" fontId="24" fillId="3" borderId="64" xfId="0" applyNumberFormat="1" applyFont="1" applyFill="1" applyBorder="1" applyAlignment="1">
      <alignment vertical="center"/>
    </xf>
    <xf numFmtId="174" fontId="24" fillId="12" borderId="4" xfId="0" applyNumberFormat="1" applyFont="1" applyFill="1" applyBorder="1" applyAlignment="1" applyProtection="1">
      <alignment vertical="center"/>
      <protection locked="0"/>
    </xf>
    <xf numFmtId="174" fontId="37" fillId="10" borderId="0" xfId="0" applyNumberFormat="1" applyFont="1" applyFill="1" applyAlignment="1" applyProtection="1">
      <alignment vertical="center"/>
      <protection locked="0"/>
    </xf>
    <xf numFmtId="174" fontId="27" fillId="10" borderId="0" xfId="0" applyNumberFormat="1" applyFont="1" applyFill="1" applyAlignment="1" applyProtection="1">
      <alignment horizontal="center" vertical="center"/>
      <protection locked="0"/>
    </xf>
    <xf numFmtId="174" fontId="24" fillId="4" borderId="90" xfId="0" applyNumberFormat="1" applyFont="1" applyFill="1" applyBorder="1" applyAlignment="1" applyProtection="1">
      <alignment vertical="distributed"/>
      <protection locked="0"/>
    </xf>
    <xf numFmtId="174" fontId="24" fillId="10" borderId="4" xfId="0" applyNumberFormat="1" applyFont="1" applyFill="1" applyBorder="1" applyAlignment="1" applyProtection="1">
      <alignment horizontal="right" vertical="center"/>
      <protection locked="0"/>
    </xf>
    <xf numFmtId="174" fontId="24" fillId="4" borderId="90" xfId="0" applyNumberFormat="1" applyFont="1" applyFill="1" applyBorder="1" applyAlignment="1" applyProtection="1">
      <alignment vertical="center"/>
      <protection locked="0"/>
    </xf>
    <xf numFmtId="174" fontId="24" fillId="10" borderId="5" xfId="0" applyNumberFormat="1" applyFont="1" applyFill="1" applyBorder="1" applyAlignment="1" applyProtection="1">
      <alignment horizontal="right" vertical="center"/>
      <protection locked="0"/>
    </xf>
    <xf numFmtId="174" fontId="24" fillId="10" borderId="91" xfId="0" applyNumberFormat="1" applyFont="1" applyFill="1" applyBorder="1" applyAlignment="1" applyProtection="1">
      <alignment vertical="center"/>
      <protection locked="0"/>
    </xf>
    <xf numFmtId="174" fontId="26" fillId="4" borderId="89" xfId="0" applyNumberFormat="1" applyFont="1" applyFill="1" applyBorder="1" applyAlignment="1" applyProtection="1">
      <alignment vertical="center"/>
      <protection locked="0"/>
    </xf>
    <xf numFmtId="174" fontId="26" fillId="4" borderId="0" xfId="0" applyNumberFormat="1" applyFont="1" applyFill="1" applyAlignment="1" applyProtection="1">
      <alignment vertical="center"/>
      <protection locked="0"/>
    </xf>
    <xf numFmtId="174" fontId="26" fillId="4" borderId="92" xfId="0" applyNumberFormat="1" applyFont="1" applyFill="1" applyBorder="1" applyAlignment="1" applyProtection="1">
      <alignment vertical="center"/>
      <protection locked="0"/>
    </xf>
    <xf numFmtId="174" fontId="26" fillId="4" borderId="62" xfId="0" applyNumberFormat="1" applyFont="1" applyFill="1" applyBorder="1" applyAlignment="1" applyProtection="1">
      <alignment vertical="center"/>
      <protection locked="0"/>
    </xf>
    <xf numFmtId="174" fontId="24" fillId="10" borderId="6" xfId="0" applyNumberFormat="1" applyFont="1" applyFill="1" applyBorder="1" applyAlignment="1" applyProtection="1">
      <alignment horizontal="right" vertical="center"/>
      <protection locked="0"/>
    </xf>
    <xf numFmtId="174" fontId="24" fillId="10" borderId="115" xfId="0" applyNumberFormat="1" applyFont="1" applyFill="1" applyBorder="1" applyAlignment="1" applyProtection="1">
      <alignment vertical="center"/>
      <protection locked="0"/>
    </xf>
    <xf numFmtId="174" fontId="26" fillId="4" borderId="90" xfId="0" applyNumberFormat="1" applyFont="1" applyFill="1" applyBorder="1" applyAlignment="1" applyProtection="1">
      <alignment vertical="center"/>
      <protection locked="0"/>
    </xf>
    <xf numFmtId="174" fontId="26" fillId="4" borderId="4" xfId="0" applyNumberFormat="1" applyFont="1" applyFill="1" applyBorder="1" applyAlignment="1" applyProtection="1">
      <alignment vertical="center"/>
      <protection locked="0"/>
    </xf>
    <xf numFmtId="174" fontId="67" fillId="10" borderId="0" xfId="0" applyNumberFormat="1" applyFont="1" applyFill="1" applyAlignment="1">
      <alignment vertical="distributed"/>
    </xf>
    <xf numFmtId="174" fontId="24" fillId="4" borderId="89" xfId="0" applyNumberFormat="1" applyFont="1" applyFill="1" applyBorder="1" applyAlignment="1" applyProtection="1">
      <alignment vertical="center"/>
      <protection locked="0"/>
    </xf>
    <xf numFmtId="174" fontId="24" fillId="4" borderId="0" xfId="0" applyNumberFormat="1" applyFont="1" applyFill="1" applyAlignment="1" applyProtection="1">
      <alignment vertical="center"/>
      <protection locked="0"/>
    </xf>
    <xf numFmtId="174" fontId="24" fillId="0" borderId="0" xfId="0" applyNumberFormat="1" applyFont="1" applyAlignment="1" applyProtection="1">
      <alignment horizontal="right" vertical="center"/>
      <protection locked="0"/>
    </xf>
    <xf numFmtId="4" fontId="24" fillId="10" borderId="3" xfId="1" applyFont="1" applyFill="1" applyBorder="1" applyAlignment="1" applyProtection="1">
      <alignment vertical="center"/>
    </xf>
    <xf numFmtId="168" fontId="82" fillId="10" borderId="0" xfId="0" applyNumberFormat="1" applyFont="1" applyFill="1" applyAlignment="1" applyProtection="1">
      <alignment vertical="center"/>
      <protection locked="0"/>
    </xf>
    <xf numFmtId="0" fontId="24" fillId="10" borderId="0" xfId="0" applyFont="1" applyFill="1"/>
    <xf numFmtId="0" fontId="24" fillId="10" borderId="28" xfId="0" applyFont="1" applyFill="1" applyBorder="1"/>
    <xf numFmtId="0" fontId="24" fillId="10" borderId="10" xfId="0" applyFont="1" applyFill="1" applyBorder="1"/>
    <xf numFmtId="0" fontId="24" fillId="10" borderId="12" xfId="0" applyFont="1" applyFill="1" applyBorder="1"/>
    <xf numFmtId="0" fontId="23" fillId="10" borderId="0" xfId="0" applyFont="1" applyFill="1" applyAlignment="1">
      <alignment horizontal="center"/>
    </xf>
    <xf numFmtId="0" fontId="24" fillId="10" borderId="0" xfId="0" applyFont="1" applyFill="1" applyAlignment="1">
      <alignment horizontal="center"/>
    </xf>
    <xf numFmtId="4" fontId="28" fillId="10" borderId="16" xfId="0" applyNumberFormat="1" applyFont="1" applyFill="1" applyBorder="1" applyAlignment="1">
      <alignment horizontal="center" vertical="center"/>
    </xf>
    <xf numFmtId="0" fontId="28" fillId="10" borderId="22" xfId="0" applyFont="1" applyFill="1" applyBorder="1" applyAlignment="1">
      <alignment horizontal="center" vertical="center"/>
    </xf>
    <xf numFmtId="4" fontId="28" fillId="10" borderId="22" xfId="0" applyNumberFormat="1" applyFont="1" applyFill="1" applyBorder="1" applyAlignment="1">
      <alignment horizontal="center" vertical="center"/>
    </xf>
    <xf numFmtId="0" fontId="28" fillId="10" borderId="79" xfId="0" applyFont="1" applyFill="1" applyBorder="1" applyAlignment="1">
      <alignment horizontal="center" vertical="center"/>
    </xf>
    <xf numFmtId="0" fontId="24" fillId="10" borderId="4" xfId="0" applyFont="1" applyFill="1" applyBorder="1"/>
    <xf numFmtId="4" fontId="23" fillId="10" borderId="4" xfId="0" applyNumberFormat="1" applyFont="1" applyFill="1" applyBorder="1"/>
    <xf numFmtId="4" fontId="23" fillId="10" borderId="7" xfId="0" applyNumberFormat="1" applyFont="1" applyFill="1" applyBorder="1" applyAlignment="1">
      <alignment vertical="center"/>
    </xf>
    <xf numFmtId="0" fontId="24" fillId="10" borderId="5" xfId="0" applyFont="1" applyFill="1" applyBorder="1"/>
    <xf numFmtId="1" fontId="24" fillId="10" borderId="0" xfId="0" applyNumberFormat="1" applyFont="1" applyFill="1"/>
    <xf numFmtId="4" fontId="24" fillId="10" borderId="0" xfId="0" applyNumberFormat="1" applyFont="1" applyFill="1"/>
    <xf numFmtId="4" fontId="23" fillId="10" borderId="5" xfId="0" applyNumberFormat="1" applyFont="1" applyFill="1" applyBorder="1"/>
    <xf numFmtId="0" fontId="24" fillId="10" borderId="30" xfId="0" applyFont="1" applyFill="1" applyBorder="1"/>
    <xf numFmtId="0" fontId="24" fillId="10" borderId="29" xfId="0" applyFont="1" applyFill="1" applyBorder="1"/>
    <xf numFmtId="0" fontId="24" fillId="10" borderId="7" xfId="0" applyFont="1" applyFill="1" applyBorder="1"/>
    <xf numFmtId="1" fontId="24" fillId="10" borderId="0" xfId="0" applyNumberFormat="1" applyFont="1" applyFill="1" applyAlignment="1">
      <alignment horizontal="center"/>
    </xf>
    <xf numFmtId="4" fontId="24" fillId="10" borderId="7" xfId="0" applyNumberFormat="1" applyFont="1" applyFill="1" applyBorder="1"/>
    <xf numFmtId="41" fontId="27" fillId="10" borderId="147" xfId="0" applyNumberFormat="1" applyFont="1" applyFill="1" applyBorder="1" applyAlignment="1">
      <alignment horizontal="center" vertical="distributed"/>
    </xf>
    <xf numFmtId="41" fontId="27" fillId="10" borderId="5" xfId="0" applyNumberFormat="1" applyFont="1" applyFill="1" applyBorder="1" applyAlignment="1">
      <alignment horizontal="center" vertical="distributed"/>
    </xf>
    <xf numFmtId="41" fontId="60" fillId="10" borderId="44" xfId="0" applyNumberFormat="1" applyFont="1" applyFill="1" applyBorder="1" applyAlignment="1">
      <alignment vertical="distributed"/>
    </xf>
    <xf numFmtId="41" fontId="60" fillId="10" borderId="48" xfId="0" applyNumberFormat="1" applyFont="1" applyFill="1" applyBorder="1" applyAlignment="1">
      <alignment vertical="distributed"/>
    </xf>
    <xf numFmtId="0" fontId="24" fillId="10" borderId="0" xfId="0" applyFont="1" applyFill="1" applyAlignment="1" applyProtection="1">
      <alignment horizontal="center" vertical="center"/>
      <protection locked="0"/>
    </xf>
    <xf numFmtId="0" fontId="27" fillId="10" borderId="0" xfId="0" applyFont="1" applyFill="1" applyAlignment="1" applyProtection="1">
      <alignment horizontal="center" vertical="center"/>
      <protection locked="0"/>
    </xf>
    <xf numFmtId="3" fontId="24" fillId="10" borderId="0" xfId="1" applyNumberFormat="1" applyFont="1" applyFill="1" applyBorder="1" applyAlignment="1" applyProtection="1">
      <alignment horizontal="right" vertical="center"/>
      <protection locked="0"/>
    </xf>
    <xf numFmtId="3" fontId="27" fillId="10" borderId="0" xfId="1" applyNumberFormat="1" applyFont="1" applyFill="1" applyBorder="1" applyAlignment="1" applyProtection="1">
      <alignment horizontal="right" vertical="center"/>
      <protection locked="0"/>
    </xf>
    <xf numFmtId="3" fontId="27" fillId="10" borderId="0" xfId="1" applyNumberFormat="1" applyFont="1" applyFill="1" applyBorder="1" applyAlignment="1" applyProtection="1">
      <alignment horizontal="right" vertical="center"/>
    </xf>
    <xf numFmtId="3" fontId="26" fillId="10" borderId="0" xfId="1" applyNumberFormat="1" applyFont="1" applyFill="1" applyBorder="1" applyAlignment="1" applyProtection="1">
      <alignment horizontal="right" vertical="center"/>
      <protection locked="0"/>
    </xf>
    <xf numFmtId="0" fontId="24" fillId="10" borderId="4" xfId="0" applyFont="1" applyFill="1" applyBorder="1" applyAlignment="1" applyProtection="1">
      <alignment vertical="center"/>
      <protection locked="0"/>
    </xf>
    <xf numFmtId="3" fontId="24" fillId="10" borderId="117" xfId="1" applyNumberFormat="1" applyFont="1" applyFill="1" applyBorder="1" applyAlignment="1" applyProtection="1">
      <alignment horizontal="right" vertical="center"/>
      <protection locked="0"/>
    </xf>
    <xf numFmtId="3" fontId="24" fillId="10" borderId="0" xfId="1" applyNumberFormat="1" applyFont="1" applyFill="1" applyBorder="1" applyAlignment="1" applyProtection="1">
      <alignment horizontal="right"/>
      <protection locked="0"/>
    </xf>
    <xf numFmtId="0" fontId="24" fillId="10" borderId="0" xfId="0" applyFont="1" applyFill="1" applyProtection="1">
      <protection locked="0"/>
    </xf>
    <xf numFmtId="3" fontId="24" fillId="10" borderId="117" xfId="1" applyNumberFormat="1" applyFont="1" applyFill="1" applyBorder="1" applyAlignment="1" applyProtection="1">
      <alignment horizontal="right" vertical="center"/>
    </xf>
    <xf numFmtId="3" fontId="24" fillId="10" borderId="0" xfId="1" applyNumberFormat="1" applyFont="1" applyFill="1" applyBorder="1" applyAlignment="1" applyProtection="1">
      <alignment horizontal="right" vertical="center"/>
    </xf>
    <xf numFmtId="3" fontId="24" fillId="10" borderId="116" xfId="1" applyNumberFormat="1" applyFont="1" applyFill="1" applyBorder="1" applyAlignment="1" applyProtection="1">
      <alignment horizontal="right" vertical="center"/>
    </xf>
    <xf numFmtId="3" fontId="24" fillId="10" borderId="0" xfId="1" applyNumberFormat="1" applyFont="1" applyFill="1" applyBorder="1" applyAlignment="1" applyProtection="1">
      <alignment horizontal="right"/>
    </xf>
    <xf numFmtId="3" fontId="24" fillId="4" borderId="0" xfId="0" applyNumberFormat="1" applyFont="1" applyFill="1" applyAlignment="1" applyProtection="1">
      <alignment vertical="center"/>
      <protection locked="0"/>
    </xf>
    <xf numFmtId="4" fontId="24" fillId="10" borderId="0" xfId="1" applyFont="1" applyFill="1" applyBorder="1" applyAlignment="1" applyProtection="1">
      <alignment horizontal="center" vertical="center"/>
      <protection locked="0"/>
    </xf>
    <xf numFmtId="3" fontId="24" fillId="10" borderId="0" xfId="1" applyNumberFormat="1" applyFont="1" applyFill="1" applyBorder="1" applyAlignment="1" applyProtection="1">
      <alignment vertical="center"/>
      <protection locked="0"/>
    </xf>
    <xf numFmtId="3" fontId="27" fillId="10" borderId="117" xfId="1" applyNumberFormat="1" applyFont="1" applyFill="1" applyBorder="1" applyAlignment="1" applyProtection="1">
      <alignment vertical="center"/>
    </xf>
    <xf numFmtId="4" fontId="47" fillId="10" borderId="0" xfId="1" applyFont="1" applyFill="1" applyBorder="1" applyAlignment="1" applyProtection="1">
      <alignment vertical="center"/>
    </xf>
    <xf numFmtId="3" fontId="24" fillId="10" borderId="117" xfId="1" applyNumberFormat="1" applyFont="1" applyFill="1" applyBorder="1" applyAlignment="1" applyProtection="1">
      <alignment horizontal="center" vertical="center"/>
    </xf>
    <xf numFmtId="0" fontId="111" fillId="11" borderId="148" xfId="0" applyFont="1" applyFill="1" applyBorder="1" applyAlignment="1">
      <alignment vertical="center"/>
    </xf>
    <xf numFmtId="9" fontId="99" fillId="11" borderId="149" xfId="0" applyNumberFormat="1" applyFont="1" applyFill="1" applyBorder="1" applyAlignment="1">
      <alignment horizontal="center" vertical="center"/>
    </xf>
    <xf numFmtId="0" fontId="111" fillId="11" borderId="149" xfId="0" applyFont="1" applyFill="1" applyBorder="1" applyAlignment="1">
      <alignment vertical="center"/>
    </xf>
    <xf numFmtId="4" fontId="111" fillId="11" borderId="150" xfId="1" applyFont="1" applyFill="1" applyBorder="1" applyAlignment="1">
      <alignment vertical="distributed"/>
    </xf>
    <xf numFmtId="0" fontId="111" fillId="11" borderId="148" xfId="0" applyFont="1" applyFill="1" applyBorder="1" applyAlignment="1">
      <alignment horizontal="center" vertical="center"/>
    </xf>
    <xf numFmtId="4" fontId="99" fillId="11" borderId="142" xfId="1" applyFont="1" applyFill="1" applyBorder="1" applyAlignment="1" applyProtection="1">
      <alignment vertical="distributed"/>
    </xf>
    <xf numFmtId="4" fontId="23" fillId="3" borderId="3" xfId="0" applyNumberFormat="1" applyFont="1" applyFill="1" applyBorder="1" applyAlignment="1">
      <alignment vertical="center"/>
    </xf>
    <xf numFmtId="4" fontId="23" fillId="10" borderId="29" xfId="0" applyNumberFormat="1" applyFont="1" applyFill="1" applyBorder="1" applyAlignment="1">
      <alignment vertical="center"/>
    </xf>
    <xf numFmtId="3" fontId="24" fillId="4" borderId="7" xfId="0" applyNumberFormat="1" applyFont="1" applyFill="1" applyBorder="1" applyAlignment="1" applyProtection="1">
      <alignment vertical="center"/>
      <protection locked="0"/>
    </xf>
    <xf numFmtId="0" fontId="84" fillId="10" borderId="55" xfId="0" applyFont="1" applyFill="1" applyBorder="1" applyAlignment="1">
      <alignment vertical="center"/>
    </xf>
    <xf numFmtId="0" fontId="84" fillId="10" borderId="0" xfId="0" applyFont="1" applyFill="1" applyAlignment="1">
      <alignment vertical="center"/>
    </xf>
    <xf numFmtId="4" fontId="32" fillId="10" borderId="0" xfId="0" applyNumberFormat="1" applyFont="1" applyFill="1" applyProtection="1">
      <protection locked="0"/>
    </xf>
    <xf numFmtId="0" fontId="32" fillId="10" borderId="0" xfId="0" applyFont="1" applyFill="1" applyProtection="1">
      <protection locked="0"/>
    </xf>
    <xf numFmtId="0" fontId="25" fillId="10" borderId="0" xfId="0" applyFont="1" applyFill="1" applyProtection="1">
      <protection locked="0"/>
    </xf>
    <xf numFmtId="168" fontId="24" fillId="10" borderId="10" xfId="0" applyNumberFormat="1" applyFont="1" applyFill="1" applyBorder="1" applyAlignment="1" applyProtection="1">
      <alignment vertical="center"/>
      <protection locked="0"/>
    </xf>
    <xf numFmtId="4" fontId="24" fillId="10" borderId="0" xfId="0" applyNumberFormat="1" applyFont="1" applyFill="1" applyProtection="1">
      <protection locked="0"/>
    </xf>
    <xf numFmtId="168" fontId="24" fillId="10" borderId="0" xfId="0" applyNumberFormat="1" applyFont="1" applyFill="1" applyAlignment="1" applyProtection="1">
      <alignment horizontal="center" vertical="center"/>
      <protection locked="0"/>
    </xf>
    <xf numFmtId="0" fontId="76" fillId="10" borderId="0" xfId="0" applyFont="1" applyFill="1"/>
    <xf numFmtId="166" fontId="5" fillId="10" borderId="0" xfId="5" applyNumberFormat="1" applyFont="1" applyFill="1" applyProtection="1">
      <protection locked="0"/>
    </xf>
    <xf numFmtId="166" fontId="41" fillId="10" borderId="0" xfId="5" applyNumberFormat="1" applyFont="1" applyFill="1" applyProtection="1">
      <protection locked="0"/>
    </xf>
    <xf numFmtId="1" fontId="24" fillId="10" borderId="0" xfId="5" applyNumberFormat="1" applyFont="1" applyFill="1" applyAlignment="1" applyProtection="1">
      <alignment horizontal="center"/>
      <protection locked="0"/>
    </xf>
    <xf numFmtId="166" fontId="24" fillId="10" borderId="0" xfId="5" applyNumberFormat="1" applyFont="1" applyFill="1" applyProtection="1">
      <protection locked="0"/>
    </xf>
    <xf numFmtId="166" fontId="24" fillId="10" borderId="0" xfId="5" applyNumberFormat="1" applyFont="1" applyFill="1" applyAlignment="1" applyProtection="1">
      <alignment horizontal="center"/>
      <protection locked="0"/>
    </xf>
    <xf numFmtId="166" fontId="24" fillId="10" borderId="0" xfId="5" applyNumberFormat="1" applyFont="1" applyFill="1" applyAlignment="1" applyProtection="1">
      <alignment horizontal="right"/>
      <protection locked="0"/>
    </xf>
    <xf numFmtId="166" fontId="27" fillId="10" borderId="0" xfId="5" applyNumberFormat="1" applyFont="1" applyFill="1" applyAlignment="1" applyProtection="1">
      <alignment horizontal="center"/>
      <protection locked="0"/>
    </xf>
    <xf numFmtId="3" fontId="24" fillId="10" borderId="0" xfId="5" applyNumberFormat="1" applyFont="1" applyFill="1" applyProtection="1">
      <protection locked="0"/>
    </xf>
    <xf numFmtId="166" fontId="10" fillId="10" borderId="0" xfId="5" applyNumberFormat="1" applyFont="1" applyFill="1" applyProtection="1">
      <protection locked="0"/>
    </xf>
    <xf numFmtId="166" fontId="16" fillId="10" borderId="0" xfId="5" applyNumberFormat="1" applyFont="1" applyFill="1" applyProtection="1">
      <protection locked="0"/>
    </xf>
    <xf numFmtId="166" fontId="17" fillId="10" borderId="0" xfId="5" applyNumberFormat="1" applyFont="1" applyFill="1" applyProtection="1">
      <protection locked="0"/>
    </xf>
    <xf numFmtId="166" fontId="13" fillId="10" borderId="0" xfId="5" applyNumberFormat="1" applyFont="1" applyFill="1" applyProtection="1">
      <protection locked="0"/>
    </xf>
    <xf numFmtId="166" fontId="75" fillId="10" borderId="0" xfId="5" applyNumberFormat="1" applyFont="1" applyFill="1" applyProtection="1">
      <protection locked="0"/>
    </xf>
    <xf numFmtId="166" fontId="76" fillId="10" borderId="0" xfId="5" applyNumberFormat="1" applyFont="1" applyFill="1" applyProtection="1">
      <protection locked="0"/>
    </xf>
    <xf numFmtId="166" fontId="70" fillId="10" borderId="0" xfId="5" applyNumberFormat="1" applyFont="1" applyFill="1" applyProtection="1">
      <protection locked="0"/>
    </xf>
    <xf numFmtId="1" fontId="24" fillId="10" borderId="0" xfId="5" applyNumberFormat="1" applyFont="1" applyFill="1" applyProtection="1">
      <protection locked="0"/>
    </xf>
    <xf numFmtId="170" fontId="24" fillId="4" borderId="0" xfId="5" applyNumberFormat="1" applyFont="1" applyFill="1" applyProtection="1">
      <protection locked="0"/>
    </xf>
    <xf numFmtId="3" fontId="24" fillId="4" borderId="152" xfId="5" applyNumberFormat="1" applyFont="1" applyFill="1" applyBorder="1" applyProtection="1">
      <protection locked="0"/>
    </xf>
    <xf numFmtId="168" fontId="23" fillId="14" borderId="3" xfId="0" applyNumberFormat="1" applyFont="1" applyFill="1" applyBorder="1" applyAlignment="1" applyProtection="1">
      <alignment horizontal="left" vertical="center"/>
      <protection locked="0"/>
    </xf>
    <xf numFmtId="3" fontId="23" fillId="14" borderId="1" xfId="0" applyNumberFormat="1" applyFont="1" applyFill="1" applyBorder="1" applyAlignment="1">
      <alignment vertical="center"/>
    </xf>
    <xf numFmtId="3" fontId="24" fillId="14" borderId="1" xfId="0" applyNumberFormat="1" applyFont="1" applyFill="1" applyBorder="1" applyAlignment="1">
      <alignment vertical="center"/>
    </xf>
    <xf numFmtId="174" fontId="26" fillId="12" borderId="0" xfId="0" applyNumberFormat="1" applyFont="1" applyFill="1" applyAlignment="1" applyProtection="1">
      <alignment horizontal="center" vertical="center" wrapText="1"/>
      <protection locked="0"/>
    </xf>
    <xf numFmtId="169" fontId="24" fillId="10" borderId="0" xfId="2" applyNumberFormat="1" applyFont="1" applyFill="1" applyAlignment="1">
      <alignment vertical="center"/>
    </xf>
    <xf numFmtId="3" fontId="24" fillId="10" borderId="30" xfId="3" applyNumberFormat="1" applyFont="1" applyFill="1" applyBorder="1" applyAlignment="1">
      <alignment vertical="center"/>
    </xf>
    <xf numFmtId="10" fontId="24" fillId="10" borderId="0" xfId="2" applyNumberFormat="1" applyFont="1" applyFill="1" applyAlignment="1">
      <alignment vertical="center"/>
    </xf>
    <xf numFmtId="10" fontId="23" fillId="10" borderId="0" xfId="2" applyNumberFormat="1" applyFont="1" applyFill="1" applyAlignment="1">
      <alignment vertical="center"/>
    </xf>
    <xf numFmtId="0" fontId="23" fillId="10" borderId="0" xfId="0" applyFont="1" applyFill="1" applyAlignment="1">
      <alignment horizontal="right" vertical="center" wrapText="1"/>
    </xf>
    <xf numFmtId="168" fontId="23" fillId="10" borderId="0" xfId="0" applyNumberFormat="1" applyFont="1" applyFill="1" applyAlignment="1" applyProtection="1">
      <alignment horizontal="left" vertical="center" indent="1"/>
      <protection locked="0"/>
    </xf>
    <xf numFmtId="167" fontId="23" fillId="10" borderId="0" xfId="0" applyNumberFormat="1" applyFont="1" applyFill="1" applyAlignment="1" applyProtection="1">
      <alignment horizontal="center" vertical="center"/>
      <protection locked="0"/>
    </xf>
    <xf numFmtId="3" fontId="23" fillId="10" borderId="0" xfId="0" applyNumberFormat="1" applyFont="1" applyFill="1" applyAlignment="1">
      <alignment vertical="center"/>
    </xf>
    <xf numFmtId="3" fontId="27" fillId="10" borderId="0" xfId="0" applyNumberFormat="1" applyFont="1" applyFill="1" applyAlignment="1">
      <alignment vertical="center"/>
    </xf>
    <xf numFmtId="169" fontId="26" fillId="10" borderId="0" xfId="2" applyNumberFormat="1" applyFont="1" applyFill="1" applyAlignment="1">
      <alignment vertical="center"/>
    </xf>
    <xf numFmtId="3" fontId="24" fillId="10" borderId="0" xfId="0" applyNumberFormat="1" applyFont="1" applyFill="1" applyAlignment="1">
      <alignment horizontal="left" vertical="center" indent="1"/>
    </xf>
    <xf numFmtId="10" fontId="33" fillId="10" borderId="33" xfId="2" applyNumberFormat="1" applyFont="1" applyFill="1" applyBorder="1" applyAlignment="1" applyProtection="1">
      <alignment horizontal="center" vertical="center" wrapText="1"/>
      <protection locked="0"/>
    </xf>
    <xf numFmtId="3" fontId="24" fillId="10" borderId="0" xfId="3" applyNumberFormat="1" applyFont="1" applyFill="1" applyAlignment="1">
      <alignment vertical="center"/>
    </xf>
    <xf numFmtId="166" fontId="23" fillId="10" borderId="125" xfId="3" applyNumberFormat="1" applyFont="1" applyFill="1" applyBorder="1" applyAlignment="1">
      <alignment vertical="center"/>
    </xf>
    <xf numFmtId="166" fontId="24" fillId="10" borderId="118" xfId="3" applyNumberFormat="1" applyFont="1" applyFill="1" applyBorder="1" applyAlignment="1">
      <alignment vertical="center"/>
    </xf>
    <xf numFmtId="166" fontId="23" fillId="10" borderId="122" xfId="3" applyNumberFormat="1" applyFont="1" applyFill="1" applyBorder="1" applyAlignment="1">
      <alignment vertical="center"/>
    </xf>
    <xf numFmtId="166" fontId="23" fillId="10" borderId="6" xfId="3" applyNumberFormat="1" applyFont="1" applyFill="1" applyBorder="1" applyProtection="1">
      <protection locked="0"/>
    </xf>
    <xf numFmtId="10" fontId="33" fillId="10" borderId="1" xfId="2" applyNumberFormat="1" applyFont="1" applyFill="1" applyBorder="1" applyAlignment="1" applyProtection="1">
      <alignment horizontal="center" vertical="center" wrapText="1"/>
    </xf>
    <xf numFmtId="3" fontId="23" fillId="3" borderId="36" xfId="0" applyNumberFormat="1" applyFont="1" applyFill="1" applyBorder="1" applyAlignment="1">
      <alignment vertical="center"/>
    </xf>
    <xf numFmtId="166" fontId="23" fillId="10" borderId="0" xfId="3" applyNumberFormat="1" applyFont="1" applyFill="1" applyAlignment="1" applyProtection="1">
      <alignment vertical="center"/>
      <protection locked="0"/>
    </xf>
    <xf numFmtId="166" fontId="23" fillId="10" borderId="42" xfId="3" applyNumberFormat="1" applyFont="1" applyFill="1" applyBorder="1"/>
    <xf numFmtId="169" fontId="27" fillId="10" borderId="0" xfId="2" applyNumberFormat="1" applyFont="1" applyFill="1" applyAlignment="1">
      <alignment vertical="center"/>
    </xf>
    <xf numFmtId="3" fontId="24" fillId="10" borderId="136" xfId="0" applyNumberFormat="1" applyFont="1" applyFill="1" applyBorder="1" applyAlignment="1">
      <alignment vertical="center"/>
    </xf>
    <xf numFmtId="3" fontId="24" fillId="10" borderId="130" xfId="0" applyNumberFormat="1" applyFont="1" applyFill="1" applyBorder="1" applyAlignment="1">
      <alignment vertical="center"/>
    </xf>
    <xf numFmtId="3" fontId="24" fillId="10" borderId="137" xfId="0" applyNumberFormat="1" applyFont="1" applyFill="1" applyBorder="1" applyAlignment="1">
      <alignment horizontal="right" vertical="center"/>
    </xf>
    <xf numFmtId="3" fontId="24" fillId="10" borderId="136" xfId="0" applyNumberFormat="1" applyFont="1" applyFill="1" applyBorder="1" applyAlignment="1">
      <alignment horizontal="right" vertical="center"/>
    </xf>
    <xf numFmtId="3" fontId="24" fillId="10" borderId="0" xfId="0" applyNumberFormat="1" applyFont="1" applyFill="1" applyAlignment="1">
      <alignment horizontal="right" vertical="center"/>
    </xf>
    <xf numFmtId="168" fontId="67" fillId="10" borderId="0" xfId="0" applyNumberFormat="1" applyFont="1" applyFill="1" applyAlignment="1" applyProtection="1">
      <alignment horizontal="left" vertical="center" indent="1"/>
      <protection locked="0"/>
    </xf>
    <xf numFmtId="3" fontId="24" fillId="11" borderId="136" xfId="0" applyNumberFormat="1" applyFont="1" applyFill="1" applyBorder="1" applyAlignment="1">
      <alignment vertical="center"/>
    </xf>
    <xf numFmtId="3" fontId="24" fillId="11" borderId="130" xfId="0" applyNumberFormat="1" applyFont="1" applyFill="1" applyBorder="1" applyAlignment="1">
      <alignment vertical="center"/>
    </xf>
    <xf numFmtId="3" fontId="24" fillId="11" borderId="132" xfId="0" applyNumberFormat="1" applyFont="1" applyFill="1" applyBorder="1" applyAlignment="1">
      <alignment vertical="center"/>
    </xf>
    <xf numFmtId="3" fontId="26" fillId="10" borderId="0" xfId="1" applyNumberFormat="1" applyFont="1" applyFill="1" applyBorder="1" applyAlignment="1" applyProtection="1">
      <alignment horizontal="right" vertical="center"/>
    </xf>
    <xf numFmtId="174" fontId="24" fillId="4" borderId="64" xfId="0" applyNumberFormat="1" applyFont="1" applyFill="1" applyBorder="1" applyAlignment="1">
      <alignment vertical="center"/>
    </xf>
    <xf numFmtId="4" fontId="24" fillId="3" borderId="3" xfId="1" applyFont="1" applyFill="1" applyBorder="1" applyAlignment="1" applyProtection="1">
      <alignment vertical="center"/>
    </xf>
    <xf numFmtId="4" fontId="24" fillId="3" borderId="3" xfId="1" applyFont="1" applyFill="1" applyBorder="1" applyAlignment="1">
      <alignment vertical="center"/>
    </xf>
    <xf numFmtId="174" fontId="29" fillId="10" borderId="157" xfId="0" applyNumberFormat="1" applyFont="1" applyFill="1" applyBorder="1" applyAlignment="1" applyProtection="1">
      <alignment horizontal="right" vertical="center"/>
      <protection locked="0"/>
    </xf>
    <xf numFmtId="0" fontId="114" fillId="0" borderId="0" xfId="0" applyFont="1" applyAlignment="1">
      <alignment horizontal="justify" vertical="center"/>
    </xf>
    <xf numFmtId="0" fontId="116" fillId="0" borderId="0" xfId="0" applyFont="1" applyAlignment="1">
      <alignment vertical="top" wrapText="1"/>
    </xf>
    <xf numFmtId="0" fontId="115" fillId="0" borderId="0" xfId="0" applyFont="1" applyAlignment="1">
      <alignment horizontal="justify" vertical="center"/>
    </xf>
    <xf numFmtId="0" fontId="118" fillId="0" borderId="0" xfId="0" applyFont="1" applyAlignment="1">
      <alignment horizontal="justify" vertical="center"/>
    </xf>
    <xf numFmtId="0" fontId="116" fillId="0" borderId="0" xfId="0" applyFont="1" applyAlignment="1">
      <alignment horizontal="justify"/>
    </xf>
    <xf numFmtId="0" fontId="114" fillId="0" borderId="0" xfId="0" applyFont="1"/>
    <xf numFmtId="3" fontId="24" fillId="10" borderId="0" xfId="3" applyNumberFormat="1" applyFont="1" applyFill="1" applyAlignment="1">
      <alignment horizontal="center" vertical="center"/>
    </xf>
    <xf numFmtId="175" fontId="27" fillId="10" borderId="29" xfId="2" applyNumberFormat="1" applyFont="1" applyFill="1" applyBorder="1" applyAlignment="1" applyProtection="1">
      <alignment horizontal="center" vertical="center"/>
      <protection locked="0"/>
    </xf>
    <xf numFmtId="10" fontId="27" fillId="10" borderId="10" xfId="2" applyNumberFormat="1" applyFont="1" applyFill="1" applyBorder="1" applyAlignment="1" applyProtection="1">
      <alignment vertical="center"/>
      <protection locked="0"/>
    </xf>
    <xf numFmtId="10" fontId="27" fillId="10" borderId="8" xfId="2" applyNumberFormat="1" applyFont="1" applyFill="1" applyBorder="1" applyAlignment="1" applyProtection="1">
      <alignment vertical="center"/>
      <protection locked="0"/>
    </xf>
    <xf numFmtId="10" fontId="27" fillId="10" borderId="9" xfId="2" applyNumberFormat="1" applyFont="1" applyFill="1" applyBorder="1" applyAlignment="1" applyProtection="1">
      <alignment vertical="center"/>
      <protection locked="0"/>
    </xf>
    <xf numFmtId="3" fontId="24" fillId="10" borderId="43" xfId="3" applyNumberFormat="1" applyFont="1" applyFill="1" applyBorder="1"/>
    <xf numFmtId="3" fontId="24" fillId="10" borderId="0" xfId="3" applyNumberFormat="1" applyFont="1" applyFill="1"/>
    <xf numFmtId="3" fontId="23" fillId="10" borderId="0" xfId="3" applyNumberFormat="1" applyFont="1" applyFill="1" applyAlignment="1">
      <alignment horizontal="center" vertical="center"/>
    </xf>
    <xf numFmtId="10" fontId="28" fillId="3" borderId="36" xfId="0" applyNumberFormat="1" applyFont="1" applyFill="1" applyBorder="1" applyAlignment="1">
      <alignment vertical="center"/>
    </xf>
    <xf numFmtId="0" fontId="122" fillId="0" borderId="0" xfId="0" applyFont="1" applyAlignment="1">
      <alignment vertical="center"/>
    </xf>
    <xf numFmtId="0" fontId="27" fillId="10" borderId="40" xfId="0" applyFont="1" applyFill="1" applyBorder="1" applyAlignment="1">
      <alignment horizontal="center" vertical="center"/>
    </xf>
    <xf numFmtId="0" fontId="27" fillId="10" borderId="8" xfId="0" applyFont="1" applyFill="1" applyBorder="1" applyAlignment="1">
      <alignment horizontal="center" vertical="center"/>
    </xf>
    <xf numFmtId="174" fontId="29" fillId="10" borderId="0" xfId="0" applyNumberFormat="1" applyFont="1" applyFill="1" applyAlignment="1" applyProtection="1">
      <alignment horizontal="right" vertical="center"/>
      <protection locked="0"/>
    </xf>
    <xf numFmtId="168" fontId="77" fillId="10" borderId="0" xfId="7" applyNumberFormat="1" applyFont="1" applyFill="1" applyAlignment="1">
      <alignment horizontal="left"/>
    </xf>
    <xf numFmtId="0" fontId="123" fillId="10" borderId="0" xfId="0" applyFont="1" applyFill="1" applyAlignment="1">
      <alignment horizontal="left" vertical="center"/>
    </xf>
    <xf numFmtId="168" fontId="67" fillId="10" borderId="0" xfId="0" applyNumberFormat="1" applyFont="1" applyFill="1" applyAlignment="1" applyProtection="1">
      <alignment horizontal="left" vertical="center"/>
      <protection hidden="1"/>
    </xf>
    <xf numFmtId="166" fontId="23" fillId="10" borderId="158" xfId="3" applyNumberFormat="1" applyFont="1" applyFill="1" applyBorder="1" applyAlignment="1" applyProtection="1">
      <alignment vertical="center"/>
      <protection locked="0"/>
    </xf>
    <xf numFmtId="166" fontId="24" fillId="10" borderId="32" xfId="3" applyNumberFormat="1" applyFont="1" applyFill="1" applyBorder="1" applyAlignment="1">
      <alignment vertical="center"/>
    </xf>
    <xf numFmtId="3" fontId="24" fillId="10" borderId="119" xfId="3" applyNumberFormat="1" applyFont="1" applyFill="1" applyBorder="1" applyAlignment="1">
      <alignment vertical="center"/>
    </xf>
    <xf numFmtId="166" fontId="10" fillId="10" borderId="0" xfId="3" applyNumberFormat="1" applyFont="1" applyFill="1" applyAlignment="1">
      <alignment vertical="center"/>
    </xf>
    <xf numFmtId="4" fontId="80" fillId="10" borderId="132" xfId="0" applyNumberFormat="1" applyFont="1" applyFill="1" applyBorder="1" applyAlignment="1">
      <alignment vertical="center"/>
    </xf>
    <xf numFmtId="4" fontId="80" fillId="10" borderId="0" xfId="0" applyNumberFormat="1" applyFont="1" applyFill="1" applyAlignment="1">
      <alignment vertical="center"/>
    </xf>
    <xf numFmtId="4" fontId="80" fillId="10" borderId="0" xfId="0" applyNumberFormat="1" applyFont="1" applyFill="1" applyAlignment="1">
      <alignment horizontal="right" vertical="center" indent="1"/>
    </xf>
    <xf numFmtId="174" fontId="75" fillId="12" borderId="51" xfId="0" applyNumberFormat="1" applyFont="1" applyFill="1" applyBorder="1" applyAlignment="1" applyProtection="1">
      <alignment vertical="distributed"/>
      <protection locked="0"/>
    </xf>
    <xf numFmtId="174" fontId="75" fillId="12" borderId="0" xfId="0" applyNumberFormat="1" applyFont="1" applyFill="1" applyAlignment="1" applyProtection="1">
      <alignment vertical="distributed"/>
      <protection locked="0"/>
    </xf>
    <xf numFmtId="4" fontId="62" fillId="10" borderId="0" xfId="11" applyNumberFormat="1" applyFont="1" applyFill="1" applyAlignment="1">
      <alignment vertical="center"/>
    </xf>
    <xf numFmtId="0" fontId="62" fillId="10" borderId="0" xfId="11" applyFont="1" applyFill="1" applyAlignment="1" applyProtection="1">
      <alignment horizontal="center" vertical="center"/>
      <protection locked="0"/>
    </xf>
    <xf numFmtId="0" fontId="62" fillId="6" borderId="0" xfId="11" applyFont="1" applyFill="1" applyAlignment="1" applyProtection="1">
      <alignment horizontal="center" vertical="center"/>
      <protection locked="0"/>
    </xf>
    <xf numFmtId="4" fontId="24" fillId="4" borderId="0" xfId="0" applyNumberFormat="1" applyFont="1" applyFill="1" applyAlignment="1" applyProtection="1">
      <alignment horizontal="center" vertical="distributed"/>
      <protection locked="0"/>
    </xf>
    <xf numFmtId="4" fontId="24" fillId="10" borderId="5" xfId="0" applyNumberFormat="1" applyFont="1" applyFill="1" applyBorder="1" applyAlignment="1">
      <alignment horizontal="right" vertical="distributed"/>
    </xf>
    <xf numFmtId="174" fontId="109" fillId="0" borderId="143" xfId="0" applyNumberFormat="1" applyFont="1" applyBorder="1" applyAlignment="1">
      <alignment vertical="center"/>
    </xf>
    <xf numFmtId="0" fontId="26" fillId="10" borderId="0" xfId="0" applyFont="1" applyFill="1" applyAlignment="1">
      <alignment horizontal="center" vertical="center"/>
    </xf>
    <xf numFmtId="0" fontId="88" fillId="10" borderId="0" xfId="0" applyFont="1" applyFill="1" applyAlignment="1">
      <alignment horizontal="left" indent="3"/>
    </xf>
    <xf numFmtId="0" fontId="26" fillId="10" borderId="5" xfId="0" applyFont="1" applyFill="1" applyBorder="1" applyAlignment="1">
      <alignment vertical="distributed"/>
    </xf>
    <xf numFmtId="4" fontId="24" fillId="10" borderId="5" xfId="0" applyNumberFormat="1" applyFont="1" applyFill="1" applyBorder="1" applyAlignment="1">
      <alignment vertical="center"/>
    </xf>
    <xf numFmtId="41" fontId="67" fillId="10" borderId="6" xfId="0" applyNumberFormat="1" applyFont="1" applyFill="1" applyBorder="1" applyAlignment="1">
      <alignment vertical="distributed"/>
    </xf>
    <xf numFmtId="4" fontId="35" fillId="7" borderId="6" xfId="0" applyNumberFormat="1" applyFont="1" applyFill="1" applyBorder="1" applyAlignment="1">
      <alignment horizontal="right" vertical="distributed"/>
    </xf>
    <xf numFmtId="41" fontId="27" fillId="10" borderId="6" xfId="0" applyNumberFormat="1" applyFont="1" applyFill="1" applyBorder="1" applyAlignment="1">
      <alignment horizontal="center" vertical="distributed"/>
    </xf>
    <xf numFmtId="41" fontId="60" fillId="10" borderId="47" xfId="0" applyNumberFormat="1" applyFont="1" applyFill="1" applyBorder="1" applyAlignment="1">
      <alignment vertical="distributed"/>
    </xf>
    <xf numFmtId="41" fontId="27" fillId="10" borderId="5" xfId="0" applyNumberFormat="1" applyFont="1" applyFill="1" applyBorder="1" applyAlignment="1" applyProtection="1">
      <alignment horizontal="center" vertical="distributed"/>
      <protection locked="0"/>
    </xf>
    <xf numFmtId="41" fontId="67" fillId="10" borderId="44" xfId="0" applyNumberFormat="1" applyFont="1" applyFill="1" applyBorder="1" applyAlignment="1">
      <alignment vertical="distributed"/>
    </xf>
    <xf numFmtId="4" fontId="35" fillId="7" borderId="5" xfId="0" applyNumberFormat="1" applyFont="1" applyFill="1" applyBorder="1" applyAlignment="1">
      <alignment horizontal="right" vertical="distributed"/>
    </xf>
    <xf numFmtId="3" fontId="24" fillId="4" borderId="7" xfId="0" applyNumberFormat="1" applyFont="1" applyFill="1" applyBorder="1" applyAlignment="1" applyProtection="1">
      <alignment horizontal="center" vertical="center"/>
      <protection locked="0"/>
    </xf>
    <xf numFmtId="3" fontId="24" fillId="18" borderId="160" xfId="1" applyNumberFormat="1" applyFont="1" applyFill="1" applyBorder="1" applyAlignment="1" applyProtection="1">
      <alignment horizontal="right" vertical="center"/>
    </xf>
    <xf numFmtId="169" fontId="27" fillId="18" borderId="116" xfId="2" applyNumberFormat="1" applyFont="1" applyFill="1" applyBorder="1" applyAlignment="1" applyProtection="1">
      <alignment vertical="center"/>
    </xf>
    <xf numFmtId="3" fontId="23" fillId="18" borderId="116" xfId="1" applyNumberFormat="1" applyFont="1" applyFill="1" applyBorder="1" applyAlignment="1" applyProtection="1">
      <alignment horizontal="right" vertical="center"/>
    </xf>
    <xf numFmtId="9" fontId="23" fillId="18" borderId="116" xfId="2" applyFont="1" applyFill="1" applyBorder="1" applyAlignment="1" applyProtection="1">
      <alignment horizontal="right" vertical="center"/>
    </xf>
    <xf numFmtId="0" fontId="23" fillId="10" borderId="11" xfId="0" applyFont="1" applyFill="1" applyBorder="1" applyAlignment="1" applyProtection="1">
      <alignment horizontal="left" vertical="center"/>
      <protection hidden="1"/>
    </xf>
    <xf numFmtId="171" fontId="24" fillId="9" borderId="37" xfId="0" applyNumberFormat="1" applyFont="1" applyFill="1" applyBorder="1" applyAlignment="1" applyProtection="1">
      <alignment horizontal="center" vertical="center"/>
      <protection locked="0"/>
    </xf>
    <xf numFmtId="0" fontId="24" fillId="9" borderId="15" xfId="0" applyFont="1" applyFill="1" applyBorder="1" applyAlignment="1" applyProtection="1">
      <alignment horizontal="left" vertical="center" wrapText="1"/>
      <protection locked="0"/>
    </xf>
    <xf numFmtId="0" fontId="24" fillId="9" borderId="16" xfId="0" applyFont="1" applyFill="1" applyBorder="1" applyAlignment="1" applyProtection="1">
      <alignment vertical="center" wrapText="1"/>
      <protection locked="0"/>
    </xf>
    <xf numFmtId="173" fontId="24" fillId="19" borderId="9" xfId="0" applyNumberFormat="1" applyFont="1" applyFill="1" applyBorder="1" applyProtection="1">
      <protection locked="0"/>
    </xf>
    <xf numFmtId="173" fontId="24" fillId="19" borderId="7" xfId="0" applyNumberFormat="1" applyFont="1" applyFill="1" applyBorder="1" applyProtection="1">
      <protection locked="0"/>
    </xf>
    <xf numFmtId="173" fontId="24" fillId="19" borderId="151" xfId="0" applyNumberFormat="1" applyFont="1" applyFill="1" applyBorder="1" applyProtection="1">
      <protection locked="0"/>
    </xf>
    <xf numFmtId="4" fontId="23" fillId="14" borderId="3" xfId="1" applyFont="1" applyFill="1" applyBorder="1" applyAlignment="1" applyProtection="1">
      <alignment vertical="center"/>
    </xf>
    <xf numFmtId="10" fontId="27" fillId="11" borderId="0" xfId="2" applyNumberFormat="1" applyFont="1" applyFill="1" applyBorder="1" applyAlignment="1" applyProtection="1">
      <alignment horizontal="right" vertical="center" indent="1"/>
    </xf>
    <xf numFmtId="4" fontId="23" fillId="10" borderId="0" xfId="0" applyNumberFormat="1" applyFont="1" applyFill="1"/>
    <xf numFmtId="4" fontId="23" fillId="3" borderId="0" xfId="0" applyNumberFormat="1" applyFont="1" applyFill="1" applyAlignment="1" applyProtection="1">
      <alignment vertical="center"/>
      <protection locked="0"/>
    </xf>
    <xf numFmtId="4" fontId="27" fillId="10" borderId="0" xfId="0" applyNumberFormat="1" applyFont="1" applyFill="1"/>
    <xf numFmtId="0" fontId="24" fillId="10" borderId="9" xfId="0" applyFont="1" applyFill="1" applyBorder="1" applyAlignment="1">
      <alignment vertical="center"/>
    </xf>
    <xf numFmtId="166" fontId="27" fillId="10" borderId="6" xfId="0" applyNumberFormat="1" applyFont="1" applyFill="1" applyBorder="1" applyAlignment="1">
      <alignment horizontal="center" vertical="center"/>
    </xf>
    <xf numFmtId="166" fontId="27" fillId="10" borderId="6" xfId="0" applyNumberFormat="1" applyFont="1" applyFill="1" applyBorder="1" applyAlignment="1">
      <alignment vertical="center"/>
    </xf>
    <xf numFmtId="0" fontId="27" fillId="10" borderId="8" xfId="0" applyFont="1" applyFill="1" applyBorder="1" applyAlignment="1">
      <alignment horizontal="center" vertical="top"/>
    </xf>
    <xf numFmtId="4" fontId="57" fillId="10" borderId="0" xfId="0" applyNumberFormat="1" applyFont="1" applyFill="1" applyAlignment="1" applyProtection="1">
      <alignment horizontal="center" wrapText="1"/>
      <protection locked="0"/>
    </xf>
    <xf numFmtId="0" fontId="57" fillId="10" borderId="0" xfId="0" applyFont="1" applyFill="1" applyAlignment="1" applyProtection="1">
      <alignment horizontal="center" wrapText="1"/>
      <protection locked="0"/>
    </xf>
    <xf numFmtId="0" fontId="28" fillId="10" borderId="22" xfId="0" applyFont="1" applyFill="1" applyBorder="1" applyAlignment="1">
      <alignment horizontal="center" vertical="top"/>
    </xf>
    <xf numFmtId="9" fontId="99" fillId="11" borderId="148" xfId="0" applyNumberFormat="1" applyFont="1" applyFill="1" applyBorder="1" applyAlignment="1">
      <alignment horizontal="center" vertical="center"/>
    </xf>
    <xf numFmtId="3" fontId="24" fillId="10" borderId="0" xfId="3" applyNumberFormat="1" applyFont="1" applyFill="1" applyAlignment="1">
      <alignment horizontal="right" vertical="center"/>
    </xf>
    <xf numFmtId="3" fontId="24" fillId="10" borderId="29" xfId="3" applyNumberFormat="1" applyFont="1" applyFill="1" applyBorder="1"/>
    <xf numFmtId="3" fontId="24" fillId="10" borderId="29" xfId="3" applyNumberFormat="1" applyFont="1" applyFill="1" applyBorder="1" applyProtection="1">
      <protection locked="0"/>
    </xf>
    <xf numFmtId="3" fontId="24" fillId="10" borderId="43" xfId="3" applyNumberFormat="1" applyFont="1" applyFill="1" applyBorder="1" applyProtection="1">
      <protection locked="0"/>
    </xf>
    <xf numFmtId="3" fontId="24" fillId="10" borderId="28" xfId="3" applyNumberFormat="1" applyFont="1" applyFill="1" applyBorder="1" applyProtection="1">
      <protection locked="0"/>
    </xf>
    <xf numFmtId="3" fontId="24" fillId="10" borderId="12" xfId="3" applyNumberFormat="1" applyFont="1" applyFill="1" applyBorder="1" applyProtection="1">
      <protection locked="0"/>
    </xf>
    <xf numFmtId="3" fontId="24" fillId="10" borderId="28" xfId="3" applyNumberFormat="1" applyFont="1" applyFill="1" applyBorder="1"/>
    <xf numFmtId="3" fontId="24" fillId="9" borderId="29" xfId="3" applyNumberFormat="1" applyFont="1" applyFill="1" applyBorder="1"/>
    <xf numFmtId="3" fontId="24" fillId="9" borderId="12" xfId="3" applyNumberFormat="1" applyFont="1" applyFill="1" applyBorder="1" applyProtection="1">
      <protection locked="0"/>
    </xf>
    <xf numFmtId="3" fontId="23" fillId="3" borderId="36" xfId="0" applyNumberFormat="1" applyFont="1" applyFill="1" applyBorder="1"/>
    <xf numFmtId="3" fontId="24" fillId="9" borderId="28" xfId="3" applyNumberFormat="1" applyFont="1" applyFill="1" applyBorder="1" applyProtection="1">
      <protection locked="0"/>
    </xf>
    <xf numFmtId="166" fontId="24" fillId="10" borderId="0" xfId="3" applyNumberFormat="1" applyFont="1" applyFill="1" applyProtection="1">
      <protection locked="0"/>
    </xf>
    <xf numFmtId="3" fontId="27" fillId="10" borderId="0" xfId="3" applyNumberFormat="1" applyFont="1" applyFill="1" applyAlignment="1">
      <alignment horizontal="right"/>
    </xf>
    <xf numFmtId="171" fontId="24" fillId="9" borderId="11" xfId="0" applyNumberFormat="1" applyFont="1" applyFill="1" applyBorder="1" applyAlignment="1" applyProtection="1">
      <alignment horizontal="center" vertical="center"/>
      <protection locked="0"/>
    </xf>
    <xf numFmtId="0" fontId="28" fillId="10" borderId="10" xfId="0" applyFont="1" applyFill="1" applyBorder="1" applyAlignment="1">
      <alignment horizontal="center" vertical="center" wrapText="1"/>
    </xf>
    <xf numFmtId="1" fontId="24" fillId="10" borderId="7" xfId="0" applyNumberFormat="1" applyFont="1" applyFill="1" applyBorder="1"/>
    <xf numFmtId="4" fontId="47" fillId="10" borderId="52" xfId="0" applyNumberFormat="1" applyFont="1" applyFill="1" applyBorder="1" applyAlignment="1" applyProtection="1">
      <alignment horizontal="center" vertical="distributed"/>
      <protection locked="0"/>
    </xf>
    <xf numFmtId="4" fontId="47" fillId="10" borderId="6" xfId="0" applyNumberFormat="1" applyFont="1" applyFill="1" applyBorder="1" applyAlignment="1" applyProtection="1">
      <alignment horizontal="center" vertical="distributed"/>
      <protection locked="0"/>
    </xf>
    <xf numFmtId="4" fontId="47" fillId="10" borderId="51" xfId="0" applyNumberFormat="1" applyFont="1" applyFill="1" applyBorder="1" applyAlignment="1" applyProtection="1">
      <alignment horizontal="center" vertical="distributed"/>
      <protection locked="0"/>
    </xf>
    <xf numFmtId="4" fontId="47" fillId="10" borderId="0" xfId="0" applyNumberFormat="1" applyFont="1" applyFill="1" applyAlignment="1" applyProtection="1">
      <alignment horizontal="center" vertical="distributed"/>
      <protection locked="0"/>
    </xf>
    <xf numFmtId="41" fontId="127" fillId="10" borderId="6" xfId="0" applyNumberFormat="1" applyFont="1" applyFill="1" applyBorder="1" applyAlignment="1">
      <alignment vertical="distributed"/>
    </xf>
    <xf numFmtId="4" fontId="47" fillId="10" borderId="5" xfId="0" applyNumberFormat="1" applyFont="1" applyFill="1" applyBorder="1" applyAlignment="1" applyProtection="1">
      <alignment horizontal="center" vertical="distributed"/>
      <protection locked="0"/>
    </xf>
    <xf numFmtId="177" fontId="128" fillId="0" borderId="142" xfId="0" applyNumberFormat="1" applyFont="1" applyBorder="1" applyAlignment="1" applyProtection="1">
      <alignment horizontal="center" vertical="distributed"/>
      <protection locked="0"/>
    </xf>
    <xf numFmtId="177" fontId="128" fillId="13" borderId="142" xfId="0" applyNumberFormat="1" applyFont="1" applyFill="1" applyBorder="1" applyAlignment="1" applyProtection="1">
      <alignment horizontal="center" vertical="distributed"/>
      <protection locked="0"/>
    </xf>
    <xf numFmtId="0" fontId="129" fillId="10" borderId="52" xfId="0" applyFont="1" applyFill="1" applyBorder="1" applyAlignment="1" applyProtection="1">
      <alignment vertical="distributed"/>
      <protection locked="0"/>
    </xf>
    <xf numFmtId="0" fontId="129" fillId="10" borderId="6" xfId="0" applyFont="1" applyFill="1" applyBorder="1" applyAlignment="1" applyProtection="1">
      <alignment vertical="distributed"/>
      <protection locked="0"/>
    </xf>
    <xf numFmtId="0" fontId="130" fillId="10" borderId="52" xfId="0" applyFont="1" applyFill="1" applyBorder="1" applyAlignment="1" applyProtection="1">
      <alignment vertical="distributed"/>
      <protection locked="0"/>
    </xf>
    <xf numFmtId="0" fontId="130" fillId="10" borderId="6" xfId="0" applyFont="1" applyFill="1" applyBorder="1" applyAlignment="1" applyProtection="1">
      <alignment vertical="distributed"/>
      <protection locked="0"/>
    </xf>
    <xf numFmtId="0" fontId="129" fillId="10" borderId="51" xfId="0" applyFont="1" applyFill="1" applyBorder="1" applyAlignment="1" applyProtection="1">
      <alignment horizontal="center" vertical="distributed"/>
      <protection locked="0"/>
    </xf>
    <xf numFmtId="0" fontId="129" fillId="10" borderId="0" xfId="0" applyFont="1" applyFill="1" applyAlignment="1" applyProtection="1">
      <alignment horizontal="center" vertical="distributed"/>
      <protection locked="0"/>
    </xf>
    <xf numFmtId="4" fontId="47" fillId="10" borderId="51" xfId="0" applyNumberFormat="1" applyFont="1" applyFill="1" applyBorder="1" applyAlignment="1" applyProtection="1">
      <alignment horizontal="right" vertical="center"/>
      <protection locked="0"/>
    </xf>
    <xf numFmtId="4" fontId="47" fillId="10" borderId="0" xfId="0" applyNumberFormat="1" applyFont="1" applyFill="1" applyAlignment="1" applyProtection="1">
      <alignment horizontal="right" vertical="center"/>
      <protection locked="0"/>
    </xf>
    <xf numFmtId="0" fontId="27" fillId="10" borderId="39" xfId="0" applyFont="1" applyFill="1" applyBorder="1" applyAlignment="1" applyProtection="1">
      <alignment horizontal="center" vertical="center" wrapText="1"/>
      <protection locked="0"/>
    </xf>
    <xf numFmtId="174" fontId="26" fillId="10" borderId="0" xfId="0" applyNumberFormat="1" applyFont="1" applyFill="1" applyAlignment="1">
      <alignment horizontal="center" vertical="center" wrapText="1"/>
    </xf>
    <xf numFmtId="174" fontId="26" fillId="10" borderId="89" xfId="0" applyNumberFormat="1" applyFont="1" applyFill="1" applyBorder="1" applyAlignment="1">
      <alignment horizontal="center" vertical="center" wrapText="1"/>
    </xf>
    <xf numFmtId="0" fontId="58" fillId="0" borderId="142" xfId="9" applyBorder="1" applyAlignment="1">
      <alignment vertical="center"/>
    </xf>
    <xf numFmtId="4" fontId="62" fillId="0" borderId="142" xfId="0" applyNumberFormat="1" applyFont="1" applyBorder="1" applyAlignment="1">
      <alignment horizontal="right" vertical="center" indent="1"/>
    </xf>
    <xf numFmtId="4" fontId="62" fillId="0" borderId="172" xfId="0" applyNumberFormat="1" applyFont="1" applyBorder="1" applyAlignment="1">
      <alignment horizontal="right" vertical="center" indent="1"/>
    </xf>
    <xf numFmtId="10" fontId="62" fillId="10" borderId="0" xfId="2" applyNumberFormat="1" applyFont="1" applyFill="1" applyAlignment="1" applyProtection="1">
      <alignment vertical="center"/>
    </xf>
    <xf numFmtId="2" fontId="58" fillId="0" borderId="142" xfId="9" applyNumberFormat="1" applyBorder="1" applyAlignment="1">
      <alignment vertical="center"/>
    </xf>
    <xf numFmtId="2" fontId="58" fillId="0" borderId="148" xfId="9" applyNumberFormat="1" applyBorder="1" applyAlignment="1">
      <alignment vertical="center"/>
    </xf>
    <xf numFmtId="0" fontId="132" fillId="10" borderId="0" xfId="11" applyFont="1" applyFill="1" applyAlignment="1" applyProtection="1">
      <alignment horizontal="center" vertical="center"/>
      <protection locked="0"/>
    </xf>
    <xf numFmtId="10" fontId="10" fillId="10" borderId="0" xfId="2" applyNumberFormat="1" applyFont="1" applyFill="1"/>
    <xf numFmtId="2" fontId="100" fillId="10" borderId="0" xfId="0" applyNumberFormat="1" applyFont="1" applyFill="1" applyAlignment="1">
      <alignment horizontal="right" vertical="top"/>
    </xf>
    <xf numFmtId="174" fontId="100" fillId="10" borderId="0" xfId="0" applyNumberFormat="1" applyFont="1" applyFill="1" applyAlignment="1">
      <alignment vertical="top"/>
    </xf>
    <xf numFmtId="168" fontId="23" fillId="10" borderId="0" xfId="0" applyNumberFormat="1" applyFont="1" applyFill="1" applyAlignment="1" applyProtection="1">
      <alignment horizontal="left" vertical="center" indent="1"/>
      <protection locked="0" hidden="1"/>
    </xf>
    <xf numFmtId="49" fontId="93" fillId="10" borderId="0" xfId="0" applyNumberFormat="1" applyFont="1" applyFill="1" applyAlignment="1" applyProtection="1">
      <alignment horizontal="right" vertical="top"/>
      <protection locked="0"/>
    </xf>
    <xf numFmtId="0" fontId="92" fillId="10" borderId="0" xfId="0" applyFont="1" applyFill="1" applyAlignment="1" applyProtection="1">
      <alignment horizontal="left" indent="1"/>
      <protection locked="0"/>
    </xf>
    <xf numFmtId="0" fontId="92" fillId="10" borderId="0" xfId="0" quotePrefix="1" applyFont="1" applyFill="1" applyAlignment="1" applyProtection="1">
      <alignment horizontal="left" indent="1"/>
      <protection locked="0"/>
    </xf>
    <xf numFmtId="166" fontId="76" fillId="10" borderId="0" xfId="0" applyNumberFormat="1" applyFont="1" applyFill="1" applyAlignment="1" applyProtection="1">
      <alignment horizontal="left" indent="1"/>
      <protection hidden="1"/>
    </xf>
    <xf numFmtId="168" fontId="8" fillId="10" borderId="0" xfId="0" applyNumberFormat="1" applyFont="1" applyFill="1" applyAlignment="1">
      <alignment horizontal="right" vertical="center"/>
    </xf>
    <xf numFmtId="166" fontId="25" fillId="10" borderId="0" xfId="0" applyNumberFormat="1" applyFont="1" applyFill="1" applyAlignment="1">
      <alignment horizontal="left" vertical="center" indent="1"/>
    </xf>
    <xf numFmtId="168" fontId="23" fillId="10" borderId="0" xfId="0" applyNumberFormat="1" applyFont="1" applyFill="1" applyAlignment="1">
      <alignment horizontal="right" vertical="center" indent="1"/>
    </xf>
    <xf numFmtId="168" fontId="24" fillId="10" borderId="0" xfId="0" applyNumberFormat="1" applyFont="1" applyFill="1" applyAlignment="1">
      <alignment horizontal="right" vertical="center" indent="1"/>
    </xf>
    <xf numFmtId="168" fontId="10" fillId="10" borderId="0" xfId="0" applyNumberFormat="1" applyFont="1" applyFill="1" applyAlignment="1">
      <alignment horizontal="left" vertical="center"/>
    </xf>
    <xf numFmtId="0" fontId="24" fillId="10" borderId="0" xfId="0" applyFont="1" applyFill="1" applyAlignment="1">
      <alignment horizontal="right" vertical="center" indent="1"/>
    </xf>
    <xf numFmtId="0" fontId="23" fillId="10" borderId="0" xfId="0" applyFont="1" applyFill="1" applyAlignment="1">
      <alignment horizontal="right"/>
    </xf>
    <xf numFmtId="1" fontId="23" fillId="10" borderId="11" xfId="0" applyNumberFormat="1" applyFont="1" applyFill="1" applyBorder="1" applyAlignment="1">
      <alignment horizontal="center" vertical="center" wrapText="1"/>
    </xf>
    <xf numFmtId="0" fontId="92" fillId="10" borderId="0" xfId="0" quotePrefix="1" applyFont="1" applyFill="1" applyAlignment="1" applyProtection="1">
      <alignment horizontal="right" indent="1"/>
      <protection locked="0"/>
    </xf>
    <xf numFmtId="0" fontId="67" fillId="10" borderId="0" xfId="0" applyFont="1" applyFill="1"/>
    <xf numFmtId="174" fontId="26" fillId="10" borderId="132" xfId="0" applyNumberFormat="1" applyFont="1" applyFill="1" applyBorder="1" applyAlignment="1">
      <alignment horizontal="center" vertical="center" wrapText="1"/>
    </xf>
    <xf numFmtId="3" fontId="26" fillId="10" borderId="132" xfId="1" applyNumberFormat="1" applyFont="1" applyFill="1" applyBorder="1" applyAlignment="1" applyProtection="1">
      <alignment horizontal="center" vertical="center" wrapText="1"/>
    </xf>
    <xf numFmtId="3" fontId="26" fillId="10" borderId="132" xfId="1" applyNumberFormat="1" applyFont="1" applyFill="1" applyBorder="1" applyAlignment="1" applyProtection="1">
      <alignment horizontal="center" vertical="center"/>
    </xf>
    <xf numFmtId="169" fontId="74" fillId="10" borderId="4" xfId="2" applyNumberFormat="1" applyFont="1" applyFill="1" applyBorder="1" applyAlignment="1" applyProtection="1">
      <alignment vertical="center"/>
    </xf>
    <xf numFmtId="1" fontId="24" fillId="9" borderId="18" xfId="0" applyNumberFormat="1" applyFont="1" applyFill="1" applyBorder="1" applyAlignment="1" applyProtection="1">
      <alignment horizontal="right" indent="1"/>
      <protection locked="0"/>
    </xf>
    <xf numFmtId="0" fontId="24" fillId="9" borderId="25" xfId="0" applyFont="1" applyFill="1" applyBorder="1" applyAlignment="1" applyProtection="1">
      <alignment horizontal="right" vertical="center" indent="1"/>
      <protection locked="0"/>
    </xf>
    <xf numFmtId="0" fontId="24" fillId="9" borderId="38" xfId="0" applyFont="1" applyFill="1" applyBorder="1" applyAlignment="1" applyProtection="1">
      <alignment horizontal="right" indent="1"/>
      <protection locked="0"/>
    </xf>
    <xf numFmtId="4" fontId="84" fillId="10" borderId="0" xfId="0" applyNumberFormat="1" applyFont="1" applyFill="1" applyAlignment="1">
      <alignment horizontal="center" vertical="center"/>
    </xf>
    <xf numFmtId="4" fontId="84" fillId="10" borderId="0" xfId="0" applyNumberFormat="1" applyFont="1" applyFill="1" applyAlignment="1">
      <alignment vertical="center"/>
    </xf>
    <xf numFmtId="3" fontId="134" fillId="10" borderId="132" xfId="1" applyNumberFormat="1" applyFont="1" applyFill="1" applyBorder="1" applyAlignment="1" applyProtection="1">
      <alignment horizontal="center" vertical="center" wrapText="1"/>
    </xf>
    <xf numFmtId="4" fontId="24" fillId="4" borderId="7" xfId="1" applyFont="1" applyFill="1" applyBorder="1" applyAlignment="1" applyProtection="1">
      <alignment vertical="center"/>
      <protection locked="0"/>
    </xf>
    <xf numFmtId="4" fontId="24" fillId="4" borderId="164" xfId="1" applyFont="1" applyFill="1" applyBorder="1" applyAlignment="1" applyProtection="1">
      <alignment vertical="center"/>
      <protection locked="0"/>
    </xf>
    <xf numFmtId="4" fontId="24" fillId="4" borderId="4" xfId="1" applyFont="1" applyFill="1" applyBorder="1" applyAlignment="1" applyProtection="1">
      <alignment vertical="center"/>
      <protection locked="0"/>
    </xf>
    <xf numFmtId="4" fontId="24" fillId="4" borderId="163" xfId="1" applyFont="1" applyFill="1" applyBorder="1" applyAlignment="1" applyProtection="1">
      <alignment vertical="center"/>
      <protection locked="0"/>
    </xf>
    <xf numFmtId="4" fontId="24" fillId="10" borderId="5" xfId="1" applyFont="1" applyFill="1" applyBorder="1" applyAlignment="1" applyProtection="1">
      <alignment vertical="center"/>
      <protection locked="0"/>
    </xf>
    <xf numFmtId="4" fontId="24" fillId="10" borderId="103" xfId="1" applyFont="1" applyFill="1" applyBorder="1" applyAlignment="1" applyProtection="1">
      <alignment vertical="center"/>
      <protection locked="0"/>
    </xf>
    <xf numFmtId="4" fontId="24" fillId="10" borderId="0" xfId="1" applyFont="1" applyFill="1" applyAlignment="1" applyProtection="1">
      <alignment vertical="center"/>
      <protection locked="0"/>
    </xf>
    <xf numFmtId="4" fontId="24" fillId="10" borderId="6" xfId="1" applyFont="1" applyFill="1" applyBorder="1" applyAlignment="1" applyProtection="1">
      <alignment vertical="center"/>
      <protection locked="0"/>
    </xf>
    <xf numFmtId="4" fontId="24" fillId="10" borderId="0" xfId="1" applyFont="1" applyFill="1" applyBorder="1" applyAlignment="1" applyProtection="1">
      <alignment vertical="center"/>
      <protection locked="0"/>
    </xf>
    <xf numFmtId="4" fontId="24" fillId="3" borderId="64" xfId="1" applyFont="1" applyFill="1" applyBorder="1" applyAlignment="1">
      <alignment vertical="center"/>
    </xf>
    <xf numFmtId="4" fontId="26" fillId="10" borderId="0" xfId="1" applyFont="1" applyFill="1" applyAlignment="1" applyProtection="1">
      <alignment vertical="center"/>
      <protection locked="0"/>
    </xf>
    <xf numFmtId="4" fontId="24" fillId="10" borderId="4" xfId="1" applyFont="1" applyFill="1" applyBorder="1" applyAlignment="1" applyProtection="1">
      <alignment vertical="center"/>
      <protection locked="0"/>
    </xf>
    <xf numFmtId="4" fontId="27" fillId="10" borderId="0" xfId="1" applyFont="1" applyFill="1" applyAlignment="1" applyProtection="1">
      <alignment horizontal="center" vertical="center"/>
      <protection locked="0"/>
    </xf>
    <xf numFmtId="4" fontId="24" fillId="10" borderId="164" xfId="1" applyFont="1" applyFill="1" applyBorder="1" applyAlignment="1" applyProtection="1">
      <alignment vertical="center"/>
      <protection locked="0"/>
    </xf>
    <xf numFmtId="4" fontId="24" fillId="4" borderId="7" xfId="1" applyFont="1" applyFill="1" applyBorder="1" applyAlignment="1" applyProtection="1">
      <alignment vertical="distributed"/>
      <protection locked="0"/>
    </xf>
    <xf numFmtId="4" fontId="24" fillId="4" borderId="4" xfId="1" applyFont="1" applyFill="1" applyBorder="1" applyAlignment="1" applyProtection="1">
      <alignment vertical="distributed"/>
      <protection locked="0"/>
    </xf>
    <xf numFmtId="4" fontId="24" fillId="4" borderId="30" xfId="1" applyFont="1" applyFill="1" applyBorder="1" applyAlignment="1" applyProtection="1">
      <alignment vertical="distributed"/>
      <protection locked="0"/>
    </xf>
    <xf numFmtId="4" fontId="24" fillId="10" borderId="166" xfId="1" applyFont="1" applyFill="1" applyBorder="1" applyAlignment="1" applyProtection="1">
      <alignment vertical="center"/>
      <protection locked="0"/>
    </xf>
    <xf numFmtId="4" fontId="24" fillId="10" borderId="167" xfId="1" applyFont="1" applyFill="1" applyBorder="1" applyAlignment="1" applyProtection="1">
      <alignment vertical="center"/>
      <protection locked="0"/>
    </xf>
    <xf numFmtId="4" fontId="24" fillId="4" borderId="10" xfId="1" applyFont="1" applyFill="1" applyBorder="1" applyAlignment="1" applyProtection="1">
      <alignment vertical="distributed"/>
      <protection locked="0"/>
    </xf>
    <xf numFmtId="4" fontId="24" fillId="4" borderId="9" xfId="1" applyFont="1" applyFill="1" applyBorder="1" applyAlignment="1" applyProtection="1">
      <alignment vertical="distributed"/>
      <protection locked="0"/>
    </xf>
    <xf numFmtId="4" fontId="24" fillId="10" borderId="164" xfId="1" applyFont="1" applyFill="1" applyBorder="1" applyAlignment="1" applyProtection="1">
      <alignment vertical="center"/>
    </xf>
    <xf numFmtId="4" fontId="24" fillId="10" borderId="7" xfId="1" applyFont="1" applyFill="1" applyBorder="1" applyAlignment="1" applyProtection="1">
      <alignment vertical="center"/>
      <protection locked="0"/>
    </xf>
    <xf numFmtId="4" fontId="24" fillId="10" borderId="0" xfId="1" applyFont="1" applyFill="1" applyAlignment="1" applyProtection="1">
      <alignment vertical="center"/>
    </xf>
    <xf numFmtId="4" fontId="24" fillId="4" borderId="65" xfId="1" applyFont="1" applyFill="1" applyBorder="1" applyAlignment="1" applyProtection="1">
      <alignment vertical="center"/>
      <protection locked="0"/>
    </xf>
    <xf numFmtId="4" fontId="24" fillId="10" borderId="176" xfId="1" applyFont="1" applyFill="1" applyBorder="1" applyAlignment="1" applyProtection="1">
      <alignment vertical="center"/>
    </xf>
    <xf numFmtId="4" fontId="24" fillId="10" borderId="10" xfId="1" applyFont="1" applyFill="1" applyBorder="1" applyAlignment="1" applyProtection="1">
      <alignment vertical="center"/>
      <protection locked="0"/>
    </xf>
    <xf numFmtId="4" fontId="24" fillId="10" borderId="173" xfId="1" applyFont="1" applyFill="1" applyBorder="1" applyAlignment="1" applyProtection="1">
      <alignment vertical="center"/>
      <protection locked="0"/>
    </xf>
    <xf numFmtId="4" fontId="24" fillId="10" borderId="9" xfId="1" applyFont="1" applyFill="1" applyBorder="1" applyAlignment="1" applyProtection="1">
      <alignment vertical="center"/>
      <protection locked="0"/>
    </xf>
    <xf numFmtId="4" fontId="24" fillId="10" borderId="7" xfId="1" applyFont="1" applyFill="1" applyBorder="1" applyAlignment="1">
      <alignment vertical="center"/>
    </xf>
    <xf numFmtId="4" fontId="26" fillId="4" borderId="4" xfId="1" applyFont="1" applyFill="1" applyBorder="1" applyAlignment="1" applyProtection="1">
      <alignment vertical="center"/>
      <protection locked="0"/>
    </xf>
    <xf numFmtId="4" fontId="24" fillId="4" borderId="0" xfId="1" applyFont="1" applyFill="1" applyBorder="1" applyAlignment="1" applyProtection="1">
      <alignment vertical="center"/>
      <protection locked="0"/>
    </xf>
    <xf numFmtId="4" fontId="24" fillId="10" borderId="4" xfId="1" applyFont="1" applyFill="1" applyBorder="1" applyAlignment="1" applyProtection="1">
      <alignment vertical="center"/>
    </xf>
    <xf numFmtId="4" fontId="24" fillId="10" borderId="0" xfId="1" applyFont="1" applyFill="1" applyBorder="1" applyAlignment="1" applyProtection="1">
      <alignment vertical="center"/>
    </xf>
    <xf numFmtId="3" fontId="26" fillId="10" borderId="130" xfId="1" applyNumberFormat="1" applyFont="1" applyFill="1" applyBorder="1" applyAlignment="1" applyProtection="1">
      <alignment horizontal="center" vertical="center" wrapText="1"/>
    </xf>
    <xf numFmtId="174" fontId="26" fillId="10" borderId="130" xfId="0" applyNumberFormat="1" applyFont="1" applyFill="1" applyBorder="1" applyAlignment="1">
      <alignment horizontal="center" vertical="center" wrapText="1"/>
    </xf>
    <xf numFmtId="3" fontId="26" fillId="10" borderId="130" xfId="1" applyNumberFormat="1" applyFont="1" applyFill="1" applyBorder="1" applyAlignment="1" applyProtection="1">
      <alignment horizontal="center" vertical="center"/>
    </xf>
    <xf numFmtId="4" fontId="24" fillId="4" borderId="29" xfId="1" applyFont="1" applyFill="1" applyBorder="1" applyAlignment="1" applyProtection="1">
      <alignment vertical="center"/>
      <protection locked="0"/>
    </xf>
    <xf numFmtId="3" fontId="26" fillId="10" borderId="194" xfId="1" applyNumberFormat="1" applyFont="1" applyFill="1" applyBorder="1" applyAlignment="1" applyProtection="1">
      <alignment horizontal="center" vertical="center" wrapText="1"/>
    </xf>
    <xf numFmtId="3" fontId="24" fillId="9" borderId="141" xfId="0" applyNumberFormat="1" applyFont="1" applyFill="1" applyBorder="1" applyAlignment="1" applyProtection="1">
      <alignment vertical="center"/>
      <protection locked="0"/>
    </xf>
    <xf numFmtId="179" fontId="59" fillId="10" borderId="88" xfId="0" applyNumberFormat="1" applyFont="1" applyFill="1" applyBorder="1" applyAlignment="1" applyProtection="1">
      <alignment horizontal="right" vertical="center"/>
      <protection locked="0"/>
    </xf>
    <xf numFmtId="4" fontId="35" fillId="10" borderId="5" xfId="0" applyNumberFormat="1" applyFont="1" applyFill="1" applyBorder="1" applyAlignment="1">
      <alignment horizontal="right" vertical="distributed"/>
    </xf>
    <xf numFmtId="4" fontId="24" fillId="20" borderId="5" xfId="0" applyNumberFormat="1" applyFont="1" applyFill="1" applyBorder="1" applyAlignment="1">
      <alignment horizontal="right" vertical="distributed"/>
    </xf>
    <xf numFmtId="4" fontId="24" fillId="20" borderId="6" xfId="0" applyNumberFormat="1" applyFont="1" applyFill="1" applyBorder="1" applyAlignment="1">
      <alignment horizontal="right" vertical="distributed"/>
    </xf>
    <xf numFmtId="4" fontId="74" fillId="10" borderId="0" xfId="0" applyNumberFormat="1" applyFont="1" applyFill="1" applyAlignment="1">
      <alignment horizontal="center" vertical="center"/>
    </xf>
    <xf numFmtId="4" fontId="24" fillId="20" borderId="4" xfId="0" applyNumberFormat="1" applyFont="1" applyFill="1" applyBorder="1" applyAlignment="1">
      <alignment horizontal="right" vertical="distributed"/>
    </xf>
    <xf numFmtId="0" fontId="66" fillId="10" borderId="4" xfId="0" applyFont="1" applyFill="1" applyBorder="1" applyAlignment="1">
      <alignment horizontal="center" vertical="distributed"/>
    </xf>
    <xf numFmtId="4" fontId="74" fillId="10" borderId="0" xfId="0" applyNumberFormat="1" applyFont="1" applyFill="1" applyAlignment="1">
      <alignment horizontal="center"/>
    </xf>
    <xf numFmtId="9" fontId="74" fillId="10" borderId="4" xfId="2" applyFont="1" applyFill="1" applyBorder="1" applyAlignment="1" applyProtection="1">
      <alignment horizontal="center" vertical="distributed"/>
    </xf>
    <xf numFmtId="9" fontId="74" fillId="10" borderId="5" xfId="2" applyFont="1" applyFill="1" applyBorder="1" applyAlignment="1" applyProtection="1">
      <alignment horizontal="center" vertical="distributed"/>
    </xf>
    <xf numFmtId="9" fontId="74" fillId="10" borderId="47" xfId="2" applyFont="1" applyFill="1" applyBorder="1" applyAlignment="1" applyProtection="1">
      <alignment horizontal="center" vertical="distributed"/>
    </xf>
    <xf numFmtId="3" fontId="24" fillId="20" borderId="0" xfId="0" applyNumberFormat="1" applyFont="1" applyFill="1" applyAlignment="1">
      <alignment horizontal="right" vertical="distributed"/>
    </xf>
    <xf numFmtId="3" fontId="67" fillId="10" borderId="199" xfId="3" applyNumberFormat="1" applyFont="1" applyFill="1" applyBorder="1" applyAlignment="1">
      <alignment vertical="center"/>
    </xf>
    <xf numFmtId="1" fontId="70" fillId="10" borderId="137" xfId="0" applyNumberFormat="1" applyFont="1" applyFill="1" applyBorder="1" applyAlignment="1">
      <alignment horizontal="center" vertical="center"/>
    </xf>
    <xf numFmtId="4" fontId="75" fillId="10" borderId="137" xfId="0" applyNumberFormat="1" applyFont="1" applyFill="1" applyBorder="1" applyAlignment="1">
      <alignment horizontal="center" vertical="center"/>
    </xf>
    <xf numFmtId="49" fontId="75" fillId="10" borderId="137" xfId="0" applyNumberFormat="1" applyFont="1" applyFill="1" applyBorder="1" applyAlignment="1">
      <alignment horizontal="center" vertical="center"/>
    </xf>
    <xf numFmtId="49" fontId="75" fillId="10" borderId="134" xfId="0" applyNumberFormat="1" applyFont="1" applyFill="1" applyBorder="1" applyAlignment="1">
      <alignment horizontal="center" vertical="center"/>
    </xf>
    <xf numFmtId="4" fontId="75" fillId="10" borderId="136" xfId="0" applyNumberFormat="1" applyFont="1" applyFill="1" applyBorder="1" applyAlignment="1">
      <alignment horizontal="center" vertical="center"/>
    </xf>
    <xf numFmtId="0" fontId="75" fillId="10" borderId="136" xfId="0" applyFont="1" applyFill="1" applyBorder="1" applyAlignment="1">
      <alignment horizontal="center" vertical="center"/>
    </xf>
    <xf numFmtId="0" fontId="75" fillId="10" borderId="139" xfId="0" applyFont="1" applyFill="1" applyBorder="1" applyAlignment="1">
      <alignment horizontal="center" vertical="center"/>
    </xf>
    <xf numFmtId="0" fontId="75" fillId="10" borderId="136" xfId="0" applyFont="1" applyFill="1" applyBorder="1" applyAlignment="1">
      <alignment vertical="center"/>
    </xf>
    <xf numFmtId="4" fontId="75" fillId="10" borderId="130" xfId="0" applyNumberFormat="1" applyFont="1" applyFill="1" applyBorder="1" applyAlignment="1">
      <alignment horizontal="center" vertical="center"/>
    </xf>
    <xf numFmtId="4" fontId="70" fillId="10" borderId="130" xfId="0" applyNumberFormat="1" applyFont="1" applyFill="1" applyBorder="1" applyAlignment="1">
      <alignment horizontal="center" vertical="center"/>
    </xf>
    <xf numFmtId="0" fontId="75" fillId="10" borderId="130" xfId="0" applyFont="1" applyFill="1" applyBorder="1" applyAlignment="1">
      <alignment vertical="center"/>
    </xf>
    <xf numFmtId="9" fontId="75" fillId="10" borderId="130" xfId="0" applyNumberFormat="1" applyFont="1" applyFill="1" applyBorder="1" applyAlignment="1">
      <alignment horizontal="center" vertical="center"/>
    </xf>
    <xf numFmtId="9" fontId="75" fillId="10" borderId="131" xfId="0" applyNumberFormat="1" applyFont="1" applyFill="1" applyBorder="1" applyAlignment="1">
      <alignment horizontal="center" vertical="center"/>
    </xf>
    <xf numFmtId="0" fontId="107" fillId="10" borderId="0" xfId="0" applyFont="1" applyFill="1" applyAlignment="1">
      <alignment horizontal="left" vertical="center"/>
    </xf>
    <xf numFmtId="0" fontId="25" fillId="10" borderId="0" xfId="0" applyFont="1" applyFill="1" applyAlignment="1">
      <alignment horizontal="left" vertical="center"/>
    </xf>
    <xf numFmtId="0" fontId="12" fillId="10" borderId="0" xfId="6" applyFont="1" applyFill="1" applyAlignment="1">
      <alignment horizontal="centerContinuous"/>
    </xf>
    <xf numFmtId="4" fontId="7" fillId="10" borderId="0" xfId="6" applyNumberFormat="1" applyFont="1" applyFill="1"/>
    <xf numFmtId="2" fontId="104" fillId="10" borderId="0" xfId="6" applyNumberFormat="1" applyFont="1" applyFill="1" applyAlignment="1">
      <alignment horizontal="right"/>
    </xf>
    <xf numFmtId="2" fontId="104" fillId="10" borderId="0" xfId="6" applyNumberFormat="1" applyFont="1" applyFill="1"/>
    <xf numFmtId="2" fontId="78" fillId="10" borderId="0" xfId="6" applyNumberFormat="1" applyFont="1" applyFill="1"/>
    <xf numFmtId="2" fontId="106" fillId="10" borderId="0" xfId="6" applyNumberFormat="1" applyFont="1" applyFill="1"/>
    <xf numFmtId="4" fontId="10" fillId="10" borderId="0" xfId="6" applyNumberFormat="1" applyFont="1" applyFill="1"/>
    <xf numFmtId="0" fontId="23" fillId="10" borderId="0" xfId="6" applyFont="1" applyFill="1"/>
    <xf numFmtId="165" fontId="24" fillId="10" borderId="0" xfId="6" applyNumberFormat="1" applyFont="1" applyFill="1"/>
    <xf numFmtId="4" fontId="24" fillId="10" borderId="0" xfId="6" applyNumberFormat="1" applyFont="1" applyFill="1"/>
    <xf numFmtId="0" fontId="24" fillId="10" borderId="0" xfId="6" applyFont="1" applyFill="1"/>
    <xf numFmtId="4" fontId="27" fillId="10" borderId="0" xfId="6" applyNumberFormat="1" applyFont="1" applyFill="1" applyAlignment="1">
      <alignment horizontal="right"/>
    </xf>
    <xf numFmtId="0" fontId="27" fillId="10" borderId="0" xfId="6" applyFont="1" applyFill="1" applyAlignment="1">
      <alignment horizontal="right"/>
    </xf>
    <xf numFmtId="0" fontId="56" fillId="10" borderId="0" xfId="6" applyFont="1" applyFill="1"/>
    <xf numFmtId="10" fontId="10" fillId="10" borderId="0" xfId="2" applyNumberFormat="1" applyFont="1" applyFill="1" applyBorder="1" applyProtection="1"/>
    <xf numFmtId="2" fontId="24" fillId="10" borderId="0" xfId="6" applyNumberFormat="1" applyFont="1" applyFill="1"/>
    <xf numFmtId="2" fontId="105" fillId="10" borderId="0" xfId="6" applyNumberFormat="1" applyFont="1" applyFill="1" applyAlignment="1">
      <alignment horizontal="right"/>
    </xf>
    <xf numFmtId="165" fontId="30" fillId="10" borderId="0" xfId="6" applyNumberFormat="1" applyFont="1" applyFill="1"/>
    <xf numFmtId="0" fontId="24" fillId="10" borderId="0" xfId="6" applyFont="1" applyFill="1" applyAlignment="1">
      <alignment horizontal="right"/>
    </xf>
    <xf numFmtId="0" fontId="74" fillId="10" borderId="0" xfId="6" applyFont="1" applyFill="1"/>
    <xf numFmtId="2" fontId="10" fillId="10" borderId="0" xfId="6" applyNumberFormat="1" applyFont="1" applyFill="1"/>
    <xf numFmtId="166" fontId="7" fillId="10" borderId="0" xfId="6" applyNumberFormat="1" applyFont="1" applyFill="1"/>
    <xf numFmtId="0" fontId="27" fillId="10" borderId="0" xfId="6" applyFont="1" applyFill="1" applyAlignment="1">
      <alignment horizontal="right" vertical="center"/>
    </xf>
    <xf numFmtId="0" fontId="27" fillId="10" borderId="0" xfId="6" applyFont="1" applyFill="1" applyAlignment="1">
      <alignment horizontal="right" wrapText="1"/>
    </xf>
    <xf numFmtId="4" fontId="48" fillId="10" borderId="0" xfId="6" applyNumberFormat="1" applyFont="1" applyFill="1"/>
    <xf numFmtId="0" fontId="41" fillId="10" borderId="0" xfId="6" applyFont="1" applyFill="1"/>
    <xf numFmtId="3" fontId="57" fillId="10" borderId="0" xfId="6" applyNumberFormat="1" applyFont="1" applyFill="1"/>
    <xf numFmtId="3" fontId="24" fillId="10" borderId="0" xfId="6" applyNumberFormat="1" applyFont="1" applyFill="1" applyAlignment="1">
      <alignment horizontal="center"/>
    </xf>
    <xf numFmtId="1" fontId="24" fillId="4" borderId="7" xfId="0" applyNumberFormat="1" applyFont="1" applyFill="1" applyBorder="1" applyAlignment="1" applyProtection="1">
      <alignment horizontal="center"/>
      <protection locked="0"/>
    </xf>
    <xf numFmtId="1" fontId="24" fillId="4" borderId="7" xfId="0" applyNumberFormat="1" applyFont="1" applyFill="1" applyBorder="1" applyProtection="1">
      <protection locked="0"/>
    </xf>
    <xf numFmtId="4" fontId="24" fillId="9" borderId="9" xfId="1" applyFont="1" applyFill="1" applyBorder="1" applyAlignment="1" applyProtection="1">
      <alignment horizontal="center"/>
      <protection locked="0"/>
    </xf>
    <xf numFmtId="4" fontId="24" fillId="9" borderId="9" xfId="1" applyFont="1" applyFill="1" applyBorder="1" applyProtection="1">
      <protection locked="0"/>
    </xf>
    <xf numFmtId="4" fontId="24" fillId="9" borderId="7" xfId="1" applyFont="1" applyFill="1" applyBorder="1" applyProtection="1">
      <protection locked="0"/>
    </xf>
    <xf numFmtId="4" fontId="24" fillId="3" borderId="3" xfId="0" applyNumberFormat="1" applyFont="1" applyFill="1" applyBorder="1" applyAlignment="1">
      <alignment horizontal="right" vertical="center"/>
    </xf>
    <xf numFmtId="4" fontId="27" fillId="3" borderId="3" xfId="0" applyNumberFormat="1" applyFont="1" applyFill="1" applyBorder="1" applyAlignment="1">
      <alignment horizontal="right" vertical="center"/>
    </xf>
    <xf numFmtId="4" fontId="24" fillId="3" borderId="33" xfId="0" applyNumberFormat="1" applyFont="1" applyFill="1" applyBorder="1" applyAlignment="1">
      <alignment horizontal="right" vertical="center"/>
    </xf>
    <xf numFmtId="3" fontId="24" fillId="3" borderId="3" xfId="0" applyNumberFormat="1" applyFont="1" applyFill="1" applyBorder="1" applyAlignment="1">
      <alignment horizontal="right" vertical="center"/>
    </xf>
    <xf numFmtId="4" fontId="24" fillId="3" borderId="34" xfId="0" applyNumberFormat="1" applyFont="1" applyFill="1" applyBorder="1" applyAlignment="1">
      <alignment vertical="center"/>
    </xf>
    <xf numFmtId="0" fontId="20" fillId="10" borderId="0" xfId="0" applyFont="1" applyFill="1"/>
    <xf numFmtId="0" fontId="60" fillId="10" borderId="0" xfId="0" applyFont="1" applyFill="1" applyAlignment="1">
      <alignment horizontal="right"/>
    </xf>
    <xf numFmtId="175" fontId="67" fillId="10" borderId="84" xfId="0" applyNumberFormat="1" applyFont="1" applyFill="1" applyBorder="1" applyAlignment="1">
      <alignment horizontal="right" vertical="center"/>
    </xf>
    <xf numFmtId="175" fontId="60" fillId="10" borderId="82" xfId="0" applyNumberFormat="1" applyFont="1" applyFill="1" applyBorder="1" applyAlignment="1">
      <alignment horizontal="right" vertical="center"/>
    </xf>
    <xf numFmtId="175" fontId="60" fillId="10" borderId="84" xfId="0" applyNumberFormat="1" applyFont="1" applyFill="1" applyBorder="1" applyAlignment="1">
      <alignment horizontal="right" vertical="center"/>
    </xf>
    <xf numFmtId="175" fontId="60" fillId="10" borderId="0" xfId="0" applyNumberFormat="1" applyFont="1" applyFill="1" applyAlignment="1">
      <alignment horizontal="right" vertical="center"/>
    </xf>
    <xf numFmtId="175" fontId="49" fillId="10" borderId="0" xfId="0" applyNumberFormat="1" applyFont="1" applyFill="1" applyAlignment="1">
      <alignment horizontal="right" vertical="center"/>
    </xf>
    <xf numFmtId="0" fontId="113" fillId="10" borderId="0" xfId="0" applyFont="1" applyFill="1" applyAlignment="1">
      <alignment vertical="center"/>
    </xf>
    <xf numFmtId="0" fontId="113" fillId="10" borderId="0" xfId="0" applyFont="1" applyFill="1" applyAlignment="1">
      <alignment horizontal="center" vertical="center"/>
    </xf>
    <xf numFmtId="0" fontId="23" fillId="10" borderId="0" xfId="0" applyFont="1" applyFill="1" applyAlignment="1">
      <alignment vertical="center"/>
    </xf>
    <xf numFmtId="166" fontId="23" fillId="10" borderId="0" xfId="0" applyNumberFormat="1" applyFont="1" applyFill="1" applyAlignment="1">
      <alignment horizontal="center" vertical="center"/>
    </xf>
    <xf numFmtId="1" fontId="39" fillId="10" borderId="0" xfId="0" applyNumberFormat="1" applyFont="1" applyFill="1" applyAlignment="1">
      <alignment horizontal="right" vertical="center" wrapText="1" shrinkToFit="1"/>
    </xf>
    <xf numFmtId="1" fontId="112" fillId="17" borderId="0" xfId="0" applyNumberFormat="1" applyFont="1" applyFill="1" applyAlignment="1">
      <alignment horizontal="center" vertical="center" wrapText="1" shrinkToFit="1"/>
    </xf>
    <xf numFmtId="1" fontId="39" fillId="11" borderId="0" xfId="0" applyNumberFormat="1" applyFont="1" applyFill="1" applyAlignment="1">
      <alignment horizontal="center" vertical="center" wrapText="1" shrinkToFit="1"/>
    </xf>
    <xf numFmtId="1" fontId="26" fillId="15" borderId="0" xfId="0" applyNumberFormat="1" applyFont="1" applyFill="1" applyAlignment="1">
      <alignment horizontal="center" vertical="center" wrapText="1" shrinkToFit="1"/>
    </xf>
    <xf numFmtId="1" fontId="26" fillId="16" borderId="0" xfId="0" applyNumberFormat="1" applyFont="1" applyFill="1" applyAlignment="1">
      <alignment horizontal="center" vertical="center" wrapText="1" shrinkToFit="1"/>
    </xf>
    <xf numFmtId="2" fontId="26" fillId="10" borderId="85" xfId="0" applyNumberFormat="1" applyFont="1" applyFill="1" applyBorder="1" applyAlignment="1">
      <alignment horizontal="right" vertical="center"/>
    </xf>
    <xf numFmtId="0" fontId="26" fillId="10" borderId="0" xfId="0" applyFont="1" applyFill="1" applyAlignment="1">
      <alignment horizontal="right" vertical="center" wrapText="1"/>
    </xf>
    <xf numFmtId="0" fontId="26" fillId="10" borderId="0" xfId="0" quotePrefix="1" applyFont="1" applyFill="1" applyAlignment="1">
      <alignment horizontal="right" vertical="center"/>
    </xf>
    <xf numFmtId="1" fontId="39" fillId="11" borderId="86" xfId="0" applyNumberFormat="1" applyFont="1" applyFill="1" applyBorder="1" applyAlignment="1">
      <alignment horizontal="center" vertical="center" wrapText="1" shrinkToFit="1"/>
    </xf>
    <xf numFmtId="0" fontId="14" fillId="10" borderId="0" xfId="0" applyFont="1" applyFill="1" applyAlignment="1">
      <alignment vertical="center"/>
    </xf>
    <xf numFmtId="168" fontId="10" fillId="10" borderId="0" xfId="0" applyNumberFormat="1" applyFont="1" applyFill="1" applyAlignment="1">
      <alignment vertical="center"/>
    </xf>
    <xf numFmtId="166" fontId="14" fillId="10" borderId="0" xfId="0" applyNumberFormat="1" applyFont="1" applyFill="1" applyAlignment="1">
      <alignment horizontal="center" vertical="center"/>
    </xf>
    <xf numFmtId="49" fontId="9" fillId="10" borderId="0" xfId="0" applyNumberFormat="1" applyFont="1" applyFill="1" applyAlignment="1">
      <alignment horizontal="center"/>
    </xf>
    <xf numFmtId="49" fontId="70" fillId="10" borderId="97" xfId="0" applyNumberFormat="1" applyFont="1" applyFill="1" applyBorder="1" applyAlignment="1">
      <alignment horizontal="center"/>
    </xf>
    <xf numFmtId="49" fontId="70" fillId="10" borderId="108" xfId="0" applyNumberFormat="1" applyFont="1" applyFill="1" applyBorder="1" applyAlignment="1">
      <alignment horizontal="center"/>
    </xf>
    <xf numFmtId="0" fontId="26" fillId="10" borderId="0" xfId="0" applyFont="1" applyFill="1" applyAlignment="1">
      <alignment horizontal="right" vertical="center"/>
    </xf>
    <xf numFmtId="0" fontId="10" fillId="10" borderId="86" xfId="0" applyFont="1" applyFill="1" applyBorder="1" applyAlignment="1">
      <alignment vertical="center"/>
    </xf>
    <xf numFmtId="0" fontId="10" fillId="10" borderId="108" xfId="0" applyFont="1" applyFill="1" applyBorder="1" applyAlignment="1">
      <alignment vertical="center"/>
    </xf>
    <xf numFmtId="167" fontId="24" fillId="10" borderId="0" xfId="0" applyNumberFormat="1" applyFont="1" applyFill="1" applyAlignment="1">
      <alignment horizontal="center" vertical="center"/>
    </xf>
    <xf numFmtId="0" fontId="24" fillId="10" borderId="0" xfId="0" applyFont="1" applyFill="1" applyAlignment="1">
      <alignment vertical="center"/>
    </xf>
    <xf numFmtId="166" fontId="24" fillId="10" borderId="0" xfId="0" applyNumberFormat="1" applyFont="1" applyFill="1" applyAlignment="1">
      <alignment horizontal="center" vertical="center"/>
    </xf>
    <xf numFmtId="3" fontId="27" fillId="10" borderId="97" xfId="0" applyNumberFormat="1" applyFont="1" applyFill="1" applyBorder="1" applyAlignment="1">
      <alignment vertical="center"/>
    </xf>
    <xf numFmtId="3" fontId="27" fillId="10" borderId="108" xfId="0" applyNumberFormat="1" applyFont="1" applyFill="1" applyBorder="1" applyAlignment="1">
      <alignment vertical="center"/>
    </xf>
    <xf numFmtId="3" fontId="24" fillId="17" borderId="0" xfId="0" applyNumberFormat="1" applyFont="1" applyFill="1" applyAlignment="1">
      <alignment vertical="center"/>
    </xf>
    <xf numFmtId="3" fontId="24" fillId="11" borderId="0" xfId="0" applyNumberFormat="1" applyFont="1" applyFill="1" applyAlignment="1">
      <alignment vertical="center"/>
    </xf>
    <xf numFmtId="3" fontId="24" fillId="15" borderId="0" xfId="0" applyNumberFormat="1" applyFont="1" applyFill="1" applyAlignment="1">
      <alignment vertical="center"/>
    </xf>
    <xf numFmtId="3" fontId="24" fillId="16" borderId="0" xfId="0" applyNumberFormat="1" applyFont="1" applyFill="1" applyAlignment="1">
      <alignment vertical="center"/>
    </xf>
    <xf numFmtId="3" fontId="24" fillId="10" borderId="97" xfId="0" applyNumberFormat="1" applyFont="1" applyFill="1" applyBorder="1" applyAlignment="1">
      <alignment vertical="center"/>
    </xf>
    <xf numFmtId="176" fontId="24" fillId="10" borderId="0" xfId="0" applyNumberFormat="1" applyFont="1" applyFill="1" applyAlignment="1">
      <alignment vertical="center"/>
    </xf>
    <xf numFmtId="3" fontId="24" fillId="11" borderId="86" xfId="0" applyNumberFormat="1" applyFont="1" applyFill="1" applyBorder="1" applyAlignment="1">
      <alignment vertical="center"/>
    </xf>
    <xf numFmtId="3" fontId="24" fillId="16" borderId="108" xfId="0" applyNumberFormat="1" applyFont="1" applyFill="1" applyBorder="1" applyAlignment="1">
      <alignment vertical="center"/>
    </xf>
    <xf numFmtId="3" fontId="24" fillId="10" borderId="141" xfId="0" applyNumberFormat="1" applyFont="1" applyFill="1" applyBorder="1" applyAlignment="1">
      <alignment vertical="center"/>
    </xf>
    <xf numFmtId="3" fontId="24" fillId="10" borderId="195" xfId="0" applyNumberFormat="1" applyFont="1" applyFill="1" applyBorder="1" applyAlignment="1">
      <alignment vertical="center"/>
    </xf>
    <xf numFmtId="176" fontId="24" fillId="10" borderId="137" xfId="0" applyNumberFormat="1" applyFont="1" applyFill="1" applyBorder="1" applyAlignment="1">
      <alignment vertical="center"/>
    </xf>
    <xf numFmtId="176" fontId="24" fillId="10" borderId="0" xfId="0" applyNumberFormat="1" applyFont="1" applyFill="1" applyAlignment="1">
      <alignment vertical="distributed"/>
    </xf>
    <xf numFmtId="176" fontId="27" fillId="10" borderId="97" xfId="0" applyNumberFormat="1" applyFont="1" applyFill="1" applyBorder="1" applyAlignment="1">
      <alignment vertical="distributed"/>
    </xf>
    <xf numFmtId="176" fontId="27" fillId="10" borderId="108" xfId="0" applyNumberFormat="1" applyFont="1" applyFill="1" applyBorder="1" applyAlignment="1">
      <alignment vertical="distributed"/>
    </xf>
    <xf numFmtId="176" fontId="24" fillId="17" borderId="0" xfId="0" applyNumberFormat="1" applyFont="1" applyFill="1" applyAlignment="1">
      <alignment vertical="distributed"/>
    </xf>
    <xf numFmtId="3" fontId="24" fillId="11" borderId="153" xfId="0" applyNumberFormat="1" applyFont="1" applyFill="1" applyBorder="1" applyAlignment="1">
      <alignment vertical="center"/>
    </xf>
    <xf numFmtId="3" fontId="24" fillId="16" borderId="162" xfId="0" applyNumberFormat="1" applyFont="1" applyFill="1" applyBorder="1" applyAlignment="1">
      <alignment vertical="center"/>
    </xf>
    <xf numFmtId="167" fontId="23" fillId="3" borderId="2" xfId="0" applyNumberFormat="1" applyFont="1" applyFill="1" applyBorder="1" applyAlignment="1">
      <alignment horizontal="center" vertical="center"/>
    </xf>
    <xf numFmtId="168" fontId="23" fillId="3" borderId="2" xfId="0" applyNumberFormat="1" applyFont="1" applyFill="1" applyBorder="1" applyAlignment="1">
      <alignment vertical="center"/>
    </xf>
    <xf numFmtId="166" fontId="23" fillId="3" borderId="2" xfId="0" applyNumberFormat="1" applyFont="1" applyFill="1" applyBorder="1" applyAlignment="1">
      <alignment horizontal="center" vertical="center"/>
    </xf>
    <xf numFmtId="3" fontId="28" fillId="3" borderId="98" xfId="0" applyNumberFormat="1" applyFont="1" applyFill="1" applyBorder="1" applyAlignment="1">
      <alignment vertical="center"/>
    </xf>
    <xf numFmtId="3" fontId="28" fillId="3" borderId="109" xfId="0" applyNumberFormat="1" applyFont="1" applyFill="1" applyBorder="1" applyAlignment="1">
      <alignment vertical="center"/>
    </xf>
    <xf numFmtId="3" fontId="23" fillId="3" borderId="98" xfId="0" applyNumberFormat="1" applyFont="1" applyFill="1" applyBorder="1" applyAlignment="1">
      <alignment vertical="center"/>
    </xf>
    <xf numFmtId="176" fontId="23" fillId="3" borderId="2" xfId="0" applyNumberFormat="1" applyFont="1" applyFill="1" applyBorder="1" applyAlignment="1">
      <alignment vertical="center"/>
    </xf>
    <xf numFmtId="3" fontId="23" fillId="3" borderId="87" xfId="0" applyNumberFormat="1" applyFont="1" applyFill="1" applyBorder="1" applyAlignment="1">
      <alignment vertical="center"/>
    </xf>
    <xf numFmtId="3" fontId="23" fillId="3" borderId="198" xfId="0" applyNumberFormat="1" applyFont="1" applyFill="1" applyBorder="1" applyAlignment="1">
      <alignment vertical="center"/>
    </xf>
    <xf numFmtId="3" fontId="23" fillId="3" borderId="196" xfId="0" applyNumberFormat="1" applyFont="1" applyFill="1" applyBorder="1" applyAlignment="1">
      <alignment vertical="center"/>
    </xf>
    <xf numFmtId="3" fontId="23" fillId="3" borderId="197" xfId="0" applyNumberFormat="1" applyFont="1" applyFill="1" applyBorder="1" applyAlignment="1">
      <alignment vertical="center"/>
    </xf>
    <xf numFmtId="2" fontId="24" fillId="10" borderId="0" xfId="0" applyNumberFormat="1" applyFont="1" applyFill="1" applyAlignment="1">
      <alignment horizontal="right" vertical="center"/>
    </xf>
    <xf numFmtId="3" fontId="24" fillId="10" borderId="0" xfId="1" applyNumberFormat="1" applyFont="1" applyFill="1" applyAlignment="1" applyProtection="1">
      <alignment vertical="center"/>
    </xf>
    <xf numFmtId="176" fontId="24" fillId="10" borderId="141" xfId="0" applyNumberFormat="1" applyFont="1" applyFill="1" applyBorder="1" applyAlignment="1">
      <alignment vertical="center"/>
    </xf>
    <xf numFmtId="10" fontId="24" fillId="10" borderId="0" xfId="0" applyNumberFormat="1" applyFont="1" applyFill="1" applyAlignment="1">
      <alignment vertical="center"/>
    </xf>
    <xf numFmtId="3" fontId="24" fillId="10" borderId="107" xfId="1" applyNumberFormat="1" applyFont="1" applyFill="1" applyBorder="1" applyAlignment="1" applyProtection="1">
      <alignment vertical="center"/>
    </xf>
    <xf numFmtId="10" fontId="24" fillId="10" borderId="96" xfId="0" applyNumberFormat="1" applyFont="1" applyFill="1" applyBorder="1" applyAlignment="1">
      <alignment vertical="center"/>
    </xf>
    <xf numFmtId="10" fontId="24" fillId="10" borderId="86" xfId="0" applyNumberFormat="1" applyFont="1" applyFill="1" applyBorder="1" applyAlignment="1">
      <alignment vertical="center"/>
    </xf>
    <xf numFmtId="3" fontId="23" fillId="11" borderId="83" xfId="0" applyNumberFormat="1" applyFont="1" applyFill="1" applyBorder="1" applyAlignment="1">
      <alignment vertical="center"/>
    </xf>
    <xf numFmtId="3" fontId="24" fillId="11" borderId="83" xfId="0" applyNumberFormat="1" applyFont="1" applyFill="1" applyBorder="1" applyAlignment="1">
      <alignment vertical="center"/>
    </xf>
    <xf numFmtId="0" fontId="14" fillId="10" borderId="85" xfId="0" applyFont="1" applyFill="1" applyBorder="1" applyAlignment="1">
      <alignment vertical="center"/>
    </xf>
    <xf numFmtId="3" fontId="23" fillId="11" borderId="84" xfId="0" applyNumberFormat="1" applyFont="1" applyFill="1" applyBorder="1" applyAlignment="1">
      <alignment vertical="center"/>
    </xf>
    <xf numFmtId="169" fontId="126" fillId="10" borderId="0" xfId="2" applyNumberFormat="1" applyFont="1" applyFill="1" applyAlignment="1" applyProtection="1">
      <alignment vertical="center"/>
    </xf>
    <xf numFmtId="9" fontId="23" fillId="10" borderId="0" xfId="2" applyFont="1" applyFill="1" applyAlignment="1" applyProtection="1">
      <alignment vertical="center"/>
    </xf>
    <xf numFmtId="3" fontId="23" fillId="10" borderId="0" xfId="0" applyNumberFormat="1" applyFont="1" applyFill="1" applyAlignment="1">
      <alignment horizontal="right" vertical="center"/>
    </xf>
    <xf numFmtId="3" fontId="67" fillId="10" borderId="106" xfId="0" applyNumberFormat="1" applyFont="1" applyFill="1" applyBorder="1" applyAlignment="1">
      <alignment vertical="center"/>
    </xf>
    <xf numFmtId="3" fontId="67" fillId="10" borderId="96" xfId="0" applyNumberFormat="1" applyFont="1" applyFill="1" applyBorder="1" applyAlignment="1">
      <alignment vertical="center"/>
    </xf>
    <xf numFmtId="3" fontId="67" fillId="10" borderId="96" xfId="0" applyNumberFormat="1" applyFont="1" applyFill="1" applyBorder="1" applyAlignment="1">
      <alignment horizontal="center" vertical="center"/>
    </xf>
    <xf numFmtId="3" fontId="67" fillId="10" borderId="96" xfId="0" applyNumberFormat="1" applyFont="1" applyFill="1" applyBorder="1" applyAlignment="1">
      <alignment horizontal="center" vertical="center" wrapText="1"/>
    </xf>
    <xf numFmtId="3" fontId="67" fillId="10" borderId="107" xfId="0" applyNumberFormat="1" applyFont="1" applyFill="1" applyBorder="1" applyAlignment="1">
      <alignment horizontal="center" vertical="center"/>
    </xf>
    <xf numFmtId="178" fontId="24" fillId="10" borderId="0" xfId="0" applyNumberFormat="1" applyFont="1" applyFill="1" applyAlignment="1">
      <alignment vertical="center"/>
    </xf>
    <xf numFmtId="3" fontId="24" fillId="10" borderId="108" xfId="0" applyNumberFormat="1" applyFont="1" applyFill="1" applyBorder="1" applyAlignment="1">
      <alignment vertical="center"/>
    </xf>
    <xf numFmtId="9" fontId="24" fillId="10" borderId="0" xfId="2" applyFont="1" applyFill="1" applyAlignment="1" applyProtection="1">
      <alignment vertical="center"/>
    </xf>
    <xf numFmtId="3" fontId="23" fillId="3" borderId="109" xfId="0" applyNumberFormat="1" applyFont="1" applyFill="1" applyBorder="1" applyAlignment="1">
      <alignment vertical="center"/>
    </xf>
    <xf numFmtId="10" fontId="24" fillId="9" borderId="0" xfId="0" applyNumberFormat="1" applyFont="1" applyFill="1" applyAlignment="1" applyProtection="1">
      <alignment horizontal="right" vertical="center"/>
      <protection locked="0"/>
    </xf>
    <xf numFmtId="3" fontId="24" fillId="9" borderId="96" xfId="0" applyNumberFormat="1" applyFont="1" applyFill="1" applyBorder="1" applyAlignment="1" applyProtection="1">
      <alignment vertical="center"/>
      <protection locked="0"/>
    </xf>
    <xf numFmtId="3" fontId="24" fillId="9" borderId="86" xfId="0" applyNumberFormat="1" applyFont="1" applyFill="1" applyBorder="1" applyAlignment="1" applyProtection="1">
      <alignment vertical="center"/>
      <protection locked="0"/>
    </xf>
    <xf numFmtId="3" fontId="24" fillId="10" borderId="200" xfId="0" applyNumberFormat="1" applyFont="1" applyFill="1" applyBorder="1" applyAlignment="1">
      <alignment vertical="center"/>
    </xf>
    <xf numFmtId="176" fontId="24" fillId="10" borderId="195" xfId="0" applyNumberFormat="1" applyFont="1" applyFill="1" applyBorder="1" applyAlignment="1">
      <alignment vertical="distributed"/>
    </xf>
    <xf numFmtId="3" fontId="24" fillId="9" borderId="195" xfId="0" applyNumberFormat="1" applyFont="1" applyFill="1" applyBorder="1" applyAlignment="1" applyProtection="1">
      <alignment vertical="center"/>
      <protection locked="0"/>
    </xf>
    <xf numFmtId="176" fontId="24" fillId="9" borderId="195" xfId="0" applyNumberFormat="1" applyFont="1" applyFill="1" applyBorder="1" applyAlignment="1" applyProtection="1">
      <alignment vertical="center"/>
      <protection locked="0"/>
    </xf>
    <xf numFmtId="166" fontId="23" fillId="10" borderId="30" xfId="3" applyNumberFormat="1" applyFont="1" applyFill="1" applyBorder="1" applyAlignment="1" applyProtection="1">
      <alignment vertical="center"/>
      <protection locked="0"/>
    </xf>
    <xf numFmtId="166" fontId="24" fillId="10" borderId="32" xfId="3" applyNumberFormat="1" applyFont="1" applyFill="1" applyBorder="1" applyAlignment="1" applyProtection="1">
      <alignment horizontal="left" vertical="center" indent="1"/>
      <protection locked="0"/>
    </xf>
    <xf numFmtId="0" fontId="29" fillId="10" borderId="0" xfId="0" applyFont="1" applyFill="1" applyAlignment="1">
      <alignment vertical="center"/>
    </xf>
    <xf numFmtId="0" fontId="40" fillId="10" borderId="0" xfId="0" applyFont="1" applyFill="1" applyAlignment="1">
      <alignment vertical="center"/>
    </xf>
    <xf numFmtId="0" fontId="71" fillId="10" borderId="0" xfId="0" applyFont="1" applyFill="1" applyAlignment="1">
      <alignment vertical="center"/>
    </xf>
    <xf numFmtId="1" fontId="24" fillId="10" borderId="0" xfId="0" applyNumberFormat="1" applyFont="1" applyFill="1" applyAlignment="1">
      <alignment vertical="center"/>
    </xf>
    <xf numFmtId="0" fontId="24" fillId="10" borderId="0" xfId="0" applyFont="1" applyFill="1" applyAlignment="1">
      <alignment horizontal="center" vertical="center"/>
    </xf>
    <xf numFmtId="0" fontId="27" fillId="10" borderId="0" xfId="0" applyFont="1" applyFill="1" applyAlignment="1">
      <alignment horizontal="center" vertical="center"/>
    </xf>
    <xf numFmtId="0" fontId="39" fillId="10" borderId="0" xfId="0" applyFont="1" applyFill="1" applyAlignment="1">
      <alignment vertical="center"/>
    </xf>
    <xf numFmtId="0" fontId="24" fillId="10" borderId="117" xfId="0" applyFont="1" applyFill="1" applyBorder="1" applyAlignment="1">
      <alignment vertical="center"/>
    </xf>
    <xf numFmtId="0" fontId="24" fillId="10" borderId="4" xfId="0" applyFont="1" applyFill="1" applyBorder="1" applyAlignment="1">
      <alignment vertical="center"/>
    </xf>
    <xf numFmtId="0" fontId="39" fillId="18" borderId="159" xfId="0" applyFont="1" applyFill="1" applyBorder="1" applyAlignment="1">
      <alignment vertical="center"/>
    </xf>
    <xf numFmtId="0" fontId="24" fillId="18" borderId="160" xfId="0" applyFont="1" applyFill="1" applyBorder="1" applyAlignment="1">
      <alignment vertical="center"/>
    </xf>
    <xf numFmtId="0" fontId="39" fillId="18" borderId="116" xfId="0" applyFont="1" applyFill="1" applyBorder="1" applyAlignment="1">
      <alignment vertical="center"/>
    </xf>
    <xf numFmtId="3" fontId="24" fillId="4" borderId="4" xfId="1" applyNumberFormat="1" applyFont="1" applyFill="1" applyBorder="1" applyAlignment="1" applyProtection="1">
      <alignment horizontal="center" vertical="center"/>
      <protection locked="0"/>
    </xf>
    <xf numFmtId="3" fontId="24" fillId="4" borderId="7" xfId="1" applyNumberFormat="1" applyFont="1" applyFill="1" applyBorder="1" applyAlignment="1" applyProtection="1">
      <alignment vertical="center"/>
      <protection locked="0"/>
    </xf>
    <xf numFmtId="3" fontId="24" fillId="4" borderId="4" xfId="1" applyNumberFormat="1" applyFont="1" applyFill="1" applyBorder="1" applyAlignment="1" applyProtection="1">
      <alignment horizontal="left" vertical="center" indent="1"/>
      <protection locked="0"/>
    </xf>
    <xf numFmtId="4" fontId="24" fillId="10" borderId="0" xfId="1" applyFont="1" applyFill="1" applyBorder="1" applyAlignment="1" applyProtection="1">
      <alignment horizontal="center" vertical="center"/>
    </xf>
    <xf numFmtId="3" fontId="24" fillId="10" borderId="0" xfId="1" applyNumberFormat="1" applyFont="1" applyFill="1" applyBorder="1" applyAlignment="1" applyProtection="1">
      <alignment horizontal="center" vertical="center"/>
    </xf>
    <xf numFmtId="3" fontId="24" fillId="10" borderId="0" xfId="1" applyNumberFormat="1" applyFont="1" applyFill="1" applyBorder="1" applyAlignment="1" applyProtection="1">
      <alignment vertical="center"/>
    </xf>
    <xf numFmtId="4" fontId="23" fillId="10" borderId="161" xfId="0" applyNumberFormat="1" applyFont="1" applyFill="1" applyBorder="1" applyProtection="1">
      <protection locked="0"/>
    </xf>
    <xf numFmtId="3" fontId="24" fillId="9" borderId="29" xfId="3" applyNumberFormat="1" applyFont="1" applyFill="1" applyBorder="1" applyProtection="1">
      <protection locked="0"/>
    </xf>
    <xf numFmtId="3" fontId="67" fillId="10" borderId="0" xfId="3" applyNumberFormat="1" applyFont="1" applyFill="1" applyAlignment="1">
      <alignment vertical="center"/>
    </xf>
    <xf numFmtId="0" fontId="116" fillId="0" borderId="0" xfId="0" applyFont="1" applyAlignment="1">
      <alignment horizontal="justify" wrapText="1"/>
    </xf>
    <xf numFmtId="175" fontId="27" fillId="9" borderId="29" xfId="2" applyNumberFormat="1" applyFont="1" applyFill="1" applyBorder="1" applyAlignment="1" applyProtection="1">
      <alignment horizontal="center" vertical="center"/>
      <protection locked="0"/>
    </xf>
    <xf numFmtId="175" fontId="27" fillId="9" borderId="45" xfId="2" applyNumberFormat="1" applyFont="1" applyFill="1" applyBorder="1" applyAlignment="1" applyProtection="1">
      <alignment vertical="center"/>
      <protection locked="0"/>
    </xf>
    <xf numFmtId="175" fontId="27" fillId="9" borderId="50" xfId="2" applyNumberFormat="1" applyFont="1" applyFill="1" applyBorder="1" applyAlignment="1" applyProtection="1">
      <alignment horizontal="center" vertical="center"/>
      <protection locked="0"/>
    </xf>
    <xf numFmtId="175" fontId="27" fillId="9" borderId="44" xfId="2" applyNumberFormat="1" applyFont="1" applyFill="1" applyBorder="1" applyAlignment="1" applyProtection="1">
      <alignment vertical="center"/>
      <protection locked="0"/>
    </xf>
    <xf numFmtId="175" fontId="28" fillId="9" borderId="50" xfId="2" applyNumberFormat="1" applyFont="1" applyFill="1" applyBorder="1" applyAlignment="1" applyProtection="1">
      <alignment horizontal="center" vertical="center"/>
      <protection locked="0"/>
    </xf>
    <xf numFmtId="175" fontId="27" fillId="9" borderId="48" xfId="2" applyNumberFormat="1" applyFont="1" applyFill="1" applyBorder="1" applyAlignment="1" applyProtection="1">
      <alignment vertical="center"/>
      <protection locked="0"/>
    </xf>
    <xf numFmtId="166" fontId="24" fillId="10" borderId="120" xfId="3" applyNumberFormat="1" applyFont="1" applyFill="1" applyBorder="1" applyAlignment="1">
      <alignment vertical="center"/>
    </xf>
    <xf numFmtId="4" fontId="27" fillId="10" borderId="0" xfId="0" applyNumberFormat="1" applyFont="1" applyFill="1" applyProtection="1">
      <protection locked="0"/>
    </xf>
    <xf numFmtId="0" fontId="23" fillId="8" borderId="23" xfId="0" applyFont="1" applyFill="1" applyBorder="1" applyAlignment="1" applyProtection="1">
      <alignment horizontal="center" vertical="center"/>
      <protection locked="0"/>
    </xf>
    <xf numFmtId="1" fontId="26" fillId="16" borderId="108" xfId="0" applyNumberFormat="1" applyFont="1" applyFill="1" applyBorder="1" applyAlignment="1">
      <alignment horizontal="center" vertical="center" wrapText="1" shrinkToFit="1"/>
    </xf>
    <xf numFmtId="176" fontId="24" fillId="10" borderId="0" xfId="0" applyNumberFormat="1" applyFont="1" applyFill="1" applyAlignment="1" applyProtection="1">
      <alignment vertical="center"/>
      <protection locked="0"/>
    </xf>
    <xf numFmtId="4" fontId="60" fillId="10" borderId="4" xfId="0" applyNumberFormat="1" applyFont="1" applyFill="1" applyBorder="1" applyAlignment="1" applyProtection="1">
      <alignment horizontal="center" vertical="center"/>
      <protection locked="0"/>
    </xf>
    <xf numFmtId="0" fontId="28" fillId="10" borderId="26" xfId="0" applyFont="1" applyFill="1" applyBorder="1" applyAlignment="1">
      <alignment horizontal="center" vertical="center"/>
    </xf>
    <xf numFmtId="4" fontId="28" fillId="10" borderId="27" xfId="0" applyNumberFormat="1" applyFont="1" applyFill="1" applyBorder="1" applyAlignment="1">
      <alignment horizontal="center" vertical="center"/>
    </xf>
    <xf numFmtId="4" fontId="24" fillId="10" borderId="4" xfId="0" applyNumberFormat="1" applyFont="1" applyFill="1" applyBorder="1" applyAlignment="1">
      <alignment horizontal="right" vertical="center"/>
    </xf>
    <xf numFmtId="4" fontId="24" fillId="3" borderId="56" xfId="1" applyFont="1" applyFill="1" applyBorder="1" applyAlignment="1" applyProtection="1">
      <alignment vertical="center"/>
    </xf>
    <xf numFmtId="4" fontId="24" fillId="3" borderId="64" xfId="1" applyFont="1" applyFill="1" applyBorder="1" applyAlignment="1" applyProtection="1">
      <alignment vertical="center"/>
    </xf>
    <xf numFmtId="174" fontId="26" fillId="10" borderId="0" xfId="0" applyNumberFormat="1" applyFont="1" applyFill="1" applyAlignment="1">
      <alignment horizontal="right" vertical="center"/>
    </xf>
    <xf numFmtId="174" fontId="26" fillId="10" borderId="0" xfId="0" quotePrefix="1" applyNumberFormat="1" applyFont="1" applyFill="1" applyAlignment="1">
      <alignment horizontal="right" vertical="center"/>
    </xf>
    <xf numFmtId="174" fontId="26" fillId="10" borderId="0" xfId="0" applyNumberFormat="1" applyFont="1" applyFill="1" applyAlignment="1">
      <alignment vertical="center"/>
    </xf>
    <xf numFmtId="174" fontId="24" fillId="10" borderId="0" xfId="0" applyNumberFormat="1" applyFont="1" applyFill="1" applyAlignment="1">
      <alignment vertical="center"/>
    </xf>
    <xf numFmtId="174" fontId="24" fillId="10" borderId="0" xfId="0" applyNumberFormat="1" applyFont="1" applyFill="1" applyAlignment="1">
      <alignment vertical="distributed"/>
    </xf>
    <xf numFmtId="174" fontId="24" fillId="3" borderId="3" xfId="0" applyNumberFormat="1" applyFont="1" applyFill="1" applyBorder="1" applyAlignment="1">
      <alignment vertical="distributed"/>
    </xf>
    <xf numFmtId="174" fontId="24" fillId="10" borderId="5" xfId="0" applyNumberFormat="1" applyFont="1" applyFill="1" applyBorder="1" applyAlignment="1">
      <alignment vertical="distributed"/>
    </xf>
    <xf numFmtId="174" fontId="24" fillId="10" borderId="6" xfId="0" applyNumberFormat="1" applyFont="1" applyFill="1" applyBorder="1" applyAlignment="1">
      <alignment vertical="distributed"/>
    </xf>
    <xf numFmtId="174" fontId="27" fillId="10" borderId="0" xfId="0" applyNumberFormat="1" applyFont="1" applyFill="1" applyAlignment="1">
      <alignment horizontal="center" vertical="center"/>
    </xf>
    <xf numFmtId="174" fontId="24" fillId="10" borderId="29" xfId="0" applyNumberFormat="1" applyFont="1" applyFill="1" applyBorder="1" applyAlignment="1">
      <alignment vertical="distributed"/>
    </xf>
    <xf numFmtId="174" fontId="24" fillId="10" borderId="3" xfId="0" applyNumberFormat="1" applyFont="1" applyFill="1" applyBorder="1" applyAlignment="1">
      <alignment vertical="distributed"/>
    </xf>
    <xf numFmtId="174" fontId="24" fillId="10" borderId="5" xfId="0" applyNumberFormat="1" applyFont="1" applyFill="1" applyBorder="1" applyAlignment="1">
      <alignment vertical="center"/>
    </xf>
    <xf numFmtId="174" fontId="24" fillId="10" borderId="62" xfId="0" applyNumberFormat="1" applyFont="1" applyFill="1" applyBorder="1" applyAlignment="1">
      <alignment vertical="center"/>
    </xf>
    <xf numFmtId="174" fontId="24" fillId="10" borderId="3" xfId="0" applyNumberFormat="1" applyFont="1" applyFill="1" applyBorder="1" applyAlignment="1">
      <alignment vertical="center"/>
    </xf>
    <xf numFmtId="174" fontId="24" fillId="10" borderId="6" xfId="0" applyNumberFormat="1" applyFont="1" applyFill="1" applyBorder="1" applyAlignment="1">
      <alignment vertical="center"/>
    </xf>
    <xf numFmtId="174" fontId="24" fillId="10" borderId="4" xfId="0" applyNumberFormat="1" applyFont="1" applyFill="1" applyBorder="1" applyAlignment="1">
      <alignment vertical="center"/>
    </xf>
    <xf numFmtId="174" fontId="24" fillId="3" borderId="94" xfId="0" applyNumberFormat="1" applyFont="1" applyFill="1" applyBorder="1" applyAlignment="1">
      <alignment vertical="center"/>
    </xf>
    <xf numFmtId="0" fontId="24" fillId="10" borderId="0" xfId="0" applyFont="1" applyFill="1" applyAlignment="1">
      <alignment horizontal="left" vertical="center"/>
    </xf>
    <xf numFmtId="4" fontId="24" fillId="10" borderId="0" xfId="0" applyNumberFormat="1" applyFont="1" applyFill="1" applyAlignment="1">
      <alignment horizontal="right" vertical="center"/>
    </xf>
    <xf numFmtId="4" fontId="27" fillId="10" borderId="0" xfId="0" applyNumberFormat="1" applyFont="1" applyFill="1" applyAlignment="1">
      <alignment horizontal="right" vertical="center"/>
    </xf>
    <xf numFmtId="4" fontId="24" fillId="10" borderId="51" xfId="0" applyNumberFormat="1" applyFont="1" applyFill="1" applyBorder="1" applyAlignment="1">
      <alignment horizontal="right" vertical="center"/>
    </xf>
    <xf numFmtId="174" fontId="24" fillId="10" borderId="0" xfId="0" applyNumberFormat="1" applyFont="1" applyFill="1" applyAlignment="1">
      <alignment horizontal="right" vertical="center"/>
    </xf>
    <xf numFmtId="174" fontId="24" fillId="10" borderId="89" xfId="0" applyNumberFormat="1" applyFont="1" applyFill="1" applyBorder="1" applyAlignment="1">
      <alignment vertical="center"/>
    </xf>
    <xf numFmtId="173" fontId="59" fillId="10" borderId="0" xfId="0" applyNumberFormat="1" applyFont="1" applyFill="1" applyAlignment="1">
      <alignment horizontal="right" vertical="center"/>
    </xf>
    <xf numFmtId="4" fontId="26" fillId="10" borderId="0" xfId="0" applyNumberFormat="1" applyFont="1" applyFill="1" applyAlignment="1">
      <alignment horizontal="right" vertical="center"/>
    </xf>
    <xf numFmtId="4" fontId="24" fillId="10" borderId="5" xfId="1" applyFont="1" applyFill="1" applyBorder="1" applyAlignment="1" applyProtection="1">
      <alignment vertical="center"/>
    </xf>
    <xf numFmtId="4" fontId="24" fillId="10" borderId="103" xfId="1" applyFont="1" applyFill="1" applyBorder="1" applyAlignment="1" applyProtection="1">
      <alignment vertical="center"/>
    </xf>
    <xf numFmtId="4" fontId="24" fillId="10" borderId="6" xfId="1" applyFont="1" applyFill="1" applyBorder="1" applyAlignment="1" applyProtection="1">
      <alignment vertical="center"/>
    </xf>
    <xf numFmtId="0" fontId="26" fillId="10" borderId="0" xfId="0" applyFont="1" applyFill="1" applyAlignment="1">
      <alignment horizontal="left" vertical="center"/>
    </xf>
    <xf numFmtId="4" fontId="30" fillId="10" borderId="0" xfId="0" applyNumberFormat="1" applyFont="1" applyFill="1" applyAlignment="1">
      <alignment horizontal="center" vertical="center"/>
    </xf>
    <xf numFmtId="4" fontId="30" fillId="10" borderId="0" xfId="0" applyNumberFormat="1" applyFont="1" applyFill="1" applyAlignment="1">
      <alignment horizontal="right" vertical="center"/>
    </xf>
    <xf numFmtId="4" fontId="26" fillId="10" borderId="51" xfId="0" applyNumberFormat="1" applyFont="1" applyFill="1" applyBorder="1" applyAlignment="1">
      <alignment horizontal="right" vertical="center"/>
    </xf>
    <xf numFmtId="4" fontId="26" fillId="10" borderId="46" xfId="0" applyNumberFormat="1" applyFont="1" applyFill="1" applyBorder="1" applyAlignment="1">
      <alignment vertical="center"/>
    </xf>
    <xf numFmtId="174" fontId="26" fillId="10" borderId="89" xfId="0" applyNumberFormat="1" applyFont="1" applyFill="1" applyBorder="1" applyAlignment="1">
      <alignment vertical="center"/>
    </xf>
    <xf numFmtId="4" fontId="26" fillId="10" borderId="6" xfId="0" applyNumberFormat="1" applyFont="1" applyFill="1" applyBorder="1" applyAlignment="1">
      <alignment vertical="center"/>
    </xf>
    <xf numFmtId="3" fontId="26" fillId="10" borderId="0" xfId="1" applyNumberFormat="1" applyFont="1" applyFill="1" applyAlignment="1" applyProtection="1">
      <alignment horizontal="center" vertical="center"/>
    </xf>
    <xf numFmtId="3" fontId="26" fillId="10" borderId="0" xfId="1" applyNumberFormat="1" applyFont="1" applyFill="1" applyAlignment="1" applyProtection="1">
      <alignment vertical="center"/>
    </xf>
    <xf numFmtId="4" fontId="24" fillId="10" borderId="7" xfId="1" applyFont="1" applyFill="1" applyBorder="1" applyAlignment="1" applyProtection="1">
      <alignment vertical="center"/>
    </xf>
    <xf numFmtId="4" fontId="24" fillId="10" borderId="193" xfId="1" applyFont="1" applyFill="1" applyBorder="1" applyAlignment="1" applyProtection="1">
      <alignment vertical="center"/>
    </xf>
    <xf numFmtId="4" fontId="24" fillId="10" borderId="29" xfId="1" applyFont="1" applyFill="1" applyBorder="1" applyAlignment="1" applyProtection="1">
      <alignment vertical="center"/>
    </xf>
    <xf numFmtId="4" fontId="24" fillId="10" borderId="185" xfId="1" applyFont="1" applyFill="1" applyBorder="1" applyAlignment="1" applyProtection="1">
      <alignment vertical="center"/>
    </xf>
    <xf numFmtId="4" fontId="24" fillId="10" borderId="165" xfId="1" applyFont="1" applyFill="1" applyBorder="1" applyAlignment="1" applyProtection="1">
      <alignment vertical="center"/>
    </xf>
    <xf numFmtId="174" fontId="24" fillId="10" borderId="188" xfId="1" applyNumberFormat="1" applyFont="1" applyFill="1" applyBorder="1" applyAlignment="1" applyProtection="1">
      <alignment vertical="center"/>
    </xf>
    <xf numFmtId="0" fontId="24" fillId="10" borderId="4" xfId="0" quotePrefix="1" applyFont="1" applyFill="1" applyBorder="1" applyAlignment="1">
      <alignment horizontal="left" vertical="distributed"/>
    </xf>
    <xf numFmtId="168" fontId="24" fillId="10" borderId="4" xfId="0" applyNumberFormat="1" applyFont="1" applyFill="1" applyBorder="1" applyAlignment="1">
      <alignment vertical="center"/>
    </xf>
    <xf numFmtId="168" fontId="27" fillId="10" borderId="4" xfId="0" applyNumberFormat="1" applyFont="1" applyFill="1" applyBorder="1" applyAlignment="1">
      <alignment horizontal="left" vertical="center" indent="2"/>
    </xf>
    <xf numFmtId="16" fontId="24" fillId="10" borderId="4" xfId="0" quotePrefix="1" applyNumberFormat="1" applyFont="1" applyFill="1" applyBorder="1" applyAlignment="1">
      <alignment horizontal="left" vertical="center"/>
    </xf>
    <xf numFmtId="4" fontId="23" fillId="10" borderId="4" xfId="0" applyNumberFormat="1" applyFont="1" applyFill="1" applyBorder="1" applyAlignment="1">
      <alignment horizontal="center" vertical="center"/>
    </xf>
    <xf numFmtId="4" fontId="27" fillId="10" borderId="4" xfId="0" applyNumberFormat="1" applyFont="1" applyFill="1" applyBorder="1" applyAlignment="1">
      <alignment horizontal="right" vertical="center"/>
    </xf>
    <xf numFmtId="4" fontId="35" fillId="7" borderId="4" xfId="0" applyNumberFormat="1" applyFont="1" applyFill="1" applyBorder="1" applyAlignment="1">
      <alignment horizontal="right" vertical="distributed"/>
    </xf>
    <xf numFmtId="4" fontId="35" fillId="10" borderId="4" xfId="0" applyNumberFormat="1" applyFont="1" applyFill="1" applyBorder="1" applyAlignment="1">
      <alignment horizontal="right" vertical="distributed"/>
    </xf>
    <xf numFmtId="0" fontId="24" fillId="3" borderId="3" xfId="0" applyFont="1" applyFill="1" applyBorder="1" applyAlignment="1">
      <alignment horizontal="left" vertical="center"/>
    </xf>
    <xf numFmtId="168" fontId="23" fillId="3" borderId="3" xfId="0" applyNumberFormat="1" applyFont="1" applyFill="1" applyBorder="1" applyAlignment="1">
      <alignment vertical="center"/>
    </xf>
    <xf numFmtId="0" fontId="24" fillId="10" borderId="4" xfId="0" applyFont="1" applyFill="1" applyBorder="1" applyAlignment="1">
      <alignment horizontal="left" vertical="center"/>
    </xf>
    <xf numFmtId="168" fontId="23" fillId="3" borderId="3" xfId="0" applyNumberFormat="1" applyFont="1" applyFill="1" applyBorder="1" applyAlignment="1">
      <alignment horizontal="left" vertical="center"/>
    </xf>
    <xf numFmtId="168" fontId="24" fillId="10" borderId="0" xfId="0" applyNumberFormat="1" applyFont="1" applyFill="1" applyAlignment="1">
      <alignment horizontal="left" vertical="center"/>
    </xf>
    <xf numFmtId="168" fontId="27" fillId="10" borderId="0" xfId="0" applyNumberFormat="1" applyFont="1" applyFill="1" applyAlignment="1">
      <alignment vertical="center"/>
    </xf>
    <xf numFmtId="0" fontId="24" fillId="10" borderId="5" xfId="0" quotePrefix="1" applyFont="1" applyFill="1" applyBorder="1" applyAlignment="1">
      <alignment horizontal="left" vertical="distributed"/>
    </xf>
    <xf numFmtId="0" fontId="24" fillId="10" borderId="5" xfId="0" applyFont="1" applyFill="1" applyBorder="1" applyAlignment="1">
      <alignment vertical="distributed" wrapText="1"/>
    </xf>
    <xf numFmtId="0" fontId="24" fillId="10" borderId="6" xfId="0" applyFont="1" applyFill="1" applyBorder="1" applyAlignment="1">
      <alignment horizontal="left" vertical="distributed"/>
    </xf>
    <xf numFmtId="0" fontId="24" fillId="10" borderId="6" xfId="0" applyFont="1" applyFill="1" applyBorder="1" applyAlignment="1">
      <alignment horizontal="left" vertical="distributed" wrapText="1" indent="2"/>
    </xf>
    <xf numFmtId="0" fontId="24" fillId="10" borderId="5" xfId="0" applyFont="1" applyFill="1" applyBorder="1" applyAlignment="1">
      <alignment horizontal="left" vertical="distributed"/>
    </xf>
    <xf numFmtId="0" fontId="24" fillId="10" borderId="0" xfId="0" applyFont="1" applyFill="1" applyAlignment="1">
      <alignment horizontal="left" vertical="distributed"/>
    </xf>
    <xf numFmtId="0" fontId="24" fillId="10" borderId="4" xfId="0" applyFont="1" applyFill="1" applyBorder="1" applyAlignment="1">
      <alignment horizontal="left" vertical="distributed"/>
    </xf>
    <xf numFmtId="0" fontId="26" fillId="10" borderId="5" xfId="0" applyFont="1" applyFill="1" applyBorder="1" applyAlignment="1">
      <alignment vertical="distributed" wrapText="1"/>
    </xf>
    <xf numFmtId="0" fontId="24" fillId="10" borderId="0" xfId="0" applyFont="1" applyFill="1" applyAlignment="1">
      <alignment vertical="distributed" wrapText="1"/>
    </xf>
    <xf numFmtId="0" fontId="24" fillId="10" borderId="0" xfId="0" applyFont="1" applyFill="1" applyAlignment="1">
      <alignment horizontal="right" vertical="center" wrapText="1"/>
    </xf>
    <xf numFmtId="168" fontId="24" fillId="10" borderId="3" xfId="0" applyNumberFormat="1" applyFont="1" applyFill="1" applyBorder="1" applyAlignment="1">
      <alignment horizontal="left" vertical="center"/>
    </xf>
    <xf numFmtId="168" fontId="23" fillId="10" borderId="3" xfId="0" applyNumberFormat="1" applyFont="1" applyFill="1" applyBorder="1" applyAlignment="1">
      <alignment vertical="center"/>
    </xf>
    <xf numFmtId="0" fontId="24" fillId="10" borderId="5" xfId="0" applyFont="1" applyFill="1" applyBorder="1" applyAlignment="1">
      <alignment horizontal="left" vertical="center"/>
    </xf>
    <xf numFmtId="168" fontId="24" fillId="10" borderId="5" xfId="0" applyNumberFormat="1" applyFont="1" applyFill="1" applyBorder="1" applyAlignment="1">
      <alignment vertical="center"/>
    </xf>
    <xf numFmtId="168" fontId="24" fillId="10" borderId="0" xfId="0" applyNumberFormat="1" applyFont="1" applyFill="1" applyAlignment="1">
      <alignment horizontal="left" vertical="center" indent="1"/>
    </xf>
    <xf numFmtId="0" fontId="24" fillId="10" borderId="3" xfId="0" applyFont="1" applyFill="1" applyBorder="1" applyAlignment="1">
      <alignment horizontal="left" vertical="center"/>
    </xf>
    <xf numFmtId="168" fontId="24" fillId="10" borderId="3" xfId="0" applyNumberFormat="1" applyFont="1" applyFill="1" applyBorder="1" applyAlignment="1">
      <alignment vertical="center"/>
    </xf>
    <xf numFmtId="0" fontId="24" fillId="10" borderId="6" xfId="0" applyFont="1" applyFill="1" applyBorder="1" applyAlignment="1">
      <alignment horizontal="left" vertical="center"/>
    </xf>
    <xf numFmtId="168" fontId="24" fillId="10" borderId="6" xfId="0" applyNumberFormat="1" applyFont="1" applyFill="1" applyBorder="1" applyAlignment="1">
      <alignment vertical="center"/>
    </xf>
    <xf numFmtId="168" fontId="23" fillId="10" borderId="0" xfId="0" applyNumberFormat="1" applyFont="1" applyFill="1" applyAlignment="1">
      <alignment horizontal="left" vertical="center"/>
    </xf>
    <xf numFmtId="168" fontId="24" fillId="10" borderId="4" xfId="0" applyNumberFormat="1" applyFont="1" applyFill="1" applyBorder="1" applyAlignment="1">
      <alignment horizontal="left" vertical="center" indent="2"/>
    </xf>
    <xf numFmtId="168" fontId="24" fillId="10" borderId="4" xfId="0" applyNumberFormat="1" applyFont="1" applyFill="1" applyBorder="1" applyAlignment="1">
      <alignment horizontal="left" vertical="center"/>
    </xf>
    <xf numFmtId="4" fontId="24" fillId="10" borderId="0" xfId="0" applyNumberFormat="1" applyFont="1" applyFill="1" applyAlignment="1">
      <alignment horizontal="center" vertical="distributed"/>
    </xf>
    <xf numFmtId="4" fontId="27" fillId="10" borderId="0" xfId="0" applyNumberFormat="1" applyFont="1" applyFill="1" applyAlignment="1">
      <alignment horizontal="center" vertical="distributed"/>
    </xf>
    <xf numFmtId="4" fontId="24" fillId="10" borderId="0" xfId="0" applyNumberFormat="1" applyFont="1" applyFill="1" applyAlignment="1">
      <alignment vertical="distributed"/>
    </xf>
    <xf numFmtId="4" fontId="24" fillId="10" borderId="0" xfId="0" applyNumberFormat="1" applyFont="1" applyFill="1" applyAlignment="1">
      <alignment horizontal="right" vertical="distributed"/>
    </xf>
    <xf numFmtId="174" fontId="109" fillId="10" borderId="0" xfId="0" applyNumberFormat="1" applyFont="1" applyFill="1" applyAlignment="1">
      <alignment vertical="center"/>
    </xf>
    <xf numFmtId="177" fontId="128" fillId="10" borderId="0" xfId="0" applyNumberFormat="1" applyFont="1" applyFill="1" applyAlignment="1">
      <alignment horizontal="center" vertical="distributed"/>
    </xf>
    <xf numFmtId="4" fontId="24" fillId="20" borderId="0" xfId="0" applyNumberFormat="1" applyFont="1" applyFill="1" applyAlignment="1">
      <alignment horizontal="right" vertical="distributed"/>
    </xf>
    <xf numFmtId="4" fontId="24" fillId="10" borderId="105" xfId="0" applyNumberFormat="1" applyFont="1" applyFill="1" applyBorder="1" applyAlignment="1">
      <alignment horizontal="right" vertical="center"/>
    </xf>
    <xf numFmtId="4" fontId="24" fillId="10" borderId="3" xfId="0" applyNumberFormat="1" applyFont="1" applyFill="1" applyBorder="1" applyAlignment="1">
      <alignment horizontal="center" vertical="center"/>
    </xf>
    <xf numFmtId="4" fontId="27" fillId="10" borderId="3" xfId="0" applyNumberFormat="1" applyFont="1" applyFill="1" applyBorder="1" applyAlignment="1">
      <alignment horizontal="center" vertical="center"/>
    </xf>
    <xf numFmtId="4" fontId="27" fillId="10" borderId="3" xfId="0" applyNumberFormat="1" applyFont="1" applyFill="1" applyBorder="1" applyAlignment="1">
      <alignment vertical="center"/>
    </xf>
    <xf numFmtId="4" fontId="24" fillId="10" borderId="33" xfId="0" applyNumberFormat="1" applyFont="1" applyFill="1" applyBorder="1" applyAlignment="1">
      <alignment vertical="center"/>
    </xf>
    <xf numFmtId="3" fontId="24" fillId="10" borderId="3" xfId="0" applyNumberFormat="1" applyFont="1" applyFill="1" applyBorder="1" applyAlignment="1">
      <alignment vertical="center"/>
    </xf>
    <xf numFmtId="4" fontId="24" fillId="10" borderId="34" xfId="0" applyNumberFormat="1" applyFont="1" applyFill="1" applyBorder="1" applyAlignment="1">
      <alignment vertical="center"/>
    </xf>
    <xf numFmtId="174" fontId="24" fillId="10" borderId="4" xfId="0" applyNumberFormat="1" applyFont="1" applyFill="1" applyBorder="1" applyAlignment="1">
      <alignment horizontal="right" vertical="center"/>
    </xf>
    <xf numFmtId="4" fontId="24" fillId="10" borderId="188" xfId="1" applyFont="1" applyFill="1" applyBorder="1" applyAlignment="1" applyProtection="1">
      <alignment vertical="center"/>
    </xf>
    <xf numFmtId="174" fontId="24" fillId="10" borderId="64" xfId="0" applyNumberFormat="1" applyFont="1" applyFill="1" applyBorder="1" applyAlignment="1">
      <alignment vertical="center"/>
    </xf>
    <xf numFmtId="4" fontId="24" fillId="10" borderId="65" xfId="1" applyFont="1" applyFill="1" applyBorder="1" applyAlignment="1" applyProtection="1">
      <alignment vertical="center"/>
    </xf>
    <xf numFmtId="4" fontId="26" fillId="10" borderId="0" xfId="1" applyFont="1" applyFill="1" applyAlignment="1" applyProtection="1">
      <alignment vertical="center"/>
    </xf>
    <xf numFmtId="4" fontId="27" fillId="10" borderId="0" xfId="1" applyFont="1" applyFill="1" applyAlignment="1" applyProtection="1">
      <alignment horizontal="center" vertical="center"/>
    </xf>
    <xf numFmtId="4" fontId="24" fillId="10" borderId="4" xfId="1" applyFont="1" applyFill="1" applyBorder="1" applyAlignment="1" applyProtection="1">
      <alignment vertical="distributed"/>
    </xf>
    <xf numFmtId="4" fontId="26" fillId="10" borderId="0" xfId="1" applyFont="1" applyFill="1" applyBorder="1" applyAlignment="1" applyProtection="1">
      <alignment vertical="center"/>
    </xf>
    <xf numFmtId="174" fontId="24" fillId="3" borderId="189" xfId="1" applyNumberFormat="1" applyFont="1" applyFill="1" applyBorder="1" applyAlignment="1" applyProtection="1">
      <alignment vertical="center"/>
    </xf>
    <xf numFmtId="4" fontId="27" fillId="10" borderId="171" xfId="1" applyFont="1" applyFill="1" applyBorder="1" applyAlignment="1" applyProtection="1">
      <alignment horizontal="center" vertical="center"/>
    </xf>
    <xf numFmtId="4" fontId="27" fillId="10" borderId="192" xfId="1" applyFont="1" applyFill="1" applyBorder="1" applyAlignment="1" applyProtection="1">
      <alignment horizontal="center" vertical="center"/>
    </xf>
    <xf numFmtId="4" fontId="24" fillId="10" borderId="185" xfId="1" applyFont="1" applyFill="1" applyBorder="1" applyAlignment="1" applyProtection="1">
      <alignment vertical="distributed"/>
    </xf>
    <xf numFmtId="4" fontId="24" fillId="10" borderId="171" xfId="1" applyFont="1" applyFill="1" applyBorder="1" applyAlignment="1" applyProtection="1">
      <alignment vertical="center"/>
    </xf>
    <xf numFmtId="4" fontId="24" fillId="10" borderId="192" xfId="1" applyFont="1" applyFill="1" applyBorder="1" applyAlignment="1" applyProtection="1">
      <alignment vertical="center"/>
    </xf>
    <xf numFmtId="4" fontId="24" fillId="10" borderId="169" xfId="1" applyFont="1" applyFill="1" applyBorder="1" applyAlignment="1" applyProtection="1">
      <alignment vertical="center"/>
    </xf>
    <xf numFmtId="4" fontId="24" fillId="10" borderId="190" xfId="1" applyFont="1" applyFill="1" applyBorder="1" applyAlignment="1" applyProtection="1">
      <alignment vertical="center"/>
    </xf>
    <xf numFmtId="4" fontId="24" fillId="10" borderId="170" xfId="1" applyFont="1" applyFill="1" applyBorder="1" applyAlignment="1" applyProtection="1">
      <alignment vertical="center"/>
    </xf>
    <xf numFmtId="4" fontId="24" fillId="10" borderId="191" xfId="1" applyFont="1" applyFill="1" applyBorder="1" applyAlignment="1" applyProtection="1">
      <alignment vertical="center"/>
    </xf>
    <xf numFmtId="174" fontId="24" fillId="10" borderId="154" xfId="0" applyNumberFormat="1" applyFont="1" applyFill="1" applyBorder="1" applyAlignment="1">
      <alignment vertical="center"/>
    </xf>
    <xf numFmtId="174" fontId="109" fillId="0" borderId="64" xfId="0" applyNumberFormat="1" applyFont="1" applyBorder="1" applyAlignment="1">
      <alignment vertical="center"/>
    </xf>
    <xf numFmtId="4" fontId="24" fillId="10" borderId="62" xfId="1" applyFont="1" applyFill="1" applyBorder="1" applyAlignment="1" applyProtection="1">
      <alignment vertical="center"/>
    </xf>
    <xf numFmtId="4" fontId="24" fillId="3" borderId="3" xfId="0" applyNumberFormat="1" applyFont="1" applyFill="1" applyBorder="1" applyAlignment="1">
      <alignment horizontal="center" vertical="center"/>
    </xf>
    <xf numFmtId="4" fontId="27" fillId="3" borderId="3" xfId="0" applyNumberFormat="1" applyFont="1" applyFill="1" applyBorder="1" applyAlignment="1">
      <alignment horizontal="center" vertical="center"/>
    </xf>
    <xf numFmtId="4" fontId="24" fillId="3" borderId="3" xfId="0" applyNumberFormat="1" applyFont="1" applyFill="1" applyBorder="1" applyAlignment="1">
      <alignment vertical="center"/>
    </xf>
    <xf numFmtId="4" fontId="27" fillId="3" borderId="3" xfId="0" applyNumberFormat="1" applyFont="1" applyFill="1" applyBorder="1" applyAlignment="1">
      <alignment vertical="center"/>
    </xf>
    <xf numFmtId="4" fontId="24" fillId="3" borderId="33" xfId="0" applyNumberFormat="1" applyFont="1" applyFill="1" applyBorder="1" applyAlignment="1">
      <alignment vertical="center"/>
    </xf>
    <xf numFmtId="3" fontId="24" fillId="3" borderId="3" xfId="0" applyNumberFormat="1" applyFont="1" applyFill="1" applyBorder="1" applyAlignment="1">
      <alignment vertical="center"/>
    </xf>
    <xf numFmtId="4" fontId="24" fillId="3" borderId="65" xfId="1" applyFont="1" applyFill="1" applyBorder="1" applyAlignment="1" applyProtection="1">
      <alignment vertical="center"/>
    </xf>
    <xf numFmtId="4" fontId="24" fillId="10" borderId="52" xfId="0" applyNumberFormat="1" applyFont="1" applyFill="1" applyBorder="1" applyAlignment="1">
      <alignment horizontal="right" vertical="center"/>
    </xf>
    <xf numFmtId="4" fontId="24" fillId="10" borderId="6" xfId="0" applyNumberFormat="1" applyFont="1" applyFill="1" applyBorder="1" applyAlignment="1">
      <alignment horizontal="right" vertical="center"/>
    </xf>
    <xf numFmtId="4" fontId="24" fillId="10" borderId="47" xfId="0" applyNumberFormat="1" applyFont="1" applyFill="1" applyBorder="1" applyAlignment="1">
      <alignment vertical="center"/>
    </xf>
    <xf numFmtId="174" fontId="24" fillId="10" borderId="90" xfId="0" applyNumberFormat="1" applyFont="1" applyFill="1" applyBorder="1" applyAlignment="1">
      <alignment vertical="center"/>
    </xf>
    <xf numFmtId="174" fontId="24" fillId="10" borderId="146" xfId="0" applyNumberFormat="1" applyFont="1" applyFill="1" applyBorder="1" applyAlignment="1">
      <alignment vertical="center"/>
    </xf>
    <xf numFmtId="4" fontId="24" fillId="10" borderId="5" xfId="0" applyNumberFormat="1" applyFont="1" applyFill="1" applyBorder="1" applyAlignment="1">
      <alignment horizontal="right" vertical="center"/>
    </xf>
    <xf numFmtId="4" fontId="27" fillId="10" borderId="5" xfId="0" applyNumberFormat="1" applyFont="1" applyFill="1" applyBorder="1" applyAlignment="1">
      <alignment horizontal="right" vertical="center"/>
    </xf>
    <xf numFmtId="4" fontId="27" fillId="10" borderId="6" xfId="0" applyNumberFormat="1" applyFont="1" applyFill="1" applyBorder="1" applyAlignment="1">
      <alignment horizontal="right" vertical="center"/>
    </xf>
    <xf numFmtId="4" fontId="67" fillId="10" borderId="4" xfId="0" applyNumberFormat="1" applyFont="1" applyFill="1" applyBorder="1" applyAlignment="1">
      <alignment horizontal="center" vertical="distributed"/>
    </xf>
    <xf numFmtId="4" fontId="24" fillId="10" borderId="4" xfId="0" applyNumberFormat="1" applyFont="1" applyFill="1" applyBorder="1" applyAlignment="1">
      <alignment horizontal="right" vertical="distributed"/>
    </xf>
    <xf numFmtId="0" fontId="66" fillId="10" borderId="0" xfId="0" applyFont="1" applyFill="1" applyAlignment="1">
      <alignment horizontal="center" vertical="distributed"/>
    </xf>
    <xf numFmtId="174" fontId="24" fillId="3" borderId="93" xfId="0" applyNumberFormat="1" applyFont="1" applyFill="1" applyBorder="1" applyAlignment="1">
      <alignment vertical="center"/>
    </xf>
    <xf numFmtId="0" fontId="15" fillId="10" borderId="0" xfId="0" applyFont="1" applyFill="1" applyAlignment="1">
      <alignment horizontal="left" vertical="center"/>
    </xf>
    <xf numFmtId="4" fontId="24" fillId="4" borderId="10" xfId="1" applyFont="1" applyFill="1" applyBorder="1" applyAlignment="1" applyProtection="1">
      <alignment vertical="center"/>
      <protection locked="0"/>
    </xf>
    <xf numFmtId="4" fontId="24" fillId="4" borderId="9" xfId="1" applyFont="1" applyFill="1" applyBorder="1" applyAlignment="1" applyProtection="1">
      <alignment vertical="center"/>
      <protection locked="0"/>
    </xf>
    <xf numFmtId="4" fontId="24" fillId="10" borderId="201" xfId="1" applyFont="1" applyFill="1" applyBorder="1" applyAlignment="1" applyProtection="1">
      <alignment vertical="center"/>
    </xf>
    <xf numFmtId="4" fontId="24" fillId="10" borderId="177" xfId="1" applyFont="1" applyFill="1" applyBorder="1" applyAlignment="1" applyProtection="1">
      <alignment vertical="center"/>
    </xf>
    <xf numFmtId="4" fontId="27" fillId="10" borderId="5" xfId="0" applyNumberFormat="1" applyFont="1" applyFill="1" applyBorder="1" applyAlignment="1">
      <alignment horizontal="center" vertical="center"/>
    </xf>
    <xf numFmtId="4" fontId="27" fillId="10" borderId="6" xfId="0" applyNumberFormat="1" applyFont="1" applyFill="1" applyBorder="1" applyAlignment="1">
      <alignment horizontal="center" vertical="center"/>
    </xf>
    <xf numFmtId="0" fontId="27" fillId="10" borderId="0" xfId="0" applyFont="1" applyFill="1" applyAlignment="1">
      <alignment vertical="center"/>
    </xf>
    <xf numFmtId="0" fontId="24" fillId="10" borderId="51" xfId="0" applyFont="1" applyFill="1" applyBorder="1" applyAlignment="1">
      <alignment vertical="center"/>
    </xf>
    <xf numFmtId="0" fontId="24" fillId="10" borderId="46" xfId="0" applyFont="1" applyFill="1" applyBorder="1" applyAlignment="1">
      <alignment vertical="center"/>
    </xf>
    <xf numFmtId="3" fontId="23" fillId="3" borderId="3" xfId="0" applyNumberFormat="1" applyFont="1" applyFill="1" applyBorder="1" applyAlignment="1">
      <alignment vertical="center"/>
    </xf>
    <xf numFmtId="0" fontId="24" fillId="10" borderId="8" xfId="0" applyFont="1" applyFill="1" applyBorder="1" applyAlignment="1">
      <alignment vertical="center"/>
    </xf>
    <xf numFmtId="0" fontId="23" fillId="3" borderId="3" xfId="0" applyFont="1" applyFill="1" applyBorder="1" applyAlignment="1">
      <alignment vertical="center"/>
    </xf>
    <xf numFmtId="0" fontId="23" fillId="3" borderId="3" xfId="0" applyFont="1" applyFill="1" applyBorder="1" applyAlignment="1">
      <alignment horizontal="center" vertical="center"/>
    </xf>
    <xf numFmtId="4" fontId="24" fillId="10" borderId="10" xfId="0" applyNumberFormat="1" applyFont="1" applyFill="1" applyBorder="1" applyAlignment="1">
      <alignment vertical="center"/>
    </xf>
    <xf numFmtId="4" fontId="24" fillId="10" borderId="10" xfId="0" applyNumberFormat="1" applyFont="1" applyFill="1" applyBorder="1" applyAlignment="1">
      <alignment horizontal="center" vertical="center" wrapText="1"/>
    </xf>
    <xf numFmtId="1" fontId="24" fillId="10" borderId="0" xfId="5" applyNumberFormat="1" applyFont="1" applyFill="1" applyAlignment="1">
      <alignment horizontal="center"/>
    </xf>
    <xf numFmtId="166" fontId="24" fillId="10" borderId="0" xfId="5" applyNumberFormat="1" applyFont="1" applyFill="1" applyAlignment="1">
      <alignment horizontal="left" indent="1"/>
    </xf>
    <xf numFmtId="166" fontId="27" fillId="10" borderId="0" xfId="5" applyNumberFormat="1" applyFont="1" applyFill="1" applyAlignment="1">
      <alignment horizontal="center"/>
    </xf>
    <xf numFmtId="166" fontId="24" fillId="10" borderId="0" xfId="5" applyNumberFormat="1" applyFont="1" applyFill="1" applyAlignment="1">
      <alignment horizontal="right"/>
    </xf>
    <xf numFmtId="166" fontId="24" fillId="10" borderId="0" xfId="5" applyNumberFormat="1" applyFont="1" applyFill="1"/>
    <xf numFmtId="3" fontId="24" fillId="10" borderId="0" xfId="5" applyNumberFormat="1" applyFont="1" applyFill="1"/>
    <xf numFmtId="166" fontId="5" fillId="10" borderId="0" xfId="5" applyNumberFormat="1" applyFont="1" applyFill="1"/>
    <xf numFmtId="166" fontId="5" fillId="10" borderId="0" xfId="5" applyNumberFormat="1" applyFont="1" applyFill="1" applyAlignment="1">
      <alignment horizontal="center"/>
    </xf>
    <xf numFmtId="166" fontId="5" fillId="10" borderId="0" xfId="5" applyNumberFormat="1" applyFont="1" applyFill="1" applyAlignment="1">
      <alignment horizontal="right"/>
    </xf>
    <xf numFmtId="166" fontId="22" fillId="10" borderId="0" xfId="5" applyNumberFormat="1" applyFont="1" applyFill="1" applyAlignment="1">
      <alignment horizontal="center"/>
    </xf>
    <xf numFmtId="3" fontId="5" fillId="10" borderId="0" xfId="5" applyNumberFormat="1" applyFont="1" applyFill="1"/>
    <xf numFmtId="168" fontId="76" fillId="10" borderId="0" xfId="7" applyNumberFormat="1" applyFont="1" applyFill="1" applyAlignment="1">
      <alignment horizontal="left"/>
    </xf>
    <xf numFmtId="166" fontId="24" fillId="10" borderId="0" xfId="5" applyNumberFormat="1" applyFont="1" applyFill="1" applyAlignment="1">
      <alignment horizontal="center"/>
    </xf>
    <xf numFmtId="3" fontId="23" fillId="10" borderId="0" xfId="7" applyNumberFormat="1" applyFont="1" applyFill="1"/>
    <xf numFmtId="3" fontId="24" fillId="10" borderId="0" xfId="5" applyNumberFormat="1" applyFont="1" applyFill="1" applyAlignment="1">
      <alignment horizontal="right"/>
    </xf>
    <xf numFmtId="3" fontId="24" fillId="10" borderId="0" xfId="5" applyNumberFormat="1" applyFont="1" applyFill="1" applyAlignment="1">
      <alignment horizontal="right" vertical="center" wrapText="1"/>
    </xf>
    <xf numFmtId="166" fontId="23" fillId="10" borderId="0" xfId="5" applyNumberFormat="1" applyFont="1" applyFill="1"/>
    <xf numFmtId="170" fontId="24" fillId="10" borderId="0" xfId="5" applyNumberFormat="1" applyFont="1" applyFill="1"/>
    <xf numFmtId="172" fontId="24" fillId="10" borderId="0" xfId="5" applyNumberFormat="1" applyFont="1" applyFill="1"/>
    <xf numFmtId="0" fontId="24" fillId="3" borderId="3" xfId="0" applyFont="1" applyFill="1" applyBorder="1" applyAlignment="1">
      <alignment horizontal="center" vertical="center"/>
    </xf>
    <xf numFmtId="3" fontId="23" fillId="3" borderId="3" xfId="0" applyNumberFormat="1" applyFont="1" applyFill="1" applyBorder="1" applyAlignment="1">
      <alignment horizontal="right" vertical="center"/>
    </xf>
    <xf numFmtId="4" fontId="23" fillId="10" borderId="0" xfId="0" applyNumberFormat="1" applyFont="1" applyFill="1" applyAlignment="1">
      <alignment horizontal="right" vertical="center"/>
    </xf>
    <xf numFmtId="0" fontId="28" fillId="10" borderId="16" xfId="0" applyFont="1" applyFill="1" applyBorder="1" applyAlignment="1">
      <alignment horizontal="center" vertical="center"/>
    </xf>
    <xf numFmtId="166" fontId="24" fillId="10" borderId="21" xfId="5" applyNumberFormat="1" applyFont="1" applyFill="1" applyBorder="1"/>
    <xf numFmtId="166" fontId="24" fillId="10" borderId="22" xfId="5" applyNumberFormat="1" applyFont="1" applyFill="1" applyBorder="1"/>
    <xf numFmtId="166" fontId="24" fillId="10" borderId="15" xfId="5" applyNumberFormat="1" applyFont="1" applyFill="1" applyBorder="1"/>
    <xf numFmtId="3" fontId="24" fillId="10" borderId="0" xfId="5" applyNumberFormat="1" applyFont="1" applyFill="1" applyAlignment="1">
      <alignment horizontal="left" indent="1"/>
    </xf>
    <xf numFmtId="166" fontId="27" fillId="10" borderId="0" xfId="5" applyNumberFormat="1" applyFont="1" applyFill="1"/>
    <xf numFmtId="166" fontId="26" fillId="10" borderId="0" xfId="5" applyNumberFormat="1" applyFont="1" applyFill="1"/>
    <xf numFmtId="166" fontId="30" fillId="10" borderId="0" xfId="5" applyNumberFormat="1" applyFont="1" applyFill="1" applyAlignment="1">
      <alignment horizontal="center"/>
    </xf>
    <xf numFmtId="166" fontId="26" fillId="10" borderId="0" xfId="5" applyNumberFormat="1" applyFont="1" applyFill="1" applyAlignment="1">
      <alignment horizontal="right"/>
    </xf>
    <xf numFmtId="3" fontId="26" fillId="10" borderId="0" xfId="5" applyNumberFormat="1" applyFont="1" applyFill="1"/>
    <xf numFmtId="0" fontId="82" fillId="10" borderId="0" xfId="0" applyFont="1" applyFill="1" applyAlignment="1">
      <alignment horizontal="left" vertical="center"/>
    </xf>
    <xf numFmtId="0" fontId="40" fillId="10" borderId="0" xfId="0" applyFont="1" applyFill="1" applyAlignment="1">
      <alignment horizontal="left" vertical="center"/>
    </xf>
    <xf numFmtId="0" fontId="24" fillId="10" borderId="0" xfId="0" applyFont="1" applyFill="1" applyAlignment="1">
      <alignment horizontal="left" vertical="center" indent="1"/>
    </xf>
    <xf numFmtId="0" fontId="71" fillId="10" borderId="0" xfId="0" applyFont="1" applyFill="1" applyAlignment="1">
      <alignment horizontal="left" vertical="center"/>
    </xf>
    <xf numFmtId="0" fontId="23" fillId="10" borderId="0" xfId="0" applyFont="1" applyFill="1" applyAlignment="1">
      <alignment horizontal="left" vertical="center" indent="1"/>
    </xf>
    <xf numFmtId="3" fontId="24" fillId="10" borderId="0" xfId="0" applyNumberFormat="1" applyFont="1" applyFill="1" applyAlignment="1">
      <alignment horizontal="center" vertical="center"/>
    </xf>
    <xf numFmtId="0" fontId="24" fillId="10" borderId="117" xfId="0" applyFont="1" applyFill="1" applyBorder="1" applyAlignment="1">
      <alignment horizontal="left" vertical="center" indent="1"/>
    </xf>
    <xf numFmtId="0" fontId="47" fillId="10" borderId="0" xfId="0" applyFont="1" applyFill="1" applyAlignment="1">
      <alignment vertical="center"/>
    </xf>
    <xf numFmtId="4" fontId="47" fillId="10" borderId="0" xfId="1" applyFont="1" applyFill="1" applyBorder="1" applyAlignment="1" applyProtection="1">
      <alignment horizontal="center" vertical="center"/>
    </xf>
    <xf numFmtId="4" fontId="27" fillId="10" borderId="0" xfId="1" applyFont="1" applyFill="1" applyBorder="1" applyAlignment="1" applyProtection="1">
      <alignment horizontal="center" vertical="center"/>
    </xf>
    <xf numFmtId="0" fontId="85" fillId="10" borderId="0" xfId="0" applyFont="1" applyFill="1" applyAlignment="1">
      <alignment horizontal="left" vertical="center"/>
    </xf>
    <xf numFmtId="0" fontId="83" fillId="10" borderId="0" xfId="0" applyFont="1" applyFill="1" applyAlignment="1">
      <alignment horizontal="center" vertical="center"/>
    </xf>
    <xf numFmtId="3" fontId="27" fillId="10" borderId="0" xfId="0" applyNumberFormat="1" applyFont="1" applyFill="1" applyAlignment="1">
      <alignment horizontal="center" vertical="center"/>
    </xf>
    <xf numFmtId="0" fontId="47" fillId="10" borderId="0" xfId="0" applyFont="1" applyFill="1" applyAlignment="1">
      <alignment horizontal="center" vertical="center"/>
    </xf>
    <xf numFmtId="4" fontId="47" fillId="10" borderId="0" xfId="0" applyNumberFormat="1" applyFont="1" applyFill="1" applyAlignment="1">
      <alignment vertical="center"/>
    </xf>
    <xf numFmtId="0" fontId="24" fillId="10" borderId="140" xfId="0" applyFont="1" applyFill="1" applyBorder="1" applyAlignment="1">
      <alignment vertical="center"/>
    </xf>
    <xf numFmtId="3" fontId="24" fillId="10" borderId="140" xfId="0" applyNumberFormat="1" applyFont="1" applyFill="1" applyBorder="1" applyAlignment="1">
      <alignment vertical="center"/>
    </xf>
    <xf numFmtId="3" fontId="24" fillId="10" borderId="117" xfId="0" applyNumberFormat="1" applyFont="1" applyFill="1" applyBorder="1" applyAlignment="1">
      <alignment horizontal="left" vertical="center" indent="1"/>
    </xf>
    <xf numFmtId="0" fontId="86" fillId="10" borderId="0" xfId="0" applyFont="1" applyFill="1" applyAlignment="1">
      <alignment horizontal="left" vertical="center"/>
    </xf>
    <xf numFmtId="168" fontId="84" fillId="3" borderId="116" xfId="0" applyNumberFormat="1" applyFont="1" applyFill="1" applyBorder="1" applyAlignment="1">
      <alignment vertical="center"/>
    </xf>
    <xf numFmtId="168" fontId="23" fillId="3" borderId="116" xfId="0" applyNumberFormat="1" applyFont="1" applyFill="1" applyBorder="1" applyAlignment="1">
      <alignment vertical="center"/>
    </xf>
    <xf numFmtId="4" fontId="24" fillId="10" borderId="168" xfId="1" applyFont="1" applyFill="1" applyBorder="1" applyAlignment="1" applyProtection="1">
      <alignment vertical="center"/>
    </xf>
    <xf numFmtId="4" fontId="24" fillId="10" borderId="178" xfId="1" applyFont="1" applyFill="1" applyBorder="1" applyAlignment="1" applyProtection="1">
      <alignment vertical="center"/>
    </xf>
    <xf numFmtId="4" fontId="24" fillId="4" borderId="174" xfId="1" applyFont="1" applyFill="1" applyBorder="1" applyAlignment="1" applyProtection="1">
      <alignment vertical="center"/>
      <protection locked="0"/>
    </xf>
    <xf numFmtId="4" fontId="24" fillId="4" borderId="175" xfId="1" applyFont="1" applyFill="1" applyBorder="1" applyAlignment="1" applyProtection="1">
      <alignment vertical="center"/>
      <protection locked="0"/>
    </xf>
    <xf numFmtId="4" fontId="24" fillId="4" borderId="3" xfId="1" applyFont="1" applyFill="1" applyBorder="1" applyAlignment="1" applyProtection="1">
      <alignment vertical="center"/>
      <protection locked="0"/>
    </xf>
    <xf numFmtId="174" fontId="109" fillId="10" borderId="143" xfId="0" applyNumberFormat="1" applyFont="1" applyFill="1" applyBorder="1" applyAlignment="1">
      <alignment vertical="center"/>
    </xf>
    <xf numFmtId="3" fontId="121" fillId="10" borderId="0" xfId="0" applyNumberFormat="1" applyFont="1" applyFill="1" applyAlignment="1">
      <alignment horizontal="center" vertical="center" wrapText="1"/>
    </xf>
    <xf numFmtId="3" fontId="135" fillId="10" borderId="0" xfId="0" applyNumberFormat="1" applyFont="1" applyFill="1" applyAlignment="1">
      <alignment horizontal="center" vertical="center" wrapText="1"/>
    </xf>
    <xf numFmtId="0" fontId="114" fillId="0" borderId="0" xfId="0" applyFont="1" applyAlignment="1">
      <alignment horizontal="justify"/>
    </xf>
    <xf numFmtId="4" fontId="24" fillId="10" borderId="0" xfId="1" applyFont="1" applyFill="1" applyBorder="1" applyAlignment="1" applyProtection="1">
      <alignment vertical="distributed"/>
      <protection locked="0"/>
    </xf>
    <xf numFmtId="4" fontId="109" fillId="0" borderId="143" xfId="1" applyFont="1" applyBorder="1" applyAlignment="1" applyProtection="1">
      <alignment vertical="center"/>
      <protection locked="0"/>
    </xf>
    <xf numFmtId="174" fontId="75" fillId="10" borderId="64" xfId="0" applyNumberFormat="1" applyFont="1" applyFill="1" applyBorder="1" applyAlignment="1">
      <alignment vertical="center"/>
    </xf>
    <xf numFmtId="174" fontId="26" fillId="10" borderId="0" xfId="0" applyNumberFormat="1" applyFont="1" applyFill="1" applyAlignment="1">
      <alignment horizontal="center" vertical="center"/>
    </xf>
    <xf numFmtId="174" fontId="108" fillId="0" borderId="0" xfId="0" applyNumberFormat="1" applyFont="1" applyAlignment="1">
      <alignment horizontal="center" vertical="center"/>
    </xf>
    <xf numFmtId="10" fontId="30" fillId="10" borderId="1" xfId="2" applyNumberFormat="1" applyFont="1" applyFill="1" applyBorder="1" applyAlignment="1" applyProtection="1">
      <alignment horizontal="center" vertical="center" wrapText="1"/>
    </xf>
    <xf numFmtId="0" fontId="24" fillId="10" borderId="0" xfId="0" quotePrefix="1" applyFont="1" applyFill="1" applyAlignment="1" applyProtection="1">
      <alignment vertical="center"/>
      <protection locked="0"/>
    </xf>
    <xf numFmtId="0" fontId="24" fillId="10" borderId="117" xfId="0" applyFont="1" applyFill="1" applyBorder="1" applyAlignment="1" applyProtection="1">
      <alignment vertical="center"/>
      <protection locked="0"/>
    </xf>
    <xf numFmtId="4" fontId="60" fillId="10" borderId="5" xfId="0" applyNumberFormat="1" applyFont="1" applyFill="1" applyBorder="1" applyAlignment="1" applyProtection="1">
      <alignment horizontal="center" vertical="center"/>
      <protection locked="0"/>
    </xf>
    <xf numFmtId="4" fontId="24" fillId="4" borderId="202" xfId="0" applyNumberFormat="1" applyFont="1" applyFill="1" applyBorder="1" applyAlignment="1" applyProtection="1">
      <alignment vertical="distributed"/>
      <protection locked="0"/>
    </xf>
    <xf numFmtId="4" fontId="24" fillId="4" borderId="203" xfId="0" applyNumberFormat="1" applyFont="1" applyFill="1" applyBorder="1" applyAlignment="1" applyProtection="1">
      <alignment vertical="distributed"/>
      <protection locked="0"/>
    </xf>
    <xf numFmtId="4" fontId="24" fillId="4" borderId="204" xfId="0" applyNumberFormat="1" applyFont="1" applyFill="1" applyBorder="1" applyAlignment="1" applyProtection="1">
      <alignment vertical="distributed"/>
      <protection locked="0"/>
    </xf>
    <xf numFmtId="10" fontId="27" fillId="10" borderId="5" xfId="2" applyNumberFormat="1" applyFont="1" applyFill="1" applyBorder="1" applyAlignment="1" applyProtection="1">
      <alignment horizontal="right"/>
      <protection locked="0"/>
    </xf>
    <xf numFmtId="3" fontId="23" fillId="21" borderId="11" xfId="0" applyNumberFormat="1" applyFont="1" applyFill="1" applyBorder="1" applyAlignment="1" applyProtection="1">
      <alignment vertical="center"/>
      <protection locked="0"/>
    </xf>
    <xf numFmtId="0" fontId="114" fillId="22" borderId="205" xfId="0" applyFont="1" applyFill="1" applyBorder="1" applyAlignment="1">
      <alignment horizontal="justify" vertical="center"/>
    </xf>
    <xf numFmtId="3" fontId="23" fillId="3" borderId="2" xfId="0" applyNumberFormat="1" applyFont="1" applyFill="1" applyBorder="1" applyAlignment="1" applyProtection="1">
      <alignment vertical="center"/>
      <protection locked="0"/>
    </xf>
    <xf numFmtId="4" fontId="62" fillId="10" borderId="0" xfId="1" applyFont="1" applyFill="1" applyAlignment="1" applyProtection="1">
      <alignment vertical="center"/>
      <protection locked="0"/>
    </xf>
    <xf numFmtId="10" fontId="27" fillId="11" borderId="0" xfId="2" applyNumberFormat="1" applyFont="1" applyFill="1" applyBorder="1" applyAlignment="1" applyProtection="1">
      <alignment vertical="center"/>
    </xf>
    <xf numFmtId="4" fontId="27" fillId="11" borderId="0" xfId="1" applyFont="1" applyFill="1" applyBorder="1" applyAlignment="1" applyProtection="1">
      <alignment vertical="center"/>
    </xf>
    <xf numFmtId="3" fontId="27" fillId="11" borderId="5" xfId="3" applyNumberFormat="1" applyFont="1" applyFill="1" applyBorder="1" applyAlignment="1">
      <alignment horizontal="right" vertical="center"/>
    </xf>
    <xf numFmtId="3" fontId="27" fillId="11" borderId="5" xfId="3" applyNumberFormat="1" applyFont="1" applyFill="1" applyBorder="1" applyAlignment="1">
      <alignment horizontal="right"/>
    </xf>
    <xf numFmtId="3" fontId="27" fillId="11" borderId="0" xfId="3" applyNumberFormat="1" applyFont="1" applyFill="1" applyAlignment="1">
      <alignment horizontal="right" vertical="center"/>
    </xf>
    <xf numFmtId="3" fontId="23" fillId="10" borderId="1" xfId="3" applyNumberFormat="1" applyFont="1" applyFill="1" applyBorder="1" applyAlignment="1" applyProtection="1">
      <alignment vertical="center"/>
      <protection locked="0"/>
    </xf>
    <xf numFmtId="9" fontId="27" fillId="10" borderId="3" xfId="2" applyFont="1" applyFill="1" applyBorder="1" applyAlignment="1" applyProtection="1">
      <alignment horizontal="center" vertical="center"/>
      <protection locked="0"/>
    </xf>
    <xf numFmtId="9" fontId="27" fillId="10" borderId="1" xfId="2" applyFont="1" applyFill="1" applyBorder="1" applyAlignment="1" applyProtection="1">
      <alignment horizontal="center" vertical="center"/>
      <protection locked="0"/>
    </xf>
    <xf numFmtId="3" fontId="24" fillId="9" borderId="1" xfId="3" applyNumberFormat="1" applyFont="1" applyFill="1" applyBorder="1" applyAlignment="1" applyProtection="1">
      <alignment vertical="center"/>
      <protection locked="0"/>
    </xf>
    <xf numFmtId="3" fontId="23" fillId="10" borderId="59" xfId="3" applyNumberFormat="1" applyFont="1" applyFill="1" applyBorder="1" applyAlignment="1" applyProtection="1">
      <alignment vertical="center"/>
      <protection locked="0"/>
    </xf>
    <xf numFmtId="3" fontId="23" fillId="10" borderId="60" xfId="3" applyNumberFormat="1" applyFont="1" applyFill="1" applyBorder="1" applyAlignment="1" applyProtection="1">
      <alignment vertical="center"/>
      <protection locked="0"/>
    </xf>
    <xf numFmtId="9" fontId="27" fillId="10" borderId="61" xfId="2" applyFont="1" applyFill="1" applyBorder="1" applyAlignment="1" applyProtection="1">
      <alignment horizontal="center" vertical="center"/>
      <protection locked="0"/>
    </xf>
    <xf numFmtId="3" fontId="27" fillId="10" borderId="0" xfId="3" applyNumberFormat="1" applyFont="1" applyFill="1" applyAlignment="1" applyProtection="1">
      <alignment horizontal="right" vertical="center"/>
      <protection locked="0"/>
    </xf>
    <xf numFmtId="9" fontId="10" fillId="10" borderId="0" xfId="2" applyFont="1" applyFill="1" applyAlignment="1" applyProtection="1">
      <alignment vertical="center"/>
      <protection locked="0"/>
    </xf>
    <xf numFmtId="0" fontId="67" fillId="10" borderId="0" xfId="0" applyFont="1" applyFill="1" applyAlignment="1">
      <alignment horizontal="center" vertical="distributed"/>
    </xf>
    <xf numFmtId="4" fontId="67" fillId="10" borderId="0" xfId="0" applyNumberFormat="1" applyFont="1" applyFill="1" applyAlignment="1">
      <alignment horizontal="center" vertical="center"/>
    </xf>
    <xf numFmtId="3" fontId="75" fillId="10" borderId="0" xfId="0" applyNumberFormat="1" applyFont="1" applyFill="1" applyAlignment="1" applyProtection="1">
      <alignment vertical="center"/>
      <protection locked="0"/>
    </xf>
    <xf numFmtId="3" fontId="75" fillId="10" borderId="0" xfId="0" applyNumberFormat="1" applyFont="1" applyFill="1" applyAlignment="1">
      <alignment vertical="center"/>
    </xf>
    <xf numFmtId="4" fontId="75" fillId="10" borderId="0" xfId="0" applyNumberFormat="1" applyFont="1" applyFill="1" applyAlignment="1" applyProtection="1">
      <alignment vertical="center"/>
      <protection locked="0"/>
    </xf>
    <xf numFmtId="0" fontId="125" fillId="10" borderId="0" xfId="0" applyFont="1" applyFill="1" applyProtection="1">
      <protection locked="0"/>
    </xf>
    <xf numFmtId="0" fontId="75" fillId="10" borderId="0" xfId="0" applyFont="1" applyFill="1" applyProtection="1">
      <protection locked="0"/>
    </xf>
    <xf numFmtId="0" fontId="110" fillId="10" borderId="0" xfId="0" applyFont="1" applyFill="1" applyAlignment="1" applyProtection="1">
      <alignment vertical="center"/>
      <protection locked="0"/>
    </xf>
    <xf numFmtId="0" fontId="75" fillId="10" borderId="0" xfId="0" applyFont="1" applyFill="1" applyAlignment="1" applyProtection="1">
      <alignment vertical="center"/>
      <protection locked="0"/>
    </xf>
    <xf numFmtId="0" fontId="136" fillId="10" borderId="0" xfId="0" applyFont="1" applyFill="1" applyAlignment="1" applyProtection="1">
      <alignment vertical="center"/>
      <protection locked="0"/>
    </xf>
    <xf numFmtId="4" fontId="75" fillId="10" borderId="0" xfId="0" applyNumberFormat="1" applyFont="1" applyFill="1" applyProtection="1">
      <protection locked="0"/>
    </xf>
    <xf numFmtId="0" fontId="75" fillId="0" borderId="0" xfId="0" applyFont="1" applyProtection="1">
      <protection locked="0"/>
    </xf>
    <xf numFmtId="4" fontId="75" fillId="0" borderId="0" xfId="0" applyNumberFormat="1" applyFont="1" applyProtection="1">
      <protection locked="0"/>
    </xf>
    <xf numFmtId="2" fontId="75" fillId="10" borderId="0" xfId="0" applyNumberFormat="1" applyFont="1" applyFill="1" applyProtection="1">
      <protection locked="0"/>
    </xf>
    <xf numFmtId="0" fontId="92" fillId="10" borderId="0" xfId="0" quotePrefix="1" applyFont="1" applyFill="1" applyAlignment="1" applyProtection="1">
      <alignment horizontal="left" vertical="center"/>
      <protection locked="0"/>
    </xf>
    <xf numFmtId="0" fontId="138" fillId="10" borderId="0" xfId="0" applyFont="1" applyFill="1" applyAlignment="1">
      <alignment vertical="center"/>
    </xf>
    <xf numFmtId="0" fontId="138" fillId="10" borderId="117" xfId="0" applyFont="1" applyFill="1" applyBorder="1" applyAlignment="1">
      <alignment horizontal="left" vertical="center" indent="1"/>
    </xf>
    <xf numFmtId="0" fontId="138" fillId="10" borderId="0" xfId="0" applyFont="1" applyFill="1" applyAlignment="1" applyProtection="1">
      <alignment vertical="center"/>
      <protection locked="0"/>
    </xf>
    <xf numFmtId="0" fontId="24" fillId="10" borderId="206" xfId="0" applyFont="1" applyFill="1" applyBorder="1" applyAlignment="1">
      <alignment horizontal="left" vertical="center" indent="1"/>
    </xf>
    <xf numFmtId="3" fontId="24" fillId="4" borderId="207" xfId="1" applyNumberFormat="1" applyFont="1" applyFill="1" applyBorder="1" applyAlignment="1" applyProtection="1">
      <alignment horizontal="center" vertical="center"/>
      <protection locked="0"/>
    </xf>
    <xf numFmtId="0" fontId="24" fillId="10" borderId="208" xfId="0" applyFont="1" applyFill="1" applyBorder="1" applyAlignment="1">
      <alignment horizontal="left" vertical="center" indent="1"/>
    </xf>
    <xf numFmtId="3" fontId="24" fillId="4" borderId="209" xfId="1" applyNumberFormat="1" applyFont="1" applyFill="1" applyBorder="1" applyAlignment="1" applyProtection="1">
      <alignment horizontal="center" vertical="center"/>
      <protection locked="0"/>
    </xf>
    <xf numFmtId="0" fontId="24" fillId="10" borderId="210" xfId="0" applyFont="1" applyFill="1" applyBorder="1" applyAlignment="1">
      <alignment horizontal="left" vertical="center" indent="1"/>
    </xf>
    <xf numFmtId="3" fontId="24" fillId="4" borderId="211" xfId="1" applyNumberFormat="1" applyFont="1" applyFill="1" applyBorder="1" applyAlignment="1" applyProtection="1">
      <alignment horizontal="center" vertical="center"/>
      <protection locked="0"/>
    </xf>
    <xf numFmtId="3" fontId="24" fillId="4" borderId="4" xfId="1" applyNumberFormat="1" applyFont="1" applyFill="1" applyBorder="1" applyAlignment="1" applyProtection="1">
      <alignment vertical="center"/>
      <protection locked="0"/>
    </xf>
    <xf numFmtId="4" fontId="23" fillId="3" borderId="3" xfId="1" applyFont="1" applyFill="1" applyBorder="1" applyAlignment="1">
      <alignment vertical="center"/>
    </xf>
    <xf numFmtId="4" fontId="110" fillId="3" borderId="116" xfId="1" applyFont="1" applyFill="1" applyBorder="1" applyAlignment="1">
      <alignment vertical="center"/>
    </xf>
    <xf numFmtId="4" fontId="27" fillId="10" borderId="0" xfId="1" applyFont="1" applyFill="1" applyAlignment="1">
      <alignment vertical="center"/>
    </xf>
    <xf numFmtId="4" fontId="24" fillId="10" borderId="117" xfId="1" applyFont="1" applyFill="1" applyBorder="1" applyAlignment="1" applyProtection="1">
      <alignment vertical="center"/>
    </xf>
    <xf numFmtId="4" fontId="24" fillId="10" borderId="140" xfId="1" applyFont="1" applyFill="1" applyBorder="1" applyAlignment="1" applyProtection="1">
      <alignment vertical="center"/>
    </xf>
    <xf numFmtId="4" fontId="24" fillId="10" borderId="0" xfId="1" applyFont="1" applyFill="1" applyAlignment="1">
      <alignment horizontal="left" vertical="center" indent="1"/>
    </xf>
    <xf numFmtId="4" fontId="24" fillId="10" borderId="0" xfId="1" applyFont="1" applyFill="1" applyAlignment="1">
      <alignment vertical="center"/>
    </xf>
    <xf numFmtId="3" fontId="47" fillId="10" borderId="0" xfId="0" applyNumberFormat="1" applyFont="1" applyFill="1" applyAlignment="1">
      <alignment horizontal="left" vertical="center" indent="1"/>
    </xf>
    <xf numFmtId="0" fontId="47" fillId="10" borderId="0" xfId="0" applyFont="1" applyFill="1" applyAlignment="1" applyProtection="1">
      <alignment vertical="center"/>
      <protection locked="0"/>
    </xf>
    <xf numFmtId="0" fontId="24" fillId="10" borderId="0" xfId="0" quotePrefix="1" applyFont="1" applyFill="1" applyAlignment="1">
      <alignment vertical="center"/>
    </xf>
    <xf numFmtId="4" fontId="24" fillId="4" borderId="7" xfId="1" applyFont="1" applyFill="1" applyBorder="1" applyProtection="1">
      <protection locked="0"/>
    </xf>
    <xf numFmtId="4" fontId="24" fillId="4" borderId="7" xfId="1" applyFont="1" applyFill="1" applyBorder="1" applyAlignment="1" applyProtection="1">
      <alignment horizontal="center"/>
      <protection locked="0"/>
    </xf>
    <xf numFmtId="0" fontId="0" fillId="10" borderId="0" xfId="0" applyFill="1" applyProtection="1">
      <protection locked="0"/>
    </xf>
    <xf numFmtId="0" fontId="0" fillId="0" borderId="0" xfId="0" applyProtection="1">
      <protection locked="0"/>
    </xf>
    <xf numFmtId="0" fontId="10" fillId="10" borderId="157" xfId="0" applyFont="1" applyFill="1" applyBorder="1"/>
    <xf numFmtId="0" fontId="113" fillId="10" borderId="157" xfId="0" applyFont="1" applyFill="1" applyBorder="1" applyAlignment="1">
      <alignment vertical="center"/>
    </xf>
    <xf numFmtId="0" fontId="1" fillId="0" borderId="0" xfId="14"/>
    <xf numFmtId="0" fontId="1" fillId="10" borderId="0" xfId="14" applyFill="1"/>
    <xf numFmtId="0" fontId="79" fillId="10" borderId="0" xfId="14" applyFont="1" applyFill="1"/>
    <xf numFmtId="0" fontId="143" fillId="10" borderId="0" xfId="14" applyFont="1" applyFill="1"/>
    <xf numFmtId="0" fontId="125" fillId="10" borderId="0" xfId="14" applyFont="1" applyFill="1"/>
    <xf numFmtId="180" fontId="80" fillId="10" borderId="0" xfId="15" applyNumberFormat="1" applyFont="1" applyFill="1"/>
    <xf numFmtId="0" fontId="75" fillId="10" borderId="0" xfId="14" applyFont="1" applyFill="1" applyAlignment="1">
      <alignment horizontal="left" indent="1"/>
    </xf>
    <xf numFmtId="9" fontId="75" fillId="10" borderId="0" xfId="14" applyNumberFormat="1" applyFont="1" applyFill="1" applyAlignment="1">
      <alignment horizontal="center"/>
    </xf>
    <xf numFmtId="176" fontId="80" fillId="10" borderId="0" xfId="15" applyNumberFormat="1" applyFont="1" applyFill="1"/>
    <xf numFmtId="0" fontId="75" fillId="10" borderId="0" xfId="14" applyFont="1" applyFill="1" applyAlignment="1">
      <alignment horizontal="center"/>
    </xf>
    <xf numFmtId="0" fontId="143" fillId="10" borderId="0" xfId="14" applyFont="1" applyFill="1" applyAlignment="1">
      <alignment wrapText="1"/>
    </xf>
    <xf numFmtId="0" fontId="143" fillId="10" borderId="0" xfId="14" applyFont="1" applyFill="1" applyAlignment="1">
      <alignment horizontal="center"/>
    </xf>
    <xf numFmtId="0" fontId="113" fillId="10" borderId="0" xfId="14" applyFont="1" applyFill="1"/>
    <xf numFmtId="180" fontId="113" fillId="10" borderId="0" xfId="15" applyNumberFormat="1" applyFont="1" applyFill="1"/>
    <xf numFmtId="10" fontId="75" fillId="10" borderId="0" xfId="16" applyNumberFormat="1" applyFont="1" applyFill="1" applyAlignment="1">
      <alignment horizontal="center"/>
    </xf>
    <xf numFmtId="180" fontId="75" fillId="10" borderId="0" xfId="15" applyNumberFormat="1" applyFont="1" applyFill="1"/>
    <xf numFmtId="10" fontId="75" fillId="23" borderId="0" xfId="16" applyNumberFormat="1" applyFont="1" applyFill="1" applyAlignment="1">
      <alignment horizontal="center"/>
    </xf>
    <xf numFmtId="10" fontId="75" fillId="24" borderId="0" xfId="16" applyNumberFormat="1" applyFont="1" applyFill="1" applyAlignment="1">
      <alignment horizontal="center"/>
    </xf>
    <xf numFmtId="10" fontId="75" fillId="20" borderId="0" xfId="16" applyNumberFormat="1" applyFont="1" applyFill="1" applyAlignment="1">
      <alignment horizontal="center"/>
    </xf>
    <xf numFmtId="0" fontId="143" fillId="10" borderId="132" xfId="14" applyFont="1" applyFill="1" applyBorder="1"/>
    <xf numFmtId="180" fontId="80" fillId="10" borderId="132" xfId="15" applyNumberFormat="1" applyFont="1" applyFill="1" applyBorder="1" applyAlignment="1">
      <alignment vertical="center"/>
    </xf>
    <xf numFmtId="180" fontId="143" fillId="10" borderId="132" xfId="15" applyNumberFormat="1" applyFont="1" applyFill="1" applyBorder="1"/>
    <xf numFmtId="180" fontId="143" fillId="10" borderId="0" xfId="14" applyNumberFormat="1" applyFont="1" applyFill="1"/>
    <xf numFmtId="10" fontId="145" fillId="10" borderId="0" xfId="14" applyNumberFormat="1" applyFont="1" applyFill="1"/>
    <xf numFmtId="3" fontId="84" fillId="9" borderId="0" xfId="0" applyNumberFormat="1" applyFont="1" applyFill="1" applyAlignment="1" applyProtection="1">
      <alignment vertical="center"/>
      <protection locked="0"/>
    </xf>
    <xf numFmtId="0" fontId="144" fillId="10" borderId="0" xfId="14" applyFont="1" applyFill="1" applyAlignment="1">
      <alignment vertical="center"/>
    </xf>
    <xf numFmtId="0" fontId="71" fillId="3" borderId="3" xfId="0" applyFont="1" applyFill="1" applyBorder="1" applyAlignment="1" applyProtection="1">
      <alignment vertical="center"/>
      <protection locked="0"/>
    </xf>
    <xf numFmtId="0" fontId="84" fillId="7" borderId="3" xfId="0" applyFont="1" applyFill="1" applyBorder="1" applyAlignment="1" applyProtection="1">
      <alignment vertical="center"/>
      <protection locked="0"/>
    </xf>
    <xf numFmtId="180" fontId="113" fillId="7" borderId="132" xfId="15" applyNumberFormat="1" applyFont="1" applyFill="1" applyBorder="1"/>
    <xf numFmtId="0" fontId="113" fillId="10" borderId="132" xfId="14" applyFont="1" applyFill="1" applyBorder="1" applyAlignment="1">
      <alignment horizontal="center" vertical="center"/>
    </xf>
    <xf numFmtId="10" fontId="75" fillId="23" borderId="132" xfId="16" applyNumberFormat="1" applyFont="1" applyFill="1" applyBorder="1" applyAlignment="1">
      <alignment horizontal="center" vertical="center"/>
    </xf>
    <xf numFmtId="10" fontId="75" fillId="24" borderId="132" xfId="16" applyNumberFormat="1" applyFont="1" applyFill="1" applyBorder="1" applyAlignment="1">
      <alignment horizontal="center" vertical="center"/>
    </xf>
    <xf numFmtId="10" fontId="75" fillId="20" borderId="132" xfId="16" applyNumberFormat="1" applyFont="1" applyFill="1" applyBorder="1" applyAlignment="1">
      <alignment horizontal="center" vertical="center"/>
    </xf>
    <xf numFmtId="0" fontId="143" fillId="10" borderId="132" xfId="14" applyFont="1" applyFill="1" applyBorder="1" applyAlignment="1">
      <alignment vertical="center"/>
    </xf>
    <xf numFmtId="0" fontId="1" fillId="10" borderId="0" xfId="14" applyFill="1" applyAlignment="1">
      <alignment vertical="center"/>
    </xf>
    <xf numFmtId="0" fontId="1" fillId="0" borderId="0" xfId="14" applyAlignment="1">
      <alignment vertical="center"/>
    </xf>
    <xf numFmtId="43" fontId="143" fillId="10" borderId="0" xfId="14" applyNumberFormat="1" applyFont="1" applyFill="1"/>
    <xf numFmtId="0" fontId="0" fillId="0" borderId="0" xfId="0" applyAlignment="1">
      <alignment vertical="center"/>
    </xf>
    <xf numFmtId="0" fontId="114" fillId="0" borderId="0" xfId="0" applyFont="1" applyAlignment="1">
      <alignment vertical="center"/>
    </xf>
    <xf numFmtId="0" fontId="115" fillId="0" borderId="0" xfId="0" applyFont="1" applyAlignment="1">
      <alignment horizontal="justify"/>
    </xf>
    <xf numFmtId="0" fontId="115" fillId="0" borderId="0" xfId="0" applyFont="1"/>
    <xf numFmtId="0" fontId="0" fillId="6" borderId="0" xfId="0" applyFill="1" applyAlignment="1">
      <alignment wrapText="1"/>
    </xf>
    <xf numFmtId="0" fontId="0" fillId="0" borderId="0" xfId="0" applyAlignment="1">
      <alignment wrapText="1"/>
    </xf>
    <xf numFmtId="0" fontId="114" fillId="0" borderId="0" xfId="0" applyFont="1" applyAlignment="1">
      <alignment vertical="center" wrapText="1"/>
    </xf>
    <xf numFmtId="0" fontId="0" fillId="6" borderId="0" xfId="0" applyFill="1" applyAlignment="1">
      <alignment vertical="center"/>
    </xf>
    <xf numFmtId="0" fontId="120" fillId="0" borderId="0" xfId="13" applyFont="1" applyAlignment="1" applyProtection="1">
      <alignment vertical="center"/>
    </xf>
    <xf numFmtId="0" fontId="133" fillId="10" borderId="0" xfId="0" applyFont="1" applyFill="1" applyAlignment="1" applyProtection="1">
      <alignment horizontal="left"/>
      <protection locked="0"/>
    </xf>
    <xf numFmtId="1" fontId="23" fillId="9" borderId="25" xfId="0" applyNumberFormat="1" applyFont="1" applyFill="1" applyBorder="1" applyAlignment="1" applyProtection="1">
      <alignment horizontal="left" vertical="center"/>
      <protection locked="0"/>
    </xf>
    <xf numFmtId="1" fontId="23" fillId="9" borderId="4" xfId="0" applyNumberFormat="1" applyFont="1" applyFill="1" applyBorder="1" applyAlignment="1" applyProtection="1">
      <alignment horizontal="left" vertical="center"/>
      <protection locked="0"/>
    </xf>
    <xf numFmtId="1" fontId="23" fillId="9" borderId="38" xfId="0" applyNumberFormat="1" applyFont="1" applyFill="1" applyBorder="1" applyAlignment="1" applyProtection="1">
      <alignment horizontal="left" vertical="center"/>
      <protection locked="0"/>
    </xf>
    <xf numFmtId="1" fontId="23" fillId="9" borderId="71" xfId="0" applyNumberFormat="1" applyFont="1" applyFill="1" applyBorder="1" applyAlignment="1" applyProtection="1">
      <alignment horizontal="left" vertical="center"/>
      <protection locked="0"/>
    </xf>
    <xf numFmtId="1" fontId="23" fillId="9" borderId="72" xfId="0" applyNumberFormat="1" applyFont="1" applyFill="1" applyBorder="1" applyAlignment="1" applyProtection="1">
      <alignment horizontal="left" vertical="center"/>
      <protection locked="0"/>
    </xf>
    <xf numFmtId="171" fontId="24" fillId="10" borderId="0" xfId="0" applyNumberFormat="1" applyFont="1" applyFill="1" applyAlignment="1" applyProtection="1">
      <alignment vertical="center"/>
      <protection locked="0"/>
    </xf>
    <xf numFmtId="1" fontId="10" fillId="10" borderId="19" xfId="0" applyNumberFormat="1" applyFont="1" applyFill="1" applyBorder="1" applyAlignment="1" applyProtection="1">
      <alignment horizontal="center" vertical="center"/>
      <protection locked="0"/>
    </xf>
    <xf numFmtId="1" fontId="10" fillId="10" borderId="0" xfId="0" applyNumberFormat="1" applyFont="1" applyFill="1" applyAlignment="1" applyProtection="1">
      <alignment horizontal="center" vertical="center"/>
      <protection locked="0"/>
    </xf>
    <xf numFmtId="1" fontId="23" fillId="9" borderId="73" xfId="0" applyNumberFormat="1" applyFont="1" applyFill="1" applyBorder="1" applyAlignment="1" applyProtection="1">
      <alignment horizontal="left" vertical="center"/>
      <protection locked="0"/>
    </xf>
    <xf numFmtId="1" fontId="23" fillId="9" borderId="129" xfId="0" applyNumberFormat="1" applyFont="1" applyFill="1" applyBorder="1" applyAlignment="1" applyProtection="1">
      <alignment horizontal="left" vertical="center"/>
      <protection locked="0"/>
    </xf>
    <xf numFmtId="1" fontId="23" fillId="9" borderId="68" xfId="0" applyNumberFormat="1" applyFont="1" applyFill="1" applyBorder="1" applyAlignment="1" applyProtection="1">
      <alignment horizontal="left" vertical="center"/>
      <protection locked="0"/>
    </xf>
    <xf numFmtId="1" fontId="23" fillId="9" borderId="69" xfId="0" applyNumberFormat="1" applyFont="1" applyFill="1" applyBorder="1" applyAlignment="1" applyProtection="1">
      <alignment horizontal="left" vertical="center"/>
      <protection locked="0"/>
    </xf>
    <xf numFmtId="1" fontId="23" fillId="9" borderId="70" xfId="0" applyNumberFormat="1" applyFont="1" applyFill="1" applyBorder="1" applyAlignment="1" applyProtection="1">
      <alignment horizontal="left" vertical="center"/>
      <protection locked="0"/>
    </xf>
    <xf numFmtId="1" fontId="23" fillId="9" borderId="74" xfId="0" applyNumberFormat="1" applyFont="1" applyFill="1" applyBorder="1" applyAlignment="1" applyProtection="1">
      <alignment horizontal="left" vertical="center"/>
      <protection locked="0"/>
    </xf>
    <xf numFmtId="171" fontId="24" fillId="9" borderId="73" xfId="0" applyNumberFormat="1" applyFont="1" applyFill="1" applyBorder="1" applyAlignment="1" applyProtection="1">
      <alignment vertical="center"/>
      <protection locked="0"/>
    </xf>
    <xf numFmtId="171" fontId="24" fillId="9" borderId="74" xfId="0" applyNumberFormat="1" applyFont="1" applyFill="1" applyBorder="1" applyAlignment="1" applyProtection="1">
      <alignment vertical="center"/>
      <protection locked="0"/>
    </xf>
    <xf numFmtId="1" fontId="23" fillId="9" borderId="17" xfId="0" applyNumberFormat="1" applyFont="1" applyFill="1" applyBorder="1" applyAlignment="1" applyProtection="1">
      <alignment horizontal="left" vertical="center"/>
      <protection locked="0"/>
    </xf>
    <xf numFmtId="4" fontId="39" fillId="10" borderId="182" xfId="0" applyNumberFormat="1" applyFont="1" applyFill="1" applyBorder="1" applyAlignment="1">
      <alignment horizontal="center" vertical="center" wrapText="1"/>
    </xf>
    <xf numFmtId="4" fontId="39" fillId="10" borderId="183" xfId="0" applyNumberFormat="1" applyFont="1" applyFill="1" applyBorder="1" applyAlignment="1">
      <alignment horizontal="center" vertical="center" wrapText="1"/>
    </xf>
    <xf numFmtId="4" fontId="39" fillId="10" borderId="184" xfId="0" applyNumberFormat="1" applyFont="1" applyFill="1" applyBorder="1" applyAlignment="1">
      <alignment horizontal="center" vertical="center" wrapText="1"/>
    </xf>
    <xf numFmtId="0" fontId="113" fillId="10" borderId="155" xfId="0" applyFont="1" applyFill="1" applyBorder="1" applyAlignment="1">
      <alignment horizontal="center" vertical="center"/>
    </xf>
    <xf numFmtId="0" fontId="113" fillId="10" borderId="156" xfId="0" applyFont="1" applyFill="1" applyBorder="1" applyAlignment="1">
      <alignment horizontal="center" vertical="center"/>
    </xf>
    <xf numFmtId="9" fontId="27" fillId="10" borderId="113" xfId="2" applyFont="1" applyFill="1" applyBorder="1" applyAlignment="1" applyProtection="1">
      <alignment horizontal="center" vertical="center"/>
    </xf>
    <xf numFmtId="9" fontId="27" fillId="10" borderId="114" xfId="2" applyFont="1" applyFill="1" applyBorder="1" applyAlignment="1" applyProtection="1">
      <alignment horizontal="center" vertical="center"/>
    </xf>
    <xf numFmtId="0" fontId="113" fillId="10" borderId="155" xfId="0" applyFont="1" applyFill="1" applyBorder="1" applyAlignment="1">
      <alignment horizontal="center"/>
    </xf>
    <xf numFmtId="0" fontId="113" fillId="10" borderId="156" xfId="0" applyFont="1" applyFill="1" applyBorder="1" applyAlignment="1">
      <alignment horizontal="center"/>
    </xf>
    <xf numFmtId="0" fontId="60" fillId="10" borderId="83" xfId="0" applyFont="1" applyFill="1" applyBorder="1" applyAlignment="1">
      <alignment horizontal="center" vertical="center"/>
    </xf>
    <xf numFmtId="1" fontId="26" fillId="10" borderId="106" xfId="0" applyNumberFormat="1" applyFont="1" applyFill="1" applyBorder="1" applyAlignment="1">
      <alignment horizontal="center" vertical="center" wrapText="1" shrinkToFit="1"/>
    </xf>
    <xf numFmtId="1" fontId="26" fillId="10" borderId="107" xfId="0" applyNumberFormat="1" applyFont="1" applyFill="1" applyBorder="1" applyAlignment="1">
      <alignment horizontal="center" vertical="center" wrapText="1" shrinkToFit="1"/>
    </xf>
    <xf numFmtId="10" fontId="39" fillId="10" borderId="33" xfId="2" applyNumberFormat="1" applyFont="1" applyFill="1" applyBorder="1" applyAlignment="1" applyProtection="1">
      <alignment horizontal="center" vertical="center"/>
    </xf>
    <xf numFmtId="10" fontId="39" fillId="10" borderId="34" xfId="2" applyNumberFormat="1" applyFont="1" applyFill="1" applyBorder="1" applyAlignment="1" applyProtection="1">
      <alignment horizontal="center" vertical="center"/>
    </xf>
    <xf numFmtId="3" fontId="23" fillId="10" borderId="0" xfId="3" applyNumberFormat="1" applyFont="1" applyFill="1" applyAlignment="1">
      <alignment horizontal="center" vertical="center"/>
    </xf>
    <xf numFmtId="0" fontId="113" fillId="10" borderId="0" xfId="14" applyFont="1" applyFill="1" applyAlignment="1">
      <alignment horizontal="left"/>
    </xf>
    <xf numFmtId="0" fontId="75" fillId="10" borderId="132" xfId="14" applyFont="1" applyFill="1" applyBorder="1" applyAlignment="1">
      <alignment horizontal="left" indent="1"/>
    </xf>
    <xf numFmtId="0" fontId="143" fillId="10" borderId="132" xfId="14" applyFont="1" applyFill="1" applyBorder="1" applyAlignment="1">
      <alignment horizontal="left" vertical="center"/>
    </xf>
    <xf numFmtId="0" fontId="143" fillId="10" borderId="132" xfId="14" applyFont="1" applyFill="1" applyBorder="1" applyAlignment="1">
      <alignment horizontal="center" vertical="center"/>
    </xf>
    <xf numFmtId="174" fontId="75" fillId="12" borderId="63" xfId="0" applyNumberFormat="1" applyFont="1" applyFill="1" applyBorder="1" applyAlignment="1" applyProtection="1">
      <alignment vertical="distributed"/>
      <protection locked="0"/>
    </xf>
    <xf numFmtId="174" fontId="75" fillId="12" borderId="52" xfId="0" applyNumberFormat="1" applyFont="1" applyFill="1" applyBorder="1" applyAlignment="1" applyProtection="1">
      <alignment vertical="distributed"/>
      <protection locked="0"/>
    </xf>
    <xf numFmtId="174" fontId="75" fillId="12" borderId="5" xfId="0" applyNumberFormat="1" applyFont="1" applyFill="1" applyBorder="1" applyAlignment="1" applyProtection="1">
      <alignment vertical="distributed"/>
      <protection locked="0"/>
    </xf>
    <xf numFmtId="174" fontId="75" fillId="12" borderId="6" xfId="0" applyNumberFormat="1" applyFont="1" applyFill="1" applyBorder="1" applyAlignment="1" applyProtection="1">
      <alignment vertical="distributed"/>
      <protection locked="0"/>
    </xf>
    <xf numFmtId="4" fontId="75" fillId="12" borderId="63" xfId="1" applyFont="1" applyFill="1" applyBorder="1" applyAlignment="1" applyProtection="1">
      <alignment vertical="distributed"/>
      <protection locked="0"/>
    </xf>
    <xf numFmtId="4" fontId="75" fillId="12" borderId="52" xfId="1" applyFont="1" applyFill="1" applyBorder="1" applyAlignment="1" applyProtection="1">
      <alignment vertical="distributed"/>
      <protection locked="0"/>
    </xf>
    <xf numFmtId="4" fontId="24" fillId="4" borderId="10" xfId="1" applyFont="1" applyFill="1" applyBorder="1" applyAlignment="1" applyProtection="1">
      <alignment horizontal="right" vertical="distributed"/>
      <protection locked="0"/>
    </xf>
    <xf numFmtId="4" fontId="24" fillId="4" borderId="9" xfId="1" applyFont="1" applyFill="1" applyBorder="1" applyAlignment="1" applyProtection="1">
      <alignment horizontal="right" vertical="distributed"/>
      <protection locked="0"/>
    </xf>
    <xf numFmtId="4" fontId="24" fillId="4" borderId="42" xfId="1" applyFont="1" applyFill="1" applyBorder="1" applyAlignment="1" applyProtection="1">
      <alignment horizontal="right" vertical="distributed"/>
      <protection locked="0"/>
    </xf>
    <xf numFmtId="4" fontId="24" fillId="4" borderId="32" xfId="1" applyFont="1" applyFill="1" applyBorder="1" applyAlignment="1" applyProtection="1">
      <alignment horizontal="right" vertical="distributed"/>
      <protection locked="0"/>
    </xf>
    <xf numFmtId="174" fontId="24" fillId="10" borderId="190" xfId="1" applyNumberFormat="1" applyFont="1" applyFill="1" applyBorder="1" applyAlignment="1" applyProtection="1">
      <alignment vertical="distributed"/>
    </xf>
    <xf numFmtId="174" fontId="24" fillId="10" borderId="191" xfId="1" applyNumberFormat="1" applyFont="1" applyFill="1" applyBorder="1" applyAlignment="1" applyProtection="1">
      <alignment vertical="distributed"/>
    </xf>
    <xf numFmtId="4" fontId="24" fillId="10" borderId="169" xfId="1" applyFont="1" applyFill="1" applyBorder="1" applyAlignment="1" applyProtection="1">
      <alignment vertical="distributed"/>
    </xf>
    <xf numFmtId="4" fontId="24" fillId="10" borderId="170" xfId="1" applyFont="1" applyFill="1" applyBorder="1" applyAlignment="1" applyProtection="1">
      <alignment vertical="distributed"/>
    </xf>
    <xf numFmtId="4" fontId="24" fillId="10" borderId="5" xfId="1" applyFont="1" applyFill="1" applyBorder="1" applyAlignment="1" applyProtection="1">
      <alignment vertical="distributed"/>
    </xf>
    <xf numFmtId="4" fontId="24" fillId="10" borderId="6" xfId="1" applyFont="1" applyFill="1" applyBorder="1" applyAlignment="1" applyProtection="1">
      <alignment vertical="distributed"/>
    </xf>
    <xf numFmtId="4" fontId="24" fillId="4" borderId="166" xfId="1" applyFont="1" applyFill="1" applyBorder="1" applyAlignment="1" applyProtection="1">
      <alignment vertical="center"/>
      <protection locked="0"/>
    </xf>
    <xf numFmtId="4" fontId="24" fillId="4" borderId="167" xfId="1" applyFont="1" applyFill="1" applyBorder="1" applyAlignment="1" applyProtection="1">
      <alignment vertical="center"/>
      <protection locked="0"/>
    </xf>
    <xf numFmtId="4" fontId="26" fillId="10" borderId="179" xfId="0" applyNumberFormat="1" applyFont="1" applyFill="1" applyBorder="1" applyAlignment="1">
      <alignment horizontal="center" vertical="center" wrapText="1"/>
    </xf>
    <xf numFmtId="4" fontId="26" fillId="10" borderId="180" xfId="0" applyNumberFormat="1" applyFont="1" applyFill="1" applyBorder="1" applyAlignment="1">
      <alignment horizontal="center" vertical="center" wrapText="1"/>
    </xf>
    <xf numFmtId="4" fontId="26" fillId="10" borderId="181" xfId="0" applyNumberFormat="1" applyFont="1" applyFill="1" applyBorder="1" applyAlignment="1">
      <alignment horizontal="center" vertical="center" wrapText="1"/>
    </xf>
    <xf numFmtId="4" fontId="84" fillId="10" borderId="179" xfId="0" applyNumberFormat="1" applyFont="1" applyFill="1" applyBorder="1" applyAlignment="1">
      <alignment horizontal="center" vertical="center"/>
    </xf>
    <xf numFmtId="4" fontId="84" fillId="10" borderId="180" xfId="0" applyNumberFormat="1" applyFont="1" applyFill="1" applyBorder="1" applyAlignment="1">
      <alignment horizontal="center" vertical="center"/>
    </xf>
    <xf numFmtId="4" fontId="84" fillId="10" borderId="181" xfId="0" applyNumberFormat="1" applyFont="1" applyFill="1" applyBorder="1" applyAlignment="1">
      <alignment horizontal="center" vertical="center"/>
    </xf>
    <xf numFmtId="4" fontId="24" fillId="10" borderId="186" xfId="1" applyFont="1" applyFill="1" applyBorder="1" applyAlignment="1" applyProtection="1">
      <alignment horizontal="right" vertical="distributed"/>
    </xf>
    <xf numFmtId="4" fontId="24" fillId="10" borderId="187" xfId="1" applyFont="1" applyFill="1" applyBorder="1" applyAlignment="1" applyProtection="1">
      <alignment horizontal="right" vertical="distributed"/>
    </xf>
    <xf numFmtId="174" fontId="109" fillId="0" borderId="144" xfId="0" applyNumberFormat="1" applyFont="1" applyBorder="1" applyAlignment="1" applyProtection="1">
      <alignment vertical="distributed"/>
      <protection locked="0"/>
    </xf>
    <xf numFmtId="174" fontId="109" fillId="0" borderId="145" xfId="0" applyNumberFormat="1" applyFont="1" applyBorder="1" applyAlignment="1" applyProtection="1">
      <alignment vertical="distributed"/>
      <protection locked="0"/>
    </xf>
    <xf numFmtId="174" fontId="24" fillId="10" borderId="5" xfId="0" applyNumberFormat="1" applyFont="1" applyFill="1" applyBorder="1" applyAlignment="1">
      <alignment vertical="distributed"/>
    </xf>
    <xf numFmtId="174" fontId="24" fillId="10" borderId="6" xfId="0" applyNumberFormat="1" applyFont="1" applyFill="1" applyBorder="1" applyAlignment="1">
      <alignment vertical="distributed"/>
    </xf>
    <xf numFmtId="4" fontId="24" fillId="10" borderId="5" xfId="0" applyNumberFormat="1" applyFont="1" applyFill="1" applyBorder="1" applyAlignment="1">
      <alignment horizontal="right" vertical="distributed"/>
    </xf>
    <xf numFmtId="4" fontId="24" fillId="10" borderId="6" xfId="0" applyNumberFormat="1" applyFont="1" applyFill="1" applyBorder="1" applyAlignment="1">
      <alignment horizontal="right" vertical="distributed"/>
    </xf>
    <xf numFmtId="4" fontId="26" fillId="10" borderId="102" xfId="0" applyNumberFormat="1" applyFont="1" applyFill="1" applyBorder="1" applyAlignment="1">
      <alignment horizontal="center" vertical="center"/>
    </xf>
    <xf numFmtId="4" fontId="26" fillId="10" borderId="103" xfId="0" applyNumberFormat="1" applyFont="1" applyFill="1" applyBorder="1" applyAlignment="1">
      <alignment horizontal="center" vertical="center"/>
    </xf>
    <xf numFmtId="4" fontId="26" fillId="10" borderId="104" xfId="0" applyNumberFormat="1" applyFont="1" applyFill="1" applyBorder="1" applyAlignment="1">
      <alignment horizontal="center" vertical="center"/>
    </xf>
    <xf numFmtId="174" fontId="60" fillId="10" borderId="88" xfId="0" applyNumberFormat="1" applyFont="1" applyFill="1" applyBorder="1" applyAlignment="1">
      <alignment horizontal="center" vertical="center"/>
    </xf>
    <xf numFmtId="4" fontId="109" fillId="0" borderId="144" xfId="1" applyFont="1" applyBorder="1" applyAlignment="1" applyProtection="1">
      <alignment vertical="distributed"/>
      <protection locked="0"/>
    </xf>
    <xf numFmtId="4" fontId="109" fillId="0" borderId="145" xfId="1" applyFont="1" applyBorder="1" applyAlignment="1" applyProtection="1">
      <alignment vertical="distributed"/>
      <protection locked="0"/>
    </xf>
    <xf numFmtId="174" fontId="84" fillId="10" borderId="0" xfId="0" applyNumberFormat="1" applyFont="1" applyFill="1" applyAlignment="1" applyProtection="1">
      <alignment horizontal="center" vertical="center"/>
      <protection locked="0"/>
    </xf>
    <xf numFmtId="174" fontId="84" fillId="10" borderId="155" xfId="0" applyNumberFormat="1" applyFont="1" applyFill="1" applyBorder="1" applyAlignment="1">
      <alignment horizontal="center" vertical="center"/>
    </xf>
    <xf numFmtId="174" fontId="84" fillId="10" borderId="156" xfId="0" applyNumberFormat="1" applyFont="1" applyFill="1" applyBorder="1" applyAlignment="1">
      <alignment horizontal="center" vertical="center"/>
    </xf>
    <xf numFmtId="0" fontId="24" fillId="10" borderId="5" xfId="0" applyFont="1" applyFill="1" applyBorder="1" applyAlignment="1">
      <alignment horizontal="left" vertical="distributed"/>
    </xf>
    <xf numFmtId="0" fontId="24" fillId="10" borderId="6" xfId="0" applyFont="1" applyFill="1" applyBorder="1" applyAlignment="1">
      <alignment horizontal="left" vertical="distributed"/>
    </xf>
    <xf numFmtId="0" fontId="24" fillId="10" borderId="5" xfId="0" applyFont="1" applyFill="1" applyBorder="1" applyAlignment="1">
      <alignment horizontal="left" vertical="distributed" wrapText="1"/>
    </xf>
    <xf numFmtId="0" fontId="24" fillId="10" borderId="6" xfId="0" applyFont="1" applyFill="1" applyBorder="1" applyAlignment="1">
      <alignment horizontal="left" vertical="distributed" wrapText="1"/>
    </xf>
    <xf numFmtId="49" fontId="75" fillId="10" borderId="132" xfId="0" applyNumberFormat="1" applyFont="1" applyFill="1" applyBorder="1" applyAlignment="1">
      <alignment horizontal="center" vertical="center"/>
    </xf>
    <xf numFmtId="0" fontId="124" fillId="10" borderId="0" xfId="0" applyFont="1" applyFill="1" applyAlignment="1">
      <alignment horizontal="center" vertical="center"/>
    </xf>
    <xf numFmtId="0" fontId="125" fillId="10" borderId="0" xfId="0" applyFont="1" applyFill="1" applyAlignment="1">
      <alignment horizontal="center" vertical="center"/>
    </xf>
    <xf numFmtId="0" fontId="7" fillId="10" borderId="0" xfId="0" applyFont="1" applyFill="1" applyAlignment="1" applyProtection="1">
      <alignment vertical="center"/>
      <protection locked="0"/>
    </xf>
    <xf numFmtId="0" fontId="7" fillId="10" borderId="95" xfId="0" applyFont="1" applyFill="1" applyBorder="1" applyAlignment="1" applyProtection="1">
      <alignment vertical="center"/>
      <protection locked="0"/>
    </xf>
    <xf numFmtId="4" fontId="80" fillId="10" borderId="135" xfId="0" applyNumberFormat="1" applyFont="1" applyFill="1" applyBorder="1" applyAlignment="1">
      <alignment horizontal="center" vertical="center"/>
    </xf>
    <xf numFmtId="4" fontId="80" fillId="10" borderId="136" xfId="0" applyNumberFormat="1" applyFont="1" applyFill="1" applyBorder="1" applyAlignment="1">
      <alignment horizontal="center" vertical="center"/>
    </xf>
    <xf numFmtId="0" fontId="80" fillId="10" borderId="135" xfId="0" applyFont="1" applyFill="1" applyBorder="1" applyAlignment="1">
      <alignment horizontal="center" vertical="center"/>
    </xf>
    <xf numFmtId="0" fontId="80" fillId="10" borderId="136" xfId="0" applyFont="1" applyFill="1" applyBorder="1" applyAlignment="1">
      <alignment horizontal="center" vertical="center"/>
    </xf>
    <xf numFmtId="0" fontId="80" fillId="10" borderId="138" xfId="0" applyFont="1" applyFill="1" applyBorder="1" applyAlignment="1">
      <alignment horizontal="center" vertical="center"/>
    </xf>
    <xf numFmtId="0" fontId="80" fillId="10" borderId="139" xfId="0" applyFont="1" applyFill="1" applyBorder="1" applyAlignment="1">
      <alignment horizontal="center" vertical="center"/>
    </xf>
    <xf numFmtId="3" fontId="24" fillId="10" borderId="0" xfId="0" applyNumberFormat="1" applyFont="1" applyFill="1" applyAlignment="1">
      <alignment horizontal="center" vertical="center" wrapText="1"/>
    </xf>
    <xf numFmtId="0" fontId="24" fillId="10" borderId="0" xfId="0" applyFont="1" applyFill="1" applyAlignment="1">
      <alignment horizontal="center" vertical="center" wrapText="1"/>
    </xf>
    <xf numFmtId="3" fontId="24" fillId="10" borderId="82" xfId="1" applyNumberFormat="1" applyFont="1" applyFill="1" applyBorder="1" applyAlignment="1" applyProtection="1">
      <alignment horizontal="center" vertical="center" wrapText="1"/>
    </xf>
    <xf numFmtId="0" fontId="0" fillId="0" borderId="84" xfId="0" applyBorder="1" applyAlignment="1">
      <alignment horizontal="center" vertical="center" wrapText="1"/>
    </xf>
    <xf numFmtId="0" fontId="28" fillId="10" borderId="39" xfId="0" applyFont="1" applyFill="1" applyBorder="1" applyAlignment="1">
      <alignment horizontal="center" vertical="center" wrapText="1"/>
    </xf>
    <xf numFmtId="0" fontId="28" fillId="10" borderId="8" xfId="0" applyFont="1" applyFill="1" applyBorder="1" applyAlignment="1">
      <alignment horizontal="center" vertical="center" wrapText="1"/>
    </xf>
    <xf numFmtId="0" fontId="28" fillId="10" borderId="24" xfId="0" applyFont="1" applyFill="1" applyBorder="1" applyAlignment="1">
      <alignment horizontal="center" vertical="center" wrapText="1"/>
    </xf>
    <xf numFmtId="0" fontId="27" fillId="10" borderId="39" xfId="0" applyFont="1" applyFill="1" applyBorder="1" applyAlignment="1">
      <alignment horizontal="center" vertical="center" wrapText="1"/>
    </xf>
    <xf numFmtId="0" fontId="27" fillId="10" borderId="8" xfId="0" applyFont="1" applyFill="1" applyBorder="1" applyAlignment="1">
      <alignment horizontal="center" vertical="center" wrapText="1"/>
    </xf>
    <xf numFmtId="0" fontId="27" fillId="10" borderId="24" xfId="0" applyFont="1" applyFill="1" applyBorder="1" applyAlignment="1">
      <alignment horizontal="center" vertical="center" wrapText="1"/>
    </xf>
    <xf numFmtId="0" fontId="51" fillId="10" borderId="39" xfId="0" applyFont="1" applyFill="1" applyBorder="1" applyAlignment="1">
      <alignment horizontal="center" vertical="center" wrapText="1"/>
    </xf>
    <xf numFmtId="0" fontId="51" fillId="10" borderId="8" xfId="0" applyFont="1" applyFill="1" applyBorder="1" applyAlignment="1">
      <alignment horizontal="center" vertical="center" wrapText="1"/>
    </xf>
    <xf numFmtId="0" fontId="51" fillId="10" borderId="24" xfId="0" applyFont="1" applyFill="1" applyBorder="1" applyAlignment="1">
      <alignment horizontal="center" vertical="center" wrapText="1"/>
    </xf>
    <xf numFmtId="0" fontId="40" fillId="10" borderId="26" xfId="0" applyFont="1" applyFill="1" applyBorder="1" applyAlignment="1">
      <alignment horizontal="center"/>
    </xf>
    <xf numFmtId="0" fontId="40" fillId="10" borderId="75" xfId="0" applyFont="1" applyFill="1" applyBorder="1" applyAlignment="1">
      <alignment horizontal="center"/>
    </xf>
    <xf numFmtId="0" fontId="40" fillId="10" borderId="27" xfId="0" applyFont="1" applyFill="1" applyBorder="1" applyAlignment="1">
      <alignment horizontal="center"/>
    </xf>
    <xf numFmtId="0" fontId="27" fillId="10" borderId="76" xfId="0" applyFont="1" applyFill="1" applyBorder="1" applyAlignment="1">
      <alignment horizontal="center" vertical="center"/>
    </xf>
    <xf numFmtId="0" fontId="0" fillId="10" borderId="77" xfId="0" applyFill="1" applyBorder="1"/>
    <xf numFmtId="0" fontId="0" fillId="10" borderId="78" xfId="0" applyFill="1" applyBorder="1"/>
    <xf numFmtId="0" fontId="28" fillId="10" borderId="99" xfId="0" applyFont="1" applyFill="1" applyBorder="1" applyAlignment="1">
      <alignment horizontal="center" vertical="center" wrapText="1"/>
    </xf>
    <xf numFmtId="0" fontId="28" fillId="10" borderId="100" xfId="0" applyFont="1" applyFill="1" applyBorder="1" applyAlignment="1">
      <alignment horizontal="center" vertical="center" wrapText="1"/>
    </xf>
    <xf numFmtId="0" fontId="28" fillId="10" borderId="101" xfId="0" applyFont="1" applyFill="1" applyBorder="1" applyAlignment="1">
      <alignment horizontal="center" vertical="center" wrapText="1"/>
    </xf>
    <xf numFmtId="0" fontId="23" fillId="10" borderId="0" xfId="0" applyFont="1" applyFill="1" applyAlignment="1">
      <alignment horizontal="center" vertical="center"/>
    </xf>
    <xf numFmtId="0" fontId="24" fillId="10" borderId="10" xfId="0" applyFont="1" applyFill="1" applyBorder="1" applyAlignment="1">
      <alignment horizontal="center" vertical="center" wrapText="1"/>
    </xf>
    <xf numFmtId="0" fontId="24" fillId="10" borderId="9" xfId="0" applyFont="1" applyFill="1" applyBorder="1" applyAlignment="1">
      <alignment horizontal="center" vertical="center" wrapText="1"/>
    </xf>
    <xf numFmtId="168" fontId="84" fillId="10" borderId="0" xfId="0" applyNumberFormat="1" applyFont="1" applyFill="1" applyAlignment="1" applyProtection="1">
      <alignment horizontal="center" vertical="center"/>
      <protection locked="0"/>
    </xf>
    <xf numFmtId="0" fontId="84" fillId="10" borderId="6" xfId="0" applyFont="1" applyFill="1" applyBorder="1" applyAlignment="1">
      <alignment horizontal="center" vertical="center"/>
    </xf>
    <xf numFmtId="0" fontId="24" fillId="10" borderId="10" xfId="0" applyFont="1" applyFill="1" applyBorder="1" applyAlignment="1">
      <alignment horizontal="center" vertical="center"/>
    </xf>
    <xf numFmtId="0" fontId="0" fillId="10" borderId="9" xfId="0" applyFill="1" applyBorder="1" applyAlignment="1">
      <alignment horizontal="center" vertical="center"/>
    </xf>
    <xf numFmtId="0" fontId="51" fillId="8" borderId="21" xfId="0" applyFont="1" applyFill="1" applyBorder="1" applyAlignment="1">
      <alignment horizontal="center" vertical="center" textRotation="90"/>
    </xf>
    <xf numFmtId="0" fontId="51" fillId="8" borderId="22" xfId="0" applyFont="1" applyFill="1" applyBorder="1" applyAlignment="1">
      <alignment horizontal="center" vertical="center" textRotation="90"/>
    </xf>
    <xf numFmtId="0" fontId="51" fillId="8" borderId="15" xfId="0" applyFont="1" applyFill="1" applyBorder="1" applyAlignment="1">
      <alignment horizontal="center" vertical="center" textRotation="90"/>
    </xf>
    <xf numFmtId="0" fontId="23" fillId="10" borderId="10" xfId="0" applyFont="1" applyFill="1" applyBorder="1" applyAlignment="1">
      <alignment horizontal="center" vertical="center" wrapText="1"/>
    </xf>
    <xf numFmtId="0" fontId="23" fillId="10" borderId="9" xfId="0" applyFont="1" applyFill="1" applyBorder="1" applyAlignment="1">
      <alignment horizontal="center" vertical="center" wrapText="1"/>
    </xf>
    <xf numFmtId="0" fontId="27" fillId="10" borderId="32" xfId="0" applyFont="1" applyFill="1" applyBorder="1" applyAlignment="1">
      <alignment horizontal="center" vertical="center"/>
    </xf>
    <xf numFmtId="0" fontId="0" fillId="10" borderId="12" xfId="0" applyFill="1" applyBorder="1"/>
    <xf numFmtId="174" fontId="108" fillId="0" borderId="8" xfId="0" applyNumberFormat="1" applyFont="1" applyBorder="1" applyAlignment="1" applyProtection="1">
      <alignment horizontal="center" vertical="center"/>
      <protection locked="0"/>
    </xf>
    <xf numFmtId="0" fontId="51" fillId="10" borderId="10" xfId="0" applyFont="1" applyFill="1" applyBorder="1" applyAlignment="1">
      <alignment horizontal="center" wrapText="1"/>
    </xf>
    <xf numFmtId="0" fontId="51" fillId="10" borderId="9" xfId="0" applyFont="1" applyFill="1" applyBorder="1" applyAlignment="1">
      <alignment horizontal="center" wrapText="1"/>
    </xf>
    <xf numFmtId="0" fontId="27" fillId="10" borderId="10" xfId="0" applyFont="1" applyFill="1" applyBorder="1" applyAlignment="1">
      <alignment horizontal="center" vertical="top" wrapText="1"/>
    </xf>
    <xf numFmtId="0" fontId="27" fillId="10" borderId="8" xfId="0" applyFont="1" applyFill="1" applyBorder="1" applyAlignment="1">
      <alignment horizontal="center" vertical="top" wrapText="1"/>
    </xf>
    <xf numFmtId="0" fontId="28" fillId="10" borderId="26" xfId="0" applyFont="1" applyFill="1" applyBorder="1" applyAlignment="1">
      <alignment horizontal="center" vertical="center"/>
    </xf>
    <xf numFmtId="0" fontId="28" fillId="10" borderId="75" xfId="0" applyFont="1" applyFill="1" applyBorder="1" applyAlignment="1">
      <alignment horizontal="center" vertical="center"/>
    </xf>
    <xf numFmtId="0" fontId="28" fillId="10" borderId="27" xfId="0" applyFont="1" applyFill="1" applyBorder="1" applyAlignment="1">
      <alignment horizontal="center" vertical="center"/>
    </xf>
    <xf numFmtId="4" fontId="28" fillId="10" borderId="26" xfId="0" applyNumberFormat="1" applyFont="1" applyFill="1" applyBorder="1" applyAlignment="1">
      <alignment horizontal="center" vertical="center"/>
    </xf>
    <xf numFmtId="4" fontId="28" fillId="10" borderId="75" xfId="0" applyNumberFormat="1" applyFont="1" applyFill="1" applyBorder="1" applyAlignment="1">
      <alignment horizontal="center" vertical="center"/>
    </xf>
    <xf numFmtId="4" fontId="28" fillId="10" borderId="27" xfId="0" applyNumberFormat="1" applyFont="1" applyFill="1" applyBorder="1" applyAlignment="1">
      <alignment horizontal="center" vertical="center"/>
    </xf>
  </cellXfs>
  <cellStyles count="17">
    <cellStyle name="Dezimal 2" xfId="8" xr:uid="{00000000-0005-0000-0000-000000000000}"/>
    <cellStyle name="Komma" xfId="1" builtinId="3"/>
    <cellStyle name="Komma 2" xfId="15" xr:uid="{70DB56D9-5295-494F-9E6F-D96F491B2E18}"/>
    <cellStyle name="Link" xfId="13" builtinId="8"/>
    <cellStyle name="Prozent" xfId="2" builtinId="5"/>
    <cellStyle name="Prozent 2" xfId="10" xr:uid="{00000000-0005-0000-0000-000003000000}"/>
    <cellStyle name="Prozent 3" xfId="16" xr:uid="{6E08EE8A-90C6-4711-A69C-43CE69175D00}"/>
    <cellStyle name="Standard" xfId="0" builtinId="0"/>
    <cellStyle name="Standard 2" xfId="9" xr:uid="{00000000-0005-0000-0000-000005000000}"/>
    <cellStyle name="Standard 3" xfId="11" xr:uid="{00000000-0005-0000-0000-000006000000}"/>
    <cellStyle name="Standard 4" xfId="12" xr:uid="{00000000-0005-0000-0000-000007000000}"/>
    <cellStyle name="Standard 5" xfId="14" xr:uid="{E969A375-E3A9-48CC-8CD1-B339A12B5DFF}"/>
    <cellStyle name="Standard_Finanzierungsplan" xfId="3" xr:uid="{00000000-0005-0000-0000-000008000000}"/>
    <cellStyle name="Standard_Kalkulation OeFI 2001 Jaenner" xfId="4" xr:uid="{00000000-0005-0000-0000-000009000000}"/>
    <cellStyle name="Standard_Zu 10 (Reise-, Transportkosten)" xfId="5" xr:uid="{00000000-0005-0000-0000-00000A000000}"/>
    <cellStyle name="Standard_Zu 3-54 (DA Sozialversicherung)" xfId="6" xr:uid="{00000000-0005-0000-0000-00000B000000}"/>
    <cellStyle name="Standard_Zu 8 (Bild- und Tonmaterial)" xfId="7" xr:uid="{00000000-0005-0000-0000-00000C000000}"/>
  </cellStyles>
  <dxfs count="480">
    <dxf>
      <font>
        <color rgb="FF9C0006"/>
      </font>
      <fill>
        <patternFill>
          <bgColor rgb="FFFFC7CE"/>
        </patternFill>
      </fill>
    </dxf>
    <dxf>
      <font>
        <color rgb="FF9C0006"/>
      </font>
      <fill>
        <patternFill>
          <bgColor rgb="FFFFC7CE"/>
        </patternFill>
      </fill>
    </dxf>
    <dxf>
      <fill>
        <patternFill>
          <bgColor rgb="FFFFC7CE"/>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border>
        <left style="thin">
          <color rgb="FF9C0006"/>
        </left>
        <right style="thin">
          <color rgb="FF9C0006"/>
        </right>
        <top style="thin">
          <color rgb="FF9C0006"/>
        </top>
        <bottom style="thin">
          <color rgb="FF9C0006"/>
        </bottom>
      </border>
    </dxf>
    <dxf>
      <font>
        <b/>
        <i val="0"/>
        <color theme="0"/>
      </font>
      <fill>
        <patternFill>
          <bgColor rgb="FFFF0000"/>
        </patternFill>
      </fill>
      <border>
        <left style="thin">
          <color rgb="FF9C0006"/>
        </left>
        <right style="thin">
          <color rgb="FF9C0006"/>
        </right>
        <top style="thin">
          <color rgb="FF9C0006"/>
        </top>
        <bottom style="thin">
          <color rgb="FF9C0006"/>
        </bottom>
      </border>
    </dxf>
    <dxf>
      <font>
        <b/>
        <i val="0"/>
        <color theme="0"/>
      </font>
      <fill>
        <patternFill>
          <bgColor rgb="FFFF0000"/>
        </patternFill>
      </fill>
      <border>
        <left style="thin">
          <color rgb="FF9C0006"/>
        </left>
        <right style="thin">
          <color rgb="FF9C0006"/>
        </right>
        <top style="thin">
          <color rgb="FF9C0006"/>
        </top>
        <bottom style="thin">
          <color rgb="FF9C0006"/>
        </bottom>
      </border>
    </dxf>
    <dxf>
      <font>
        <b/>
        <i val="0"/>
        <color theme="0"/>
      </font>
      <fill>
        <patternFill>
          <bgColor rgb="FFFF0000"/>
        </patternFill>
      </fill>
      <border>
        <left style="thin">
          <color rgb="FF9C0006"/>
        </left>
        <right style="thin">
          <color rgb="FF9C0006"/>
        </right>
        <top style="thin">
          <color rgb="FF9C0006"/>
        </top>
        <bottom style="thin">
          <color rgb="FF9C0006"/>
        </bottom>
      </border>
    </dxf>
    <dxf>
      <font>
        <b/>
        <i val="0"/>
        <color theme="0"/>
      </font>
      <fill>
        <patternFill>
          <bgColor rgb="FFFF0000"/>
        </patternFill>
      </fill>
      <border>
        <left style="thin">
          <color rgb="FF9C0006"/>
        </left>
        <right style="thin">
          <color rgb="FF9C0006"/>
        </right>
        <top style="thin">
          <color rgb="FF9C0006"/>
        </top>
        <bottom style="thin">
          <color rgb="FF9C0006"/>
        </bottom>
      </border>
    </dxf>
    <dxf>
      <font>
        <b/>
        <i val="0"/>
        <color theme="0"/>
      </font>
      <fill>
        <patternFill>
          <bgColor rgb="FFFF0000"/>
        </patternFill>
      </fill>
      <border>
        <left style="thin">
          <color rgb="FF9C0006"/>
        </left>
        <right style="thin">
          <color rgb="FF9C0006"/>
        </right>
        <top style="thin">
          <color rgb="FF9C0006"/>
        </top>
        <bottom style="thin">
          <color rgb="FF9C0006"/>
        </bottom>
      </border>
    </dxf>
    <dxf>
      <font>
        <b/>
        <i val="0"/>
        <color theme="0"/>
      </font>
      <fill>
        <patternFill>
          <bgColor rgb="FFFF0000"/>
        </patternFill>
      </fill>
      <border>
        <left style="thin">
          <color rgb="FF9C0006"/>
        </left>
        <right style="thin">
          <color rgb="FF9C0006"/>
        </right>
        <top style="thin">
          <color rgb="FF9C0006"/>
        </top>
        <bottom style="thin">
          <color rgb="FF9C0006"/>
        </bottom>
      </border>
    </dxf>
    <dxf>
      <font>
        <b/>
        <i val="0"/>
        <color theme="0"/>
      </font>
      <fill>
        <patternFill>
          <bgColor rgb="FFFF0000"/>
        </patternFill>
      </fill>
      <border>
        <left style="thin">
          <color rgb="FF9C0006"/>
        </left>
        <right style="thin">
          <color rgb="FF9C0006"/>
        </right>
        <top style="thin">
          <color rgb="FF9C0006"/>
        </top>
        <bottom style="thin">
          <color rgb="FF9C0006"/>
        </bottom>
      </border>
    </dxf>
    <dxf>
      <font>
        <b/>
        <i val="0"/>
        <color theme="0"/>
      </font>
      <fill>
        <patternFill>
          <bgColor rgb="FFFF0000"/>
        </patternFill>
      </fill>
      <border>
        <left style="thin">
          <color rgb="FF9C0006"/>
        </left>
        <right style="thin">
          <color rgb="FF9C0006"/>
        </right>
        <top style="thin">
          <color rgb="FF9C0006"/>
        </top>
        <bottom style="thin">
          <color rgb="FF9C0006"/>
        </bottom>
      </border>
    </dxf>
    <dxf>
      <font>
        <b/>
        <i val="0"/>
        <color theme="0"/>
      </font>
      <fill>
        <patternFill>
          <bgColor rgb="FFFF0000"/>
        </patternFill>
      </fill>
    </dxf>
    <dxf>
      <font>
        <b/>
        <i val="0"/>
        <color theme="0"/>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C00000"/>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ont>
        <b/>
        <i val="0"/>
        <color theme="0"/>
      </font>
      <fill>
        <patternFill>
          <fgColor theme="0" tint="-0.24994659260841701"/>
          <bgColor theme="0" tint="-0.34998626667073579"/>
        </patternFill>
      </fill>
      <border>
        <left style="thin">
          <color theme="0"/>
        </left>
        <right style="thin">
          <color theme="0"/>
        </right>
        <top style="thin">
          <color theme="0"/>
        </top>
        <bottom style="thin">
          <color theme="0"/>
        </bottom>
      </border>
    </dxf>
    <dxf>
      <font>
        <b/>
        <i val="0"/>
        <color rgb="FF669AD8"/>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4F81BD"/>
      <color rgb="FF669AD8"/>
      <color rgb="FF6AAABE"/>
      <color rgb="FF59CFCC"/>
      <color rgb="FF61ACC7"/>
      <color rgb="FF617CC7"/>
      <color rgb="FF5FC9C9"/>
      <color rgb="FFFFC7CE"/>
      <color rgb="FF5DA6CB"/>
      <color rgb="FF72B6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CheckBox" fmlaLink="Stammblatt!$I$14" lockText="1"/>
</file>

<file path=xl/ctrlProps/ctrlProp10.xml><?xml version="1.0" encoding="utf-8"?>
<formControlPr xmlns="http://schemas.microsoft.com/office/spreadsheetml/2009/9/main" objectType="CheckBox" fmlaLink="$I$30" lockText="1"/>
</file>

<file path=xl/ctrlProps/ctrlProp100.xml><?xml version="1.0" encoding="utf-8"?>
<formControlPr xmlns="http://schemas.microsoft.com/office/spreadsheetml/2009/9/main" objectType="Drop" dropStyle="combo" dx="22" fmlaLink="$H$16" fmlaRange="$L$12:$L$30" noThreeD="1" sel="1" val="0"/>
</file>

<file path=xl/ctrlProps/ctrlProp101.xml><?xml version="1.0" encoding="utf-8"?>
<formControlPr xmlns="http://schemas.microsoft.com/office/spreadsheetml/2009/9/main" objectType="Drop" dropStyle="combo" dx="22" fmlaLink="$H$17" fmlaRange="$L$12:$L$30" noThreeD="1" sel="1" val="0"/>
</file>

<file path=xl/ctrlProps/ctrlProp102.xml><?xml version="1.0" encoding="utf-8"?>
<formControlPr xmlns="http://schemas.microsoft.com/office/spreadsheetml/2009/9/main" objectType="Drop" dropStyle="combo" dx="22" fmlaLink="$H$18" fmlaRange="$L$12:$L$30" noThreeD="1" sel="1" val="0"/>
</file>

<file path=xl/ctrlProps/ctrlProp103.xml><?xml version="1.0" encoding="utf-8"?>
<formControlPr xmlns="http://schemas.microsoft.com/office/spreadsheetml/2009/9/main" objectType="Drop" dropStyle="combo" dx="22" fmlaLink="$H$19" fmlaRange="$L$12:$L$30" noThreeD="1" sel="1" val="0"/>
</file>

<file path=xl/ctrlProps/ctrlProp104.xml><?xml version="1.0" encoding="utf-8"?>
<formControlPr xmlns="http://schemas.microsoft.com/office/spreadsheetml/2009/9/main" objectType="Drop" dropStyle="combo" dx="22" fmlaLink="$H$20" fmlaRange="$L$12:$L$30" noThreeD="1" sel="1" val="0"/>
</file>

<file path=xl/ctrlProps/ctrlProp105.xml><?xml version="1.0" encoding="utf-8"?>
<formControlPr xmlns="http://schemas.microsoft.com/office/spreadsheetml/2009/9/main" objectType="Drop" dropStyle="combo" dx="22" fmlaLink="$H$21" fmlaRange="$L$12:$L$30" noThreeD="1" sel="1" val="0"/>
</file>

<file path=xl/ctrlProps/ctrlProp106.xml><?xml version="1.0" encoding="utf-8"?>
<formControlPr xmlns="http://schemas.microsoft.com/office/spreadsheetml/2009/9/main" objectType="Drop" dropStyle="combo" dx="22" fmlaLink="$H$16" fmlaRange="$L$12:$L$63" noThreeD="1" sel="1" val="0"/>
</file>

<file path=xl/ctrlProps/ctrlProp107.xml><?xml version="1.0" encoding="utf-8"?>
<formControlPr xmlns="http://schemas.microsoft.com/office/spreadsheetml/2009/9/main" objectType="Drop" dropStyle="combo" dx="22" fmlaLink="$H$17" fmlaRange="$L$12:$L$63" noThreeD="1" sel="1" val="0"/>
</file>

<file path=xl/ctrlProps/ctrlProp108.xml><?xml version="1.0" encoding="utf-8"?>
<formControlPr xmlns="http://schemas.microsoft.com/office/spreadsheetml/2009/9/main" objectType="Drop" dropStyle="combo" dx="22" fmlaLink="$H$18" fmlaRange="$L$12:$L$63" noThreeD="1" sel="1" val="0"/>
</file>

<file path=xl/ctrlProps/ctrlProp109.xml><?xml version="1.0" encoding="utf-8"?>
<formControlPr xmlns="http://schemas.microsoft.com/office/spreadsheetml/2009/9/main" objectType="Drop" dropStyle="combo" dx="22" fmlaLink="$H$19" fmlaRange="$L$12:$L$63" noThreeD="1" sel="1" val="0"/>
</file>

<file path=xl/ctrlProps/ctrlProp11.xml><?xml version="1.0" encoding="utf-8"?>
<formControlPr xmlns="http://schemas.microsoft.com/office/spreadsheetml/2009/9/main" objectType="CheckBox" fmlaLink="$I$31" lockText="1"/>
</file>

<file path=xl/ctrlProps/ctrlProp110.xml><?xml version="1.0" encoding="utf-8"?>
<formControlPr xmlns="http://schemas.microsoft.com/office/spreadsheetml/2009/9/main" objectType="Drop" dropStyle="combo" dx="22" fmlaLink="$H$20" fmlaRange="$L$12:$L$63" noThreeD="1" sel="1" val="0"/>
</file>

<file path=xl/ctrlProps/ctrlProp111.xml><?xml version="1.0" encoding="utf-8"?>
<formControlPr xmlns="http://schemas.microsoft.com/office/spreadsheetml/2009/9/main" objectType="Drop" dropStyle="combo" dx="22" fmlaLink="$H$21" fmlaRange="$L$12:$L$63" noThreeD="1" sel="1" val="0"/>
</file>

<file path=xl/ctrlProps/ctrlProp112.xml><?xml version="1.0" encoding="utf-8"?>
<formControlPr xmlns="http://schemas.microsoft.com/office/spreadsheetml/2009/9/main" objectType="CheckBox" fmlaLink="$T$4" lockText="1" noThreeD="1"/>
</file>

<file path=xl/ctrlProps/ctrlProp113.xml><?xml version="1.0" encoding="utf-8"?>
<formControlPr xmlns="http://schemas.microsoft.com/office/spreadsheetml/2009/9/main" objectType="CheckBox" fmlaLink="$T$5" lockText="1" noThreeD="1"/>
</file>

<file path=xl/ctrlProps/ctrlProp114.xml><?xml version="1.0" encoding="utf-8"?>
<formControlPr xmlns="http://schemas.microsoft.com/office/spreadsheetml/2009/9/main" objectType="CheckBox" fmlaLink="$T$6" lockText="1" noThreeD="1"/>
</file>

<file path=xl/ctrlProps/ctrlProp115.xml><?xml version="1.0" encoding="utf-8"?>
<formControlPr xmlns="http://schemas.microsoft.com/office/spreadsheetml/2009/9/main" objectType="CheckBox" fmlaLink="$T$7" lockText="1" noThreeD="1"/>
</file>

<file path=xl/ctrlProps/ctrlProp116.xml><?xml version="1.0" encoding="utf-8"?>
<formControlPr xmlns="http://schemas.microsoft.com/office/spreadsheetml/2009/9/main" objectType="CheckBox" fmlaLink="$T$8" lockText="1" noThreeD="1"/>
</file>

<file path=xl/ctrlProps/ctrlProp117.xml><?xml version="1.0" encoding="utf-8"?>
<formControlPr xmlns="http://schemas.microsoft.com/office/spreadsheetml/2009/9/main" objectType="CheckBox" fmlaLink="$T$9" lockText="1" noThreeD="1"/>
</file>

<file path=xl/ctrlProps/ctrlProp118.xml><?xml version="1.0" encoding="utf-8"?>
<formControlPr xmlns="http://schemas.microsoft.com/office/spreadsheetml/2009/9/main" objectType="CheckBox" fmlaLink="$T$10" lockText="1" noThreeD="1"/>
</file>

<file path=xl/ctrlProps/ctrlProp119.xml><?xml version="1.0" encoding="utf-8"?>
<formControlPr xmlns="http://schemas.microsoft.com/office/spreadsheetml/2009/9/main" objectType="CheckBox" fmlaLink="$T11" lockText="1" noThreeD="1"/>
</file>

<file path=xl/ctrlProps/ctrlProp12.xml><?xml version="1.0" encoding="utf-8"?>
<formControlPr xmlns="http://schemas.microsoft.com/office/spreadsheetml/2009/9/main" objectType="CheckBox" fmlaLink="'Kalkulation Herstellungskosten'!$AV$35" lockText="1"/>
</file>

<file path=xl/ctrlProps/ctrlProp120.xml><?xml version="1.0" encoding="utf-8"?>
<formControlPr xmlns="http://schemas.microsoft.com/office/spreadsheetml/2009/9/main" objectType="CheckBox" fmlaLink="$T$12" lockText="1" noThreeD="1"/>
</file>

<file path=xl/ctrlProps/ctrlProp121.xml><?xml version="1.0" encoding="utf-8"?>
<formControlPr xmlns="http://schemas.microsoft.com/office/spreadsheetml/2009/9/main" objectType="CheckBox" fmlaLink="$T$13" lockText="1" noThreeD="1"/>
</file>

<file path=xl/ctrlProps/ctrlProp122.xml><?xml version="1.0" encoding="utf-8"?>
<formControlPr xmlns="http://schemas.microsoft.com/office/spreadsheetml/2009/9/main" objectType="CheckBox" fmlaLink="$T$14" lockText="1" noThreeD="1"/>
</file>

<file path=xl/ctrlProps/ctrlProp123.xml><?xml version="1.0" encoding="utf-8"?>
<formControlPr xmlns="http://schemas.microsoft.com/office/spreadsheetml/2009/9/main" objectType="CheckBox" fmlaLink="$T$15" lockText="1" noThreeD="1"/>
</file>

<file path=xl/ctrlProps/ctrlProp124.xml><?xml version="1.0" encoding="utf-8"?>
<formControlPr xmlns="http://schemas.microsoft.com/office/spreadsheetml/2009/9/main" objectType="CheckBox" fmlaLink="$T$16" lockText="1" noThreeD="1"/>
</file>

<file path=xl/ctrlProps/ctrlProp125.xml><?xml version="1.0" encoding="utf-8"?>
<formControlPr xmlns="http://schemas.microsoft.com/office/spreadsheetml/2009/9/main" objectType="CheckBox" fmlaLink="$T$17" lockText="1" noThreeD="1"/>
</file>

<file path=xl/ctrlProps/ctrlProp126.xml><?xml version="1.0" encoding="utf-8"?>
<formControlPr xmlns="http://schemas.microsoft.com/office/spreadsheetml/2009/9/main" objectType="CheckBox" fmlaLink="$T$18" lockText="1" noThreeD="1"/>
</file>

<file path=xl/ctrlProps/ctrlProp127.xml><?xml version="1.0" encoding="utf-8"?>
<formControlPr xmlns="http://schemas.microsoft.com/office/spreadsheetml/2009/9/main" objectType="CheckBox" fmlaLink="$T$19" lockText="1" noThreeD="1"/>
</file>

<file path=xl/ctrlProps/ctrlProp128.xml><?xml version="1.0" encoding="utf-8"?>
<formControlPr xmlns="http://schemas.microsoft.com/office/spreadsheetml/2009/9/main" objectType="CheckBox" fmlaLink="$T$20" lockText="1" noThreeD="1"/>
</file>

<file path=xl/ctrlProps/ctrlProp129.xml><?xml version="1.0" encoding="utf-8"?>
<formControlPr xmlns="http://schemas.microsoft.com/office/spreadsheetml/2009/9/main" objectType="CheckBox" fmlaLink="$T$21" lockText="1" noThreeD="1"/>
</file>

<file path=xl/ctrlProps/ctrlProp13.xml><?xml version="1.0" encoding="utf-8"?>
<formControlPr xmlns="http://schemas.microsoft.com/office/spreadsheetml/2009/9/main" objectType="CheckBox" fmlaLink="Stammblatt!$I$16" lockText="1"/>
</file>

<file path=xl/ctrlProps/ctrlProp130.xml><?xml version="1.0" encoding="utf-8"?>
<formControlPr xmlns="http://schemas.microsoft.com/office/spreadsheetml/2009/9/main" objectType="CheckBox" fmlaLink="$T$22" lockText="1" noThreeD="1"/>
</file>

<file path=xl/ctrlProps/ctrlProp131.xml><?xml version="1.0" encoding="utf-8"?>
<formControlPr xmlns="http://schemas.microsoft.com/office/spreadsheetml/2009/9/main" objectType="CheckBox" fmlaLink="$T23" lockText="1" noThreeD="1"/>
</file>

<file path=xl/ctrlProps/ctrlProp132.xml><?xml version="1.0" encoding="utf-8"?>
<formControlPr xmlns="http://schemas.microsoft.com/office/spreadsheetml/2009/9/main" objectType="CheckBox" fmlaLink="$T$24" lockText="1" noThreeD="1"/>
</file>

<file path=xl/ctrlProps/ctrlProp133.xml><?xml version="1.0" encoding="utf-8"?>
<formControlPr xmlns="http://schemas.microsoft.com/office/spreadsheetml/2009/9/main" objectType="CheckBox" fmlaLink="$T$25" lockText="1" noThreeD="1"/>
</file>

<file path=xl/ctrlProps/ctrlProp134.xml><?xml version="1.0" encoding="utf-8"?>
<formControlPr xmlns="http://schemas.microsoft.com/office/spreadsheetml/2009/9/main" objectType="CheckBox" fmlaLink="$T$26" lockText="1" noThreeD="1"/>
</file>

<file path=xl/ctrlProps/ctrlProp135.xml><?xml version="1.0" encoding="utf-8"?>
<formControlPr xmlns="http://schemas.microsoft.com/office/spreadsheetml/2009/9/main" objectType="CheckBox" fmlaLink="$T27" lockText="1" noThreeD="1"/>
</file>

<file path=xl/ctrlProps/ctrlProp136.xml><?xml version="1.0" encoding="utf-8"?>
<formControlPr xmlns="http://schemas.microsoft.com/office/spreadsheetml/2009/9/main" objectType="CheckBox" fmlaLink="$T$28" lockText="1" noThreeD="1"/>
</file>

<file path=xl/ctrlProps/ctrlProp137.xml><?xml version="1.0" encoding="utf-8"?>
<formControlPr xmlns="http://schemas.microsoft.com/office/spreadsheetml/2009/9/main" objectType="CheckBox" fmlaLink="$T$29" lockText="1" noThreeD="1"/>
</file>

<file path=xl/ctrlProps/ctrlProp138.xml><?xml version="1.0" encoding="utf-8"?>
<formControlPr xmlns="http://schemas.microsoft.com/office/spreadsheetml/2009/9/main" objectType="CheckBox" fmlaLink="$T$30" lockText="1" noThreeD="1"/>
</file>

<file path=xl/ctrlProps/ctrlProp139.xml><?xml version="1.0" encoding="utf-8"?>
<formControlPr xmlns="http://schemas.microsoft.com/office/spreadsheetml/2009/9/main" objectType="CheckBox" fmlaLink="$T$31" lockText="1" noThreeD="1"/>
</file>

<file path=xl/ctrlProps/ctrlProp14.xml><?xml version="1.0" encoding="utf-8"?>
<formControlPr xmlns="http://schemas.microsoft.com/office/spreadsheetml/2009/9/main" objectType="CheckBox" fmlaLink="'Kalkulation Herstellungskosten'!$AV$53" lockText="1"/>
</file>

<file path=xl/ctrlProps/ctrlProp140.xml><?xml version="1.0" encoding="utf-8"?>
<formControlPr xmlns="http://schemas.microsoft.com/office/spreadsheetml/2009/9/main" objectType="CheckBox" fmlaLink="$T$32" lockText="1" noThreeD="1"/>
</file>

<file path=xl/ctrlProps/ctrlProp141.xml><?xml version="1.0" encoding="utf-8"?>
<formControlPr xmlns="http://schemas.microsoft.com/office/spreadsheetml/2009/9/main" objectType="CheckBox" fmlaLink="$T$33" lockText="1" noThreeD="1"/>
</file>

<file path=xl/ctrlProps/ctrlProp142.xml><?xml version="1.0" encoding="utf-8"?>
<formControlPr xmlns="http://schemas.microsoft.com/office/spreadsheetml/2009/9/main" objectType="CheckBox" fmlaLink="$T$34" lockText="1" noThreeD="1"/>
</file>

<file path=xl/ctrlProps/ctrlProp143.xml><?xml version="1.0" encoding="utf-8"?>
<formControlPr xmlns="http://schemas.microsoft.com/office/spreadsheetml/2009/9/main" objectType="CheckBox" fmlaLink="$T$35" lockText="1" noThreeD="1"/>
</file>

<file path=xl/ctrlProps/ctrlProp144.xml><?xml version="1.0" encoding="utf-8"?>
<formControlPr xmlns="http://schemas.microsoft.com/office/spreadsheetml/2009/9/main" objectType="CheckBox" fmlaLink="$T$36" lockText="1" noThreeD="1"/>
</file>

<file path=xl/ctrlProps/ctrlProp145.xml><?xml version="1.0" encoding="utf-8"?>
<formControlPr xmlns="http://schemas.microsoft.com/office/spreadsheetml/2009/9/main" objectType="CheckBox" fmlaLink="$T$37" lockText="1" noThreeD="1"/>
</file>

<file path=xl/ctrlProps/ctrlProp146.xml><?xml version="1.0" encoding="utf-8"?>
<formControlPr xmlns="http://schemas.microsoft.com/office/spreadsheetml/2009/9/main" objectType="CheckBox" fmlaLink="$T$38" lockText="1" noThreeD="1"/>
</file>

<file path=xl/ctrlProps/ctrlProp147.xml><?xml version="1.0" encoding="utf-8"?>
<formControlPr xmlns="http://schemas.microsoft.com/office/spreadsheetml/2009/9/main" objectType="CheckBox" fmlaLink="$T$39" lockText="1" noThreeD="1"/>
</file>

<file path=xl/ctrlProps/ctrlProp148.xml><?xml version="1.0" encoding="utf-8"?>
<formControlPr xmlns="http://schemas.microsoft.com/office/spreadsheetml/2009/9/main" objectType="CheckBox" fmlaLink="$T$40" lockText="1" noThreeD="1"/>
</file>

<file path=xl/ctrlProps/ctrlProp149.xml><?xml version="1.0" encoding="utf-8"?>
<formControlPr xmlns="http://schemas.microsoft.com/office/spreadsheetml/2009/9/main" objectType="CheckBox" fmlaLink="$T$41" lockText="1" noThreeD="1"/>
</file>

<file path=xl/ctrlProps/ctrlProp15.xml><?xml version="1.0" encoding="utf-8"?>
<formControlPr xmlns="http://schemas.microsoft.com/office/spreadsheetml/2009/9/main" objectType="CheckBox" fmlaLink="#REF!" lockText="1"/>
</file>

<file path=xl/ctrlProps/ctrlProp150.xml><?xml version="1.0" encoding="utf-8"?>
<formControlPr xmlns="http://schemas.microsoft.com/office/spreadsheetml/2009/9/main" objectType="CheckBox" fmlaLink="$T$42" lockText="1" noThreeD="1"/>
</file>

<file path=xl/ctrlProps/ctrlProp151.xml><?xml version="1.0" encoding="utf-8"?>
<formControlPr xmlns="http://schemas.microsoft.com/office/spreadsheetml/2009/9/main" objectType="CheckBox" fmlaLink="$T$43" lockText="1" noThreeD="1"/>
</file>

<file path=xl/ctrlProps/ctrlProp152.xml><?xml version="1.0" encoding="utf-8"?>
<formControlPr xmlns="http://schemas.microsoft.com/office/spreadsheetml/2009/9/main" objectType="CheckBox" fmlaLink="$T$44" lockText="1" noThreeD="1"/>
</file>

<file path=xl/ctrlProps/ctrlProp153.xml><?xml version="1.0" encoding="utf-8"?>
<formControlPr xmlns="http://schemas.microsoft.com/office/spreadsheetml/2009/9/main" objectType="CheckBox" fmlaLink="$T$45" lockText="1" noThreeD="1"/>
</file>

<file path=xl/ctrlProps/ctrlProp154.xml><?xml version="1.0" encoding="utf-8"?>
<formControlPr xmlns="http://schemas.microsoft.com/office/spreadsheetml/2009/9/main" objectType="CheckBox" fmlaLink="$T$46" lockText="1" noThreeD="1"/>
</file>

<file path=xl/ctrlProps/ctrlProp155.xml><?xml version="1.0" encoding="utf-8"?>
<formControlPr xmlns="http://schemas.microsoft.com/office/spreadsheetml/2009/9/main" objectType="CheckBox" fmlaLink="$T$47" lockText="1" noThreeD="1"/>
</file>

<file path=xl/ctrlProps/ctrlProp156.xml><?xml version="1.0" encoding="utf-8"?>
<formControlPr xmlns="http://schemas.microsoft.com/office/spreadsheetml/2009/9/main" objectType="CheckBox" fmlaLink="$T$48" lockText="1" noThreeD="1"/>
</file>

<file path=xl/ctrlProps/ctrlProp157.xml><?xml version="1.0" encoding="utf-8"?>
<formControlPr xmlns="http://schemas.microsoft.com/office/spreadsheetml/2009/9/main" objectType="CheckBox" fmlaLink="$T$49" lockText="1" noThreeD="1"/>
</file>

<file path=xl/ctrlProps/ctrlProp158.xml><?xml version="1.0" encoding="utf-8"?>
<formControlPr xmlns="http://schemas.microsoft.com/office/spreadsheetml/2009/9/main" objectType="CheckBox" fmlaLink="$T$50" lockText="1" noThreeD="1"/>
</file>

<file path=xl/ctrlProps/ctrlProp159.xml><?xml version="1.0" encoding="utf-8"?>
<formControlPr xmlns="http://schemas.microsoft.com/office/spreadsheetml/2009/9/main" objectType="CheckBox" fmlaLink="$T$51" lockText="1" noThreeD="1"/>
</file>

<file path=xl/ctrlProps/ctrlProp16.xml><?xml version="1.0" encoding="utf-8"?>
<formControlPr xmlns="http://schemas.microsoft.com/office/spreadsheetml/2009/9/main" objectType="CheckBox" fmlaLink="'Kalkulation Herstellungskosten'!$AV$33" lockText="1"/>
</file>

<file path=xl/ctrlProps/ctrlProp160.xml><?xml version="1.0" encoding="utf-8"?>
<formControlPr xmlns="http://schemas.microsoft.com/office/spreadsheetml/2009/9/main" objectType="CheckBox" fmlaLink="$T$52" lockText="1" noThreeD="1"/>
</file>

<file path=xl/ctrlProps/ctrlProp161.xml><?xml version="1.0" encoding="utf-8"?>
<formControlPr xmlns="http://schemas.microsoft.com/office/spreadsheetml/2009/9/main" objectType="CheckBox" fmlaLink="$T$53" lockText="1" noThreeD="1"/>
</file>

<file path=xl/ctrlProps/ctrlProp17.xml><?xml version="1.0" encoding="utf-8"?>
<formControlPr xmlns="http://schemas.microsoft.com/office/spreadsheetml/2009/9/main" objectType="CheckBox" fmlaLink="$I$10" lockText="1"/>
</file>

<file path=xl/ctrlProps/ctrlProp18.xml><?xml version="1.0" encoding="utf-8"?>
<formControlPr xmlns="http://schemas.microsoft.com/office/spreadsheetml/2009/9/main" objectType="CheckBox" fmlaLink="$Y$22" lockText="1" noThreeD="1"/>
</file>

<file path=xl/ctrlProps/ctrlProp19.xml><?xml version="1.0" encoding="utf-8"?>
<formControlPr xmlns="http://schemas.microsoft.com/office/spreadsheetml/2009/9/main" objectType="CheckBox" fmlaLink="$Y$23" lockText="1" noThreeD="1"/>
</file>

<file path=xl/ctrlProps/ctrlProp2.xml><?xml version="1.0" encoding="utf-8"?>
<formControlPr xmlns="http://schemas.microsoft.com/office/spreadsheetml/2009/9/main" objectType="Drop" dropLines="6" dropStyle="combo" dx="16" fmlaLink="$H$26" fmlaRange="Stammblatt!$I$23:$I$28" sel="5" val="0"/>
</file>

<file path=xl/ctrlProps/ctrlProp20.xml><?xml version="1.0" encoding="utf-8"?>
<formControlPr xmlns="http://schemas.microsoft.com/office/spreadsheetml/2009/9/main" objectType="CheckBox" fmlaLink="$AA$22" lockText="1" noThreeD="1"/>
</file>

<file path=xl/ctrlProps/ctrlProp21.xml><?xml version="1.0" encoding="utf-8"?>
<formControlPr xmlns="http://schemas.microsoft.com/office/spreadsheetml/2009/9/main" objectType="CheckBox" fmlaLink="$AA$23" lockText="1" noThreeD="1"/>
</file>

<file path=xl/ctrlProps/ctrlProp22.xml><?xml version="1.0" encoding="utf-8"?>
<formControlPr xmlns="http://schemas.microsoft.com/office/spreadsheetml/2009/9/main" objectType="CheckBox" fmlaLink="$AV$33" lockText="1" noThreeD="1"/>
</file>

<file path=xl/ctrlProps/ctrlProp23.xml><?xml version="1.0" encoding="utf-8"?>
<formControlPr xmlns="http://schemas.microsoft.com/office/spreadsheetml/2009/9/main" objectType="CheckBox" fmlaLink="$AV$35" lockText="1" noThreeD="1"/>
</file>

<file path=xl/ctrlProps/ctrlProp24.xml><?xml version="1.0" encoding="utf-8"?>
<formControlPr xmlns="http://schemas.microsoft.com/office/spreadsheetml/2009/9/main" objectType="CheckBox" fmlaLink="$AV$37" lockText="1" noThreeD="1"/>
</file>

<file path=xl/ctrlProps/ctrlProp25.xml><?xml version="1.0" encoding="utf-8"?>
<formControlPr xmlns="http://schemas.microsoft.com/office/spreadsheetml/2009/9/main" objectType="CheckBox" fmlaLink="$AV$39" lockText="1" noThreeD="1"/>
</file>

<file path=xl/ctrlProps/ctrlProp26.xml><?xml version="1.0" encoding="utf-8"?>
<formControlPr xmlns="http://schemas.microsoft.com/office/spreadsheetml/2009/9/main" objectType="CheckBox" fmlaLink="$AV$47" lockText="1" noThreeD="1"/>
</file>

<file path=xl/ctrlProps/ctrlProp27.xml><?xml version="1.0" encoding="utf-8"?>
<formControlPr xmlns="http://schemas.microsoft.com/office/spreadsheetml/2009/9/main" objectType="CheckBox" fmlaLink="$AV$49" lockText="1" noThreeD="1"/>
</file>

<file path=xl/ctrlProps/ctrlProp28.xml><?xml version="1.0" encoding="utf-8"?>
<formControlPr xmlns="http://schemas.microsoft.com/office/spreadsheetml/2009/9/main" objectType="CheckBox" fmlaLink="$AV$51" lockText="1" noThreeD="1"/>
</file>

<file path=xl/ctrlProps/ctrlProp29.xml><?xml version="1.0" encoding="utf-8"?>
<formControlPr xmlns="http://schemas.microsoft.com/office/spreadsheetml/2009/9/main" objectType="CheckBox" fmlaLink="$AV$53" lockText="1" noThreeD="1"/>
</file>

<file path=xl/ctrlProps/ctrlProp3.xml><?xml version="1.0" encoding="utf-8"?>
<formControlPr xmlns="http://schemas.microsoft.com/office/spreadsheetml/2009/9/main" objectType="Drop" dropLines="5" dropStyle="combo" dx="16" fmlaLink="$H$27" fmlaRange="Stammblatt!$I$23:$I$27" sel="5" val="0"/>
</file>

<file path=xl/ctrlProps/ctrlProp30.xml><?xml version="1.0" encoding="utf-8"?>
<formControlPr xmlns="http://schemas.microsoft.com/office/spreadsheetml/2009/9/main" objectType="CheckBox" fmlaLink="$AV$55" lockText="1" noThreeD="1"/>
</file>

<file path=xl/ctrlProps/ctrlProp31.xml><?xml version="1.0" encoding="utf-8"?>
<formControlPr xmlns="http://schemas.microsoft.com/office/spreadsheetml/2009/9/main" objectType="CheckBox" fmlaLink="$AV$57" lockText="1" noThreeD="1"/>
</file>

<file path=xl/ctrlProps/ctrlProp32.xml><?xml version="1.0" encoding="utf-8"?>
<formControlPr xmlns="http://schemas.microsoft.com/office/spreadsheetml/2009/9/main" objectType="CheckBox" fmlaLink="$AV$61" lockText="1" noThreeD="1"/>
</file>

<file path=xl/ctrlProps/ctrlProp33.xml><?xml version="1.0" encoding="utf-8"?>
<formControlPr xmlns="http://schemas.microsoft.com/office/spreadsheetml/2009/9/main" objectType="CheckBox" fmlaLink="$AV$63" lockText="1" noThreeD="1"/>
</file>

<file path=xl/ctrlProps/ctrlProp34.xml><?xml version="1.0" encoding="utf-8"?>
<formControlPr xmlns="http://schemas.microsoft.com/office/spreadsheetml/2009/9/main" objectType="CheckBox" fmlaLink="$AV$65" lockText="1" noThreeD="1"/>
</file>

<file path=xl/ctrlProps/ctrlProp35.xml><?xml version="1.0" encoding="utf-8"?>
<formControlPr xmlns="http://schemas.microsoft.com/office/spreadsheetml/2009/9/main" objectType="CheckBox" fmlaLink="$AV$67" lockText="1" noThreeD="1"/>
</file>

<file path=xl/ctrlProps/ctrlProp36.xml><?xml version="1.0" encoding="utf-8"?>
<formControlPr xmlns="http://schemas.microsoft.com/office/spreadsheetml/2009/9/main" objectType="CheckBox" fmlaLink="$AV$69" lockText="1" noThreeD="1"/>
</file>

<file path=xl/ctrlProps/ctrlProp37.xml><?xml version="1.0" encoding="utf-8"?>
<formControlPr xmlns="http://schemas.microsoft.com/office/spreadsheetml/2009/9/main" objectType="CheckBox" fmlaLink="$AV$77" lockText="1" noThreeD="1"/>
</file>

<file path=xl/ctrlProps/ctrlProp38.xml><?xml version="1.0" encoding="utf-8"?>
<formControlPr xmlns="http://schemas.microsoft.com/office/spreadsheetml/2009/9/main" objectType="CheckBox" fmlaLink="$AV$79" lockText="1" noThreeD="1"/>
</file>

<file path=xl/ctrlProps/ctrlProp39.xml><?xml version="1.0" encoding="utf-8"?>
<formControlPr xmlns="http://schemas.microsoft.com/office/spreadsheetml/2009/9/main" objectType="CheckBox" fmlaLink="$AV$81" lockText="1" noThreeD="1"/>
</file>

<file path=xl/ctrlProps/ctrlProp4.xml><?xml version="1.0" encoding="utf-8"?>
<formControlPr xmlns="http://schemas.microsoft.com/office/spreadsheetml/2009/9/main" objectType="Drop" dropLines="2" dropStyle="combo" dx="16" fmlaLink="$L$4" fmlaRange="$K$4:$K$5" noThreeD="1" sel="1" val="0"/>
</file>

<file path=xl/ctrlProps/ctrlProp40.xml><?xml version="1.0" encoding="utf-8"?>
<formControlPr xmlns="http://schemas.microsoft.com/office/spreadsheetml/2009/9/main" objectType="CheckBox" fmlaLink="$AV$83" lockText="1" noThreeD="1"/>
</file>

<file path=xl/ctrlProps/ctrlProp41.xml><?xml version="1.0" encoding="utf-8"?>
<formControlPr xmlns="http://schemas.microsoft.com/office/spreadsheetml/2009/9/main" objectType="CheckBox" fmlaLink="$AV$85" lockText="1" noThreeD="1"/>
</file>

<file path=xl/ctrlProps/ctrlProp42.xml><?xml version="1.0" encoding="utf-8"?>
<formControlPr xmlns="http://schemas.microsoft.com/office/spreadsheetml/2009/9/main" objectType="CheckBox" fmlaLink="$AV$89" lockText="1" noThreeD="1"/>
</file>

<file path=xl/ctrlProps/ctrlProp43.xml><?xml version="1.0" encoding="utf-8"?>
<formControlPr xmlns="http://schemas.microsoft.com/office/spreadsheetml/2009/9/main" objectType="CheckBox" fmlaLink="$AV$93" lockText="1" noThreeD="1"/>
</file>

<file path=xl/ctrlProps/ctrlProp44.xml><?xml version="1.0" encoding="utf-8"?>
<formControlPr xmlns="http://schemas.microsoft.com/office/spreadsheetml/2009/9/main" objectType="CheckBox" fmlaLink="$AV$95" lockText="1" noThreeD="1"/>
</file>

<file path=xl/ctrlProps/ctrlProp45.xml><?xml version="1.0" encoding="utf-8"?>
<formControlPr xmlns="http://schemas.microsoft.com/office/spreadsheetml/2009/9/main" objectType="CheckBox" fmlaLink="$AV$97" lockText="1" noThreeD="1"/>
</file>

<file path=xl/ctrlProps/ctrlProp46.xml><?xml version="1.0" encoding="utf-8"?>
<formControlPr xmlns="http://schemas.microsoft.com/office/spreadsheetml/2009/9/main" objectType="CheckBox" fmlaLink="$AV$99" lockText="1" noThreeD="1"/>
</file>

<file path=xl/ctrlProps/ctrlProp47.xml><?xml version="1.0" encoding="utf-8"?>
<formControlPr xmlns="http://schemas.microsoft.com/office/spreadsheetml/2009/9/main" objectType="CheckBox" fmlaLink="$AV$101" lockText="1" noThreeD="1"/>
</file>

<file path=xl/ctrlProps/ctrlProp48.xml><?xml version="1.0" encoding="utf-8"?>
<formControlPr xmlns="http://schemas.microsoft.com/office/spreadsheetml/2009/9/main" objectType="CheckBox" fmlaLink="$AV$103" lockText="1" noThreeD="1"/>
</file>

<file path=xl/ctrlProps/ctrlProp49.xml><?xml version="1.0" encoding="utf-8"?>
<formControlPr xmlns="http://schemas.microsoft.com/office/spreadsheetml/2009/9/main" objectType="CheckBox" fmlaLink="$AV$107" lockText="1" noThreeD="1"/>
</file>

<file path=xl/ctrlProps/ctrlProp5.xml><?xml version="1.0" encoding="utf-8"?>
<formControlPr xmlns="http://schemas.microsoft.com/office/spreadsheetml/2009/9/main" objectType="CheckBox" fmlaLink="'Kalkulation Herstellungskosten'!$AV$17" lockText="1"/>
</file>

<file path=xl/ctrlProps/ctrlProp50.xml><?xml version="1.0" encoding="utf-8"?>
<formControlPr xmlns="http://schemas.microsoft.com/office/spreadsheetml/2009/9/main" objectType="CheckBox" fmlaLink="$AV$109" lockText="1" noThreeD="1"/>
</file>

<file path=xl/ctrlProps/ctrlProp51.xml><?xml version="1.0" encoding="utf-8"?>
<formControlPr xmlns="http://schemas.microsoft.com/office/spreadsheetml/2009/9/main" objectType="CheckBox" fmlaLink="$AV$111" lockText="1" noThreeD="1"/>
</file>

<file path=xl/ctrlProps/ctrlProp52.xml><?xml version="1.0" encoding="utf-8"?>
<formControlPr xmlns="http://schemas.microsoft.com/office/spreadsheetml/2009/9/main" objectType="CheckBox" fmlaLink="$AV$113" lockText="1" noThreeD="1"/>
</file>

<file path=xl/ctrlProps/ctrlProp53.xml><?xml version="1.0" encoding="utf-8"?>
<formControlPr xmlns="http://schemas.microsoft.com/office/spreadsheetml/2009/9/main" objectType="CheckBox" fmlaLink="$AV$115" lockText="1" noThreeD="1"/>
</file>

<file path=xl/ctrlProps/ctrlProp54.xml><?xml version="1.0" encoding="utf-8"?>
<formControlPr xmlns="http://schemas.microsoft.com/office/spreadsheetml/2009/9/main" objectType="CheckBox" fmlaLink="$AV$119" lockText="1" noThreeD="1"/>
</file>

<file path=xl/ctrlProps/ctrlProp55.xml><?xml version="1.0" encoding="utf-8"?>
<formControlPr xmlns="http://schemas.microsoft.com/office/spreadsheetml/2009/9/main" objectType="CheckBox" fmlaLink="$AV$121" lockText="1" noThreeD="1"/>
</file>

<file path=xl/ctrlProps/ctrlProp56.xml><?xml version="1.0" encoding="utf-8"?>
<formControlPr xmlns="http://schemas.microsoft.com/office/spreadsheetml/2009/9/main" objectType="CheckBox" fmlaLink="$AV$123" lockText="1" noThreeD="1"/>
</file>

<file path=xl/ctrlProps/ctrlProp57.xml><?xml version="1.0" encoding="utf-8"?>
<formControlPr xmlns="http://schemas.microsoft.com/office/spreadsheetml/2009/9/main" objectType="CheckBox" fmlaLink="$AV$127" lockText="1" noThreeD="1"/>
</file>

<file path=xl/ctrlProps/ctrlProp58.xml><?xml version="1.0" encoding="utf-8"?>
<formControlPr xmlns="http://schemas.microsoft.com/office/spreadsheetml/2009/9/main" objectType="CheckBox" fmlaLink="$AV$129" lockText="1" noThreeD="1"/>
</file>

<file path=xl/ctrlProps/ctrlProp59.xml><?xml version="1.0" encoding="utf-8"?>
<formControlPr xmlns="http://schemas.microsoft.com/office/spreadsheetml/2009/9/main" objectType="CheckBox" fmlaLink="$AV$133" lockText="1" noThreeD="1"/>
</file>

<file path=xl/ctrlProps/ctrlProp6.xml><?xml version="1.0" encoding="utf-8"?>
<formControlPr xmlns="http://schemas.microsoft.com/office/spreadsheetml/2009/9/main" objectType="CheckBox" fmlaLink="'Kalkulation Herstellungskosten'!$AV$55" lockText="1"/>
</file>

<file path=xl/ctrlProps/ctrlProp60.xml><?xml version="1.0" encoding="utf-8"?>
<formControlPr xmlns="http://schemas.microsoft.com/office/spreadsheetml/2009/9/main" objectType="CheckBox" fmlaLink="$AV$135" lockText="1" noThreeD="1"/>
</file>

<file path=xl/ctrlProps/ctrlProp61.xml><?xml version="1.0" encoding="utf-8"?>
<formControlPr xmlns="http://schemas.microsoft.com/office/spreadsheetml/2009/9/main" objectType="CheckBox" fmlaLink="$AV$137" lockText="1" noThreeD="1"/>
</file>

<file path=xl/ctrlProps/ctrlProp62.xml><?xml version="1.0" encoding="utf-8"?>
<formControlPr xmlns="http://schemas.microsoft.com/office/spreadsheetml/2009/9/main" objectType="CheckBox" fmlaLink="$AV$139" lockText="1" noThreeD="1"/>
</file>

<file path=xl/ctrlProps/ctrlProp63.xml><?xml version="1.0" encoding="utf-8"?>
<formControlPr xmlns="http://schemas.microsoft.com/office/spreadsheetml/2009/9/main" objectType="CheckBox" fmlaLink="$AV$141" lockText="1" noThreeD="1"/>
</file>

<file path=xl/ctrlProps/ctrlProp64.xml><?xml version="1.0" encoding="utf-8"?>
<formControlPr xmlns="http://schemas.microsoft.com/office/spreadsheetml/2009/9/main" objectType="CheckBox" fmlaLink="$AV$145" lockText="1" noThreeD="1"/>
</file>

<file path=xl/ctrlProps/ctrlProp65.xml><?xml version="1.0" encoding="utf-8"?>
<formControlPr xmlns="http://schemas.microsoft.com/office/spreadsheetml/2009/9/main" objectType="CheckBox" fmlaLink="$AV$149" lockText="1" noThreeD="1"/>
</file>

<file path=xl/ctrlProps/ctrlProp66.xml><?xml version="1.0" encoding="utf-8"?>
<formControlPr xmlns="http://schemas.microsoft.com/office/spreadsheetml/2009/9/main" objectType="CheckBox" fmlaLink="$AV$151" lockText="1" noThreeD="1"/>
</file>

<file path=xl/ctrlProps/ctrlProp67.xml><?xml version="1.0" encoding="utf-8"?>
<formControlPr xmlns="http://schemas.microsoft.com/office/spreadsheetml/2009/9/main" objectType="CheckBox" fmlaLink="$AV$153" lockText="1" noThreeD="1"/>
</file>

<file path=xl/ctrlProps/ctrlProp68.xml><?xml version="1.0" encoding="utf-8"?>
<formControlPr xmlns="http://schemas.microsoft.com/office/spreadsheetml/2009/9/main" objectType="CheckBox" fmlaLink="$AV$157" lockText="1" noThreeD="1"/>
</file>

<file path=xl/ctrlProps/ctrlProp69.xml><?xml version="1.0" encoding="utf-8"?>
<formControlPr xmlns="http://schemas.microsoft.com/office/spreadsheetml/2009/9/main" objectType="CheckBox" fmlaLink="$AV$159" lockText="1" noThreeD="1"/>
</file>

<file path=xl/ctrlProps/ctrlProp7.xml><?xml version="1.0" encoding="utf-8"?>
<formControlPr xmlns="http://schemas.microsoft.com/office/spreadsheetml/2009/9/main" objectType="CheckBox" checked="Checked" fmlaLink="$I$7" lockText="1"/>
</file>

<file path=xl/ctrlProps/ctrlProp70.xml><?xml version="1.0" encoding="utf-8"?>
<formControlPr xmlns="http://schemas.microsoft.com/office/spreadsheetml/2009/9/main" objectType="CheckBox" fmlaLink="$AV$161" lockText="1" noThreeD="1"/>
</file>

<file path=xl/ctrlProps/ctrlProp71.xml><?xml version="1.0" encoding="utf-8"?>
<formControlPr xmlns="http://schemas.microsoft.com/office/spreadsheetml/2009/9/main" objectType="CheckBox" fmlaLink="$AV$163" lockText="1" noThreeD="1"/>
</file>

<file path=xl/ctrlProps/ctrlProp72.xml><?xml version="1.0" encoding="utf-8"?>
<formControlPr xmlns="http://schemas.microsoft.com/office/spreadsheetml/2009/9/main" objectType="CheckBox" fmlaLink="$AV$165" lockText="1" noThreeD="1"/>
</file>

<file path=xl/ctrlProps/ctrlProp73.xml><?xml version="1.0" encoding="utf-8"?>
<formControlPr xmlns="http://schemas.microsoft.com/office/spreadsheetml/2009/9/main" objectType="CheckBox" fmlaLink="$AV$167" lockText="1" noThreeD="1"/>
</file>

<file path=xl/ctrlProps/ctrlProp74.xml><?xml version="1.0" encoding="utf-8"?>
<formControlPr xmlns="http://schemas.microsoft.com/office/spreadsheetml/2009/9/main" objectType="CheckBox" fmlaLink="$AV$17" lockText="1" noThreeD="1"/>
</file>

<file path=xl/ctrlProps/ctrlProp75.xml><?xml version="1.0" encoding="utf-8"?>
<formControlPr xmlns="http://schemas.microsoft.com/office/spreadsheetml/2009/9/main" objectType="CheckBox" fmlaLink="$AV$331" lockText="1" noThreeD="1"/>
</file>

<file path=xl/ctrlProps/ctrlProp76.xml><?xml version="1.0" encoding="utf-8"?>
<formControlPr xmlns="http://schemas.microsoft.com/office/spreadsheetml/2009/9/main" objectType="CheckBox" fmlaLink="$AV$333" lockText="1" noThreeD="1"/>
</file>

<file path=xl/ctrlProps/ctrlProp77.xml><?xml version="1.0" encoding="utf-8"?>
<formControlPr xmlns="http://schemas.microsoft.com/office/spreadsheetml/2009/9/main" objectType="CheckBox" fmlaLink="$AV$336" lockText="1" noThreeD="1"/>
</file>

<file path=xl/ctrlProps/ctrlProp78.xml><?xml version="1.0" encoding="utf-8"?>
<formControlPr xmlns="http://schemas.microsoft.com/office/spreadsheetml/2009/9/main" objectType="CheckBox" fmlaLink="$AV$392" lockText="1" noThreeD="1"/>
</file>

<file path=xl/ctrlProps/ctrlProp79.xml><?xml version="1.0" encoding="utf-8"?>
<formControlPr xmlns="http://schemas.microsoft.com/office/spreadsheetml/2009/9/main" objectType="CheckBox" fmlaLink="$AV$393" lockText="1" noThreeD="1"/>
</file>

<file path=xl/ctrlProps/ctrlProp8.xml><?xml version="1.0" encoding="utf-8"?>
<formControlPr xmlns="http://schemas.microsoft.com/office/spreadsheetml/2009/9/main" objectType="CheckBox" fmlaLink="$I$8" lockText="1"/>
</file>

<file path=xl/ctrlProps/ctrlProp80.xml><?xml version="1.0" encoding="utf-8"?>
<formControlPr xmlns="http://schemas.microsoft.com/office/spreadsheetml/2009/9/main" objectType="CheckBox" fmlaLink="$AV$395" lockText="1" noThreeD="1"/>
</file>

<file path=xl/ctrlProps/ctrlProp81.xml><?xml version="1.0" encoding="utf-8"?>
<formControlPr xmlns="http://schemas.microsoft.com/office/spreadsheetml/2009/9/main" objectType="CheckBox" fmlaLink="$AY$82" lockText="1" noThreeD="1"/>
</file>

<file path=xl/ctrlProps/ctrlProp82.xml><?xml version="1.0" encoding="utf-8"?>
<formControlPr xmlns="http://schemas.microsoft.com/office/spreadsheetml/2009/9/main" objectType="CheckBox" fmlaLink="$AV$171" lockText="1" noThreeD="1"/>
</file>

<file path=xl/ctrlProps/ctrlProp83.xml><?xml version="1.0" encoding="utf-8"?>
<formControlPr xmlns="http://schemas.microsoft.com/office/spreadsheetml/2009/9/main" objectType="CheckBox" fmlaLink="$AV$125" lockText="1" noThreeD="1"/>
</file>

<file path=xl/ctrlProps/ctrlProp84.xml><?xml version="1.0" encoding="utf-8"?>
<formControlPr xmlns="http://schemas.microsoft.com/office/spreadsheetml/2009/9/main" objectType="CheckBox" fmlaLink="$AV$147" lockText="1" noThreeD="1"/>
</file>

<file path=xl/ctrlProps/ctrlProp85.xml><?xml version="1.0" encoding="utf-8"?>
<formControlPr xmlns="http://schemas.microsoft.com/office/spreadsheetml/2009/9/main" objectType="CheckBox" fmlaLink="$AV$41" lockText="1" noThreeD="1"/>
</file>

<file path=xl/ctrlProps/ctrlProp86.xml><?xml version="1.0" encoding="utf-8"?>
<formControlPr xmlns="http://schemas.microsoft.com/office/spreadsheetml/2009/9/main" objectType="CheckBox" fmlaLink="$AV$43" lockText="1" noThreeD="1"/>
</file>

<file path=xl/ctrlProps/ctrlProp87.xml><?xml version="1.0" encoding="utf-8"?>
<formControlPr xmlns="http://schemas.microsoft.com/office/spreadsheetml/2009/9/main" objectType="CheckBox" fmlaLink="$AV$45" lockText="1" noThreeD="1"/>
</file>

<file path=xl/ctrlProps/ctrlProp88.xml><?xml version="1.0" encoding="utf-8"?>
<formControlPr xmlns="http://schemas.microsoft.com/office/spreadsheetml/2009/9/main" objectType="CheckBox" fmlaLink="$AV$59" lockText="1" noThreeD="1"/>
</file>

<file path=xl/ctrlProps/ctrlProp89.xml><?xml version="1.0" encoding="utf-8"?>
<formControlPr xmlns="http://schemas.microsoft.com/office/spreadsheetml/2009/9/main" objectType="CheckBox" fmlaLink="$AV$71" lockText="1" noThreeD="1"/>
</file>

<file path=xl/ctrlProps/ctrlProp9.xml><?xml version="1.0" encoding="utf-8"?>
<formControlPr xmlns="http://schemas.microsoft.com/office/spreadsheetml/2009/9/main" objectType="CheckBox" fmlaLink="$I$9" lockText="1"/>
</file>

<file path=xl/ctrlProps/ctrlProp90.xml><?xml version="1.0" encoding="utf-8"?>
<formControlPr xmlns="http://schemas.microsoft.com/office/spreadsheetml/2009/9/main" objectType="CheckBox" fmlaLink="$AV$73" lockText="1" noThreeD="1"/>
</file>

<file path=xl/ctrlProps/ctrlProp91.xml><?xml version="1.0" encoding="utf-8"?>
<formControlPr xmlns="http://schemas.microsoft.com/office/spreadsheetml/2009/9/main" objectType="CheckBox" fmlaLink="$AV$75" lockText="1" noThreeD="1"/>
</file>

<file path=xl/ctrlProps/ctrlProp92.xml><?xml version="1.0" encoding="utf-8"?>
<formControlPr xmlns="http://schemas.microsoft.com/office/spreadsheetml/2009/9/main" objectType="CheckBox" fmlaLink="$AV$87" lockText="1" noThreeD="1"/>
</file>

<file path=xl/ctrlProps/ctrlProp93.xml><?xml version="1.0" encoding="utf-8"?>
<formControlPr xmlns="http://schemas.microsoft.com/office/spreadsheetml/2009/9/main" objectType="CheckBox" fmlaLink="$AV$91" lockText="1" noThreeD="1"/>
</file>

<file path=xl/ctrlProps/ctrlProp94.xml><?xml version="1.0" encoding="utf-8"?>
<formControlPr xmlns="http://schemas.microsoft.com/office/spreadsheetml/2009/9/main" objectType="CheckBox" fmlaLink="$AV$105" lockText="1" noThreeD="1"/>
</file>

<file path=xl/ctrlProps/ctrlProp95.xml><?xml version="1.0" encoding="utf-8"?>
<formControlPr xmlns="http://schemas.microsoft.com/office/spreadsheetml/2009/9/main" objectType="CheckBox" fmlaLink="$AV$117" lockText="1" noThreeD="1"/>
</file>

<file path=xl/ctrlProps/ctrlProp96.xml><?xml version="1.0" encoding="utf-8"?>
<formControlPr xmlns="http://schemas.microsoft.com/office/spreadsheetml/2009/9/main" objectType="CheckBox" fmlaLink="$AV$131" lockText="1" noThreeD="1"/>
</file>

<file path=xl/ctrlProps/ctrlProp97.xml><?xml version="1.0" encoding="utf-8"?>
<formControlPr xmlns="http://schemas.microsoft.com/office/spreadsheetml/2009/9/main" objectType="CheckBox" fmlaLink="$AV$143" lockText="1" noThreeD="1"/>
</file>

<file path=xl/ctrlProps/ctrlProp98.xml><?xml version="1.0" encoding="utf-8"?>
<formControlPr xmlns="http://schemas.microsoft.com/office/spreadsheetml/2009/9/main" objectType="CheckBox" fmlaLink="$AV$155" lockText="1" noThreeD="1"/>
</file>

<file path=xl/ctrlProps/ctrlProp99.xml><?xml version="1.0" encoding="utf-8"?>
<formControlPr xmlns="http://schemas.microsoft.com/office/spreadsheetml/2009/9/main" objectType="Drop" dropStyle="combo" dx="22" fmlaLink="$H$15" fmlaRange="$L$12:$L$63" noThreeD="1" sel="1" val="0"/>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5.emf"/></Relationships>
</file>

<file path=xl/drawings/_rels/drawing9.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 Id="rId4"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xdr:col>
      <xdr:colOff>11617969</xdr:colOff>
      <xdr:row>0</xdr:row>
      <xdr:rowOff>0</xdr:rowOff>
    </xdr:from>
    <xdr:to>
      <xdr:col>2</xdr:col>
      <xdr:colOff>123825</xdr:colOff>
      <xdr:row>1</xdr:row>
      <xdr:rowOff>0</xdr:rowOff>
    </xdr:to>
    <xdr:pic>
      <xdr:nvPicPr>
        <xdr:cNvPr id="12" name="Grafik 11">
          <a:extLst>
            <a:ext uri="{FF2B5EF4-FFF2-40B4-BE49-F238E27FC236}">
              <a16:creationId xmlns:a16="http://schemas.microsoft.com/office/drawing/2014/main" id="{7390A18E-49D5-A8FD-BD3C-3012440565A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1894194" y="0"/>
          <a:ext cx="1812281" cy="942975"/>
        </a:xfrm>
        <a:prstGeom prst="rect">
          <a:avLst/>
        </a:prstGeom>
      </xdr:spPr>
    </xdr:pic>
    <xdr:clientData/>
  </xdr:twoCellAnchor>
  <xdr:twoCellAnchor editAs="oneCell">
    <xdr:from>
      <xdr:col>1</xdr:col>
      <xdr:colOff>1657350</xdr:colOff>
      <xdr:row>6</xdr:row>
      <xdr:rowOff>133349</xdr:rowOff>
    </xdr:from>
    <xdr:to>
      <xdr:col>1</xdr:col>
      <xdr:colOff>2667000</xdr:colOff>
      <xdr:row>7</xdr:row>
      <xdr:rowOff>28574</xdr:rowOff>
    </xdr:to>
    <xdr:pic>
      <xdr:nvPicPr>
        <xdr:cNvPr id="14" name="Grafik 13">
          <a:extLst>
            <a:ext uri="{FF2B5EF4-FFF2-40B4-BE49-F238E27FC236}">
              <a16:creationId xmlns:a16="http://schemas.microsoft.com/office/drawing/2014/main" id="{9648DD26-98B2-CA4A-B921-F1C1F0F6E44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933575" y="3609974"/>
          <a:ext cx="1009650" cy="5048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542925</xdr:colOff>
          <xdr:row>12</xdr:row>
          <xdr:rowOff>133350</xdr:rowOff>
        </xdr:from>
        <xdr:to>
          <xdr:col>6</xdr:col>
          <xdr:colOff>66675</xdr:colOff>
          <xdr:row>14</xdr:row>
          <xdr:rowOff>19050</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1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24</xdr:row>
          <xdr:rowOff>142875</xdr:rowOff>
        </xdr:from>
        <xdr:to>
          <xdr:col>6</xdr:col>
          <xdr:colOff>9525</xdr:colOff>
          <xdr:row>26</xdr:row>
          <xdr:rowOff>9525</xdr:rowOff>
        </xdr:to>
        <xdr:sp macro="" textlink="">
          <xdr:nvSpPr>
            <xdr:cNvPr id="8244" name="Drop Down 52" hidden="1">
              <a:extLst>
                <a:ext uri="{63B3BB69-23CF-44E3-9099-C40C66FF867C}">
                  <a14:compatExt spid="_x0000_s8244"/>
                </a:ext>
                <a:ext uri="{FF2B5EF4-FFF2-40B4-BE49-F238E27FC236}">
                  <a16:creationId xmlns:a16="http://schemas.microsoft.com/office/drawing/2014/main" id="{00000000-0008-0000-0100-00003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26</xdr:row>
          <xdr:rowOff>9525</xdr:rowOff>
        </xdr:from>
        <xdr:to>
          <xdr:col>6</xdr:col>
          <xdr:colOff>9525</xdr:colOff>
          <xdr:row>27</xdr:row>
          <xdr:rowOff>28575</xdr:rowOff>
        </xdr:to>
        <xdr:sp macro="" textlink="">
          <xdr:nvSpPr>
            <xdr:cNvPr id="8245" name="Drop Down 53" hidden="1">
              <a:extLst>
                <a:ext uri="{63B3BB69-23CF-44E3-9099-C40C66FF867C}">
                  <a14:compatExt spid="_x0000_s8245"/>
                </a:ext>
                <a:ext uri="{FF2B5EF4-FFF2-40B4-BE49-F238E27FC236}">
                  <a16:creationId xmlns:a16="http://schemas.microsoft.com/office/drawing/2014/main" id="{00000000-0008-0000-0100-00003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xdr:row>
          <xdr:rowOff>9525</xdr:rowOff>
        </xdr:from>
        <xdr:to>
          <xdr:col>1</xdr:col>
          <xdr:colOff>828675</xdr:colOff>
          <xdr:row>4</xdr:row>
          <xdr:rowOff>180975</xdr:rowOff>
        </xdr:to>
        <xdr:sp macro="" textlink="">
          <xdr:nvSpPr>
            <xdr:cNvPr id="8272" name="Drop Down 80" hidden="1">
              <a:extLst>
                <a:ext uri="{63B3BB69-23CF-44E3-9099-C40C66FF867C}">
                  <a14:compatExt spid="_x0000_s8272"/>
                </a:ext>
                <a:ext uri="{FF2B5EF4-FFF2-40B4-BE49-F238E27FC236}">
                  <a16:creationId xmlns:a16="http://schemas.microsoft.com/office/drawing/2014/main" id="{00000000-0008-0000-0100-00005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14</xdr:row>
          <xdr:rowOff>0</xdr:rowOff>
        </xdr:from>
        <xdr:to>
          <xdr:col>6</xdr:col>
          <xdr:colOff>66675</xdr:colOff>
          <xdr:row>15</xdr:row>
          <xdr:rowOff>47625</xdr:rowOff>
        </xdr:to>
        <xdr:sp macro="" textlink="">
          <xdr:nvSpPr>
            <xdr:cNvPr id="8278" name="Check Box 81" hidden="1">
              <a:extLst>
                <a:ext uri="{63B3BB69-23CF-44E3-9099-C40C66FF867C}">
                  <a14:compatExt spid="_x0000_s8278"/>
                </a:ext>
                <a:ext uri="{FF2B5EF4-FFF2-40B4-BE49-F238E27FC236}">
                  <a16:creationId xmlns:a16="http://schemas.microsoft.com/office/drawing/2014/main" id="{00000000-0008-0000-0100-00005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11</xdr:row>
          <xdr:rowOff>133350</xdr:rowOff>
        </xdr:from>
        <xdr:to>
          <xdr:col>6</xdr:col>
          <xdr:colOff>66675</xdr:colOff>
          <xdr:row>13</xdr:row>
          <xdr:rowOff>19050</xdr:rowOff>
        </xdr:to>
        <xdr:sp macro="" textlink="">
          <xdr:nvSpPr>
            <xdr:cNvPr id="8279" name="Check Box 45" hidden="1">
              <a:extLst>
                <a:ext uri="{63B3BB69-23CF-44E3-9099-C40C66FF867C}">
                  <a14:compatExt spid="_x0000_s8279"/>
                </a:ext>
                <a:ext uri="{FF2B5EF4-FFF2-40B4-BE49-F238E27FC236}">
                  <a16:creationId xmlns:a16="http://schemas.microsoft.com/office/drawing/2014/main" id="{00000000-0008-0000-0100-00005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1800225</xdr:colOff>
          <xdr:row>5</xdr:row>
          <xdr:rowOff>142875</xdr:rowOff>
        </xdr:from>
        <xdr:to>
          <xdr:col>1</xdr:col>
          <xdr:colOff>257175</xdr:colOff>
          <xdr:row>7</xdr:row>
          <xdr:rowOff>47625</xdr:rowOff>
        </xdr:to>
        <xdr:sp macro="" textlink="">
          <xdr:nvSpPr>
            <xdr:cNvPr id="8282" name="Check Box 90" hidden="1">
              <a:extLst>
                <a:ext uri="{63B3BB69-23CF-44E3-9099-C40C66FF867C}">
                  <a14:compatExt spid="_x0000_s8282"/>
                </a:ext>
                <a:ext uri="{FF2B5EF4-FFF2-40B4-BE49-F238E27FC236}">
                  <a16:creationId xmlns:a16="http://schemas.microsoft.com/office/drawing/2014/main" id="{00000000-0008-0000-0100-00005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1800225</xdr:colOff>
          <xdr:row>6</xdr:row>
          <xdr:rowOff>142875</xdr:rowOff>
        </xdr:from>
        <xdr:to>
          <xdr:col>1</xdr:col>
          <xdr:colOff>257175</xdr:colOff>
          <xdr:row>8</xdr:row>
          <xdr:rowOff>28575</xdr:rowOff>
        </xdr:to>
        <xdr:sp macro="" textlink="">
          <xdr:nvSpPr>
            <xdr:cNvPr id="8284" name="Check Box 92" hidden="1">
              <a:extLst>
                <a:ext uri="{63B3BB69-23CF-44E3-9099-C40C66FF867C}">
                  <a14:compatExt spid="_x0000_s8284"/>
                </a:ext>
                <a:ext uri="{FF2B5EF4-FFF2-40B4-BE49-F238E27FC236}">
                  <a16:creationId xmlns:a16="http://schemas.microsoft.com/office/drawing/2014/main" id="{00000000-0008-0000-0100-00005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1800225</xdr:colOff>
          <xdr:row>7</xdr:row>
          <xdr:rowOff>142875</xdr:rowOff>
        </xdr:from>
        <xdr:to>
          <xdr:col>1</xdr:col>
          <xdr:colOff>257175</xdr:colOff>
          <xdr:row>9</xdr:row>
          <xdr:rowOff>28575</xdr:rowOff>
        </xdr:to>
        <xdr:sp macro="" textlink="">
          <xdr:nvSpPr>
            <xdr:cNvPr id="8285" name="Check Box 93" hidden="1">
              <a:extLst>
                <a:ext uri="{63B3BB69-23CF-44E3-9099-C40C66FF867C}">
                  <a14:compatExt spid="_x0000_s8285"/>
                </a:ext>
                <a:ext uri="{FF2B5EF4-FFF2-40B4-BE49-F238E27FC236}">
                  <a16:creationId xmlns:a16="http://schemas.microsoft.com/office/drawing/2014/main" id="{00000000-0008-0000-0100-00005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914400</xdr:colOff>
          <xdr:row>28</xdr:row>
          <xdr:rowOff>123825</xdr:rowOff>
        </xdr:from>
        <xdr:to>
          <xdr:col>4</xdr:col>
          <xdr:colOff>247650</xdr:colOff>
          <xdr:row>30</xdr:row>
          <xdr:rowOff>9525</xdr:rowOff>
        </xdr:to>
        <xdr:sp macro="" textlink="">
          <xdr:nvSpPr>
            <xdr:cNvPr id="8286" name="Check Box 94" hidden="1">
              <a:extLst>
                <a:ext uri="{63B3BB69-23CF-44E3-9099-C40C66FF867C}">
                  <a14:compatExt spid="_x0000_s8286"/>
                </a:ext>
                <a:ext uri="{FF2B5EF4-FFF2-40B4-BE49-F238E27FC236}">
                  <a16:creationId xmlns:a16="http://schemas.microsoft.com/office/drawing/2014/main" id="{00000000-0008-0000-0100-00005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914400</xdr:colOff>
          <xdr:row>29</xdr:row>
          <xdr:rowOff>133350</xdr:rowOff>
        </xdr:from>
        <xdr:to>
          <xdr:col>4</xdr:col>
          <xdr:colOff>247650</xdr:colOff>
          <xdr:row>31</xdr:row>
          <xdr:rowOff>19050</xdr:rowOff>
        </xdr:to>
        <xdr:sp macro="" textlink="">
          <xdr:nvSpPr>
            <xdr:cNvPr id="8287" name="Check Box 95" hidden="1">
              <a:extLst>
                <a:ext uri="{63B3BB69-23CF-44E3-9099-C40C66FF867C}">
                  <a14:compatExt spid="_x0000_s8287"/>
                </a:ext>
                <a:ext uri="{FF2B5EF4-FFF2-40B4-BE49-F238E27FC236}">
                  <a16:creationId xmlns:a16="http://schemas.microsoft.com/office/drawing/2014/main" id="{00000000-0008-0000-0100-00005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16</xdr:row>
          <xdr:rowOff>133350</xdr:rowOff>
        </xdr:from>
        <xdr:to>
          <xdr:col>6</xdr:col>
          <xdr:colOff>66675</xdr:colOff>
          <xdr:row>18</xdr:row>
          <xdr:rowOff>19050</xdr:rowOff>
        </xdr:to>
        <xdr:sp macro="" textlink="">
          <xdr:nvSpPr>
            <xdr:cNvPr id="8288" name="Check Box 81" hidden="1">
              <a:extLst>
                <a:ext uri="{63B3BB69-23CF-44E3-9099-C40C66FF867C}">
                  <a14:compatExt spid="_x0000_s8288"/>
                </a:ext>
                <a:ext uri="{FF2B5EF4-FFF2-40B4-BE49-F238E27FC236}">
                  <a16:creationId xmlns:a16="http://schemas.microsoft.com/office/drawing/2014/main" id="{00000000-0008-0000-0100-00006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14</xdr:row>
          <xdr:rowOff>133350</xdr:rowOff>
        </xdr:from>
        <xdr:to>
          <xdr:col>6</xdr:col>
          <xdr:colOff>66675</xdr:colOff>
          <xdr:row>16</xdr:row>
          <xdr:rowOff>19050</xdr:rowOff>
        </xdr:to>
        <xdr:sp macro="" textlink="">
          <xdr:nvSpPr>
            <xdr:cNvPr id="8289" name="Check Box 81" hidden="1">
              <a:extLst>
                <a:ext uri="{63B3BB69-23CF-44E3-9099-C40C66FF867C}">
                  <a14:compatExt spid="_x0000_s8289"/>
                </a:ext>
                <a:ext uri="{FF2B5EF4-FFF2-40B4-BE49-F238E27FC236}">
                  <a16:creationId xmlns:a16="http://schemas.microsoft.com/office/drawing/2014/main" id="{00000000-0008-0000-0100-00006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17</xdr:row>
          <xdr:rowOff>133350</xdr:rowOff>
        </xdr:from>
        <xdr:to>
          <xdr:col>6</xdr:col>
          <xdr:colOff>66675</xdr:colOff>
          <xdr:row>19</xdr:row>
          <xdr:rowOff>19050</xdr:rowOff>
        </xdr:to>
        <xdr:sp macro="" textlink="">
          <xdr:nvSpPr>
            <xdr:cNvPr id="8290" name="Check Box 81" hidden="1">
              <a:extLst>
                <a:ext uri="{63B3BB69-23CF-44E3-9099-C40C66FF867C}">
                  <a14:compatExt spid="_x0000_s8290"/>
                </a:ext>
                <a:ext uri="{FF2B5EF4-FFF2-40B4-BE49-F238E27FC236}">
                  <a16:creationId xmlns:a16="http://schemas.microsoft.com/office/drawing/2014/main" id="{00000000-0008-0000-0100-00006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13</xdr:row>
          <xdr:rowOff>133350</xdr:rowOff>
        </xdr:from>
        <xdr:to>
          <xdr:col>6</xdr:col>
          <xdr:colOff>66675</xdr:colOff>
          <xdr:row>15</xdr:row>
          <xdr:rowOff>19050</xdr:rowOff>
        </xdr:to>
        <xdr:sp macro="" textlink="">
          <xdr:nvSpPr>
            <xdr:cNvPr id="8291" name="Check Box 99" hidden="1">
              <a:extLst>
                <a:ext uri="{63B3BB69-23CF-44E3-9099-C40C66FF867C}">
                  <a14:compatExt spid="_x0000_s8291"/>
                </a:ext>
                <a:ext uri="{FF2B5EF4-FFF2-40B4-BE49-F238E27FC236}">
                  <a16:creationId xmlns:a16="http://schemas.microsoft.com/office/drawing/2014/main" id="{00000000-0008-0000-0100-00006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15</xdr:row>
          <xdr:rowOff>133350</xdr:rowOff>
        </xdr:from>
        <xdr:to>
          <xdr:col>6</xdr:col>
          <xdr:colOff>66675</xdr:colOff>
          <xdr:row>17</xdr:row>
          <xdr:rowOff>19050</xdr:rowOff>
        </xdr:to>
        <xdr:sp macro="" textlink="">
          <xdr:nvSpPr>
            <xdr:cNvPr id="8292" name="Check Box 100" hidden="1">
              <a:extLst>
                <a:ext uri="{63B3BB69-23CF-44E3-9099-C40C66FF867C}">
                  <a14:compatExt spid="_x0000_s8292"/>
                </a:ext>
                <a:ext uri="{FF2B5EF4-FFF2-40B4-BE49-F238E27FC236}">
                  <a16:creationId xmlns:a16="http://schemas.microsoft.com/office/drawing/2014/main" id="{00000000-0008-0000-0100-00006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552450</xdr:colOff>
          <xdr:row>7</xdr:row>
          <xdr:rowOff>133350</xdr:rowOff>
        </xdr:from>
        <xdr:to>
          <xdr:col>6</xdr:col>
          <xdr:colOff>76200</xdr:colOff>
          <xdr:row>9</xdr:row>
          <xdr:rowOff>19050</xdr:rowOff>
        </xdr:to>
        <xdr:sp macro="" textlink="">
          <xdr:nvSpPr>
            <xdr:cNvPr id="8294" name="Check Box 102" hidden="1">
              <a:extLst>
                <a:ext uri="{63B3BB69-23CF-44E3-9099-C40C66FF867C}">
                  <a14:compatExt spid="_x0000_s8294"/>
                </a:ext>
                <a:ext uri="{FF2B5EF4-FFF2-40B4-BE49-F238E27FC236}">
                  <a16:creationId xmlns:a16="http://schemas.microsoft.com/office/drawing/2014/main" id="{00000000-0008-0000-0100-00006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4</xdr:col>
      <xdr:colOff>447675</xdr:colOff>
      <xdr:row>0</xdr:row>
      <xdr:rowOff>0</xdr:rowOff>
    </xdr:from>
    <xdr:to>
      <xdr:col>6</xdr:col>
      <xdr:colOff>2530</xdr:colOff>
      <xdr:row>2</xdr:row>
      <xdr:rowOff>95018</xdr:rowOff>
    </xdr:to>
    <xdr:pic>
      <xdr:nvPicPr>
        <xdr:cNvPr id="6" name="Grafik 5">
          <a:extLst>
            <a:ext uri="{FF2B5EF4-FFF2-40B4-BE49-F238E27FC236}">
              <a16:creationId xmlns:a16="http://schemas.microsoft.com/office/drawing/2014/main" id="{8FCC3D19-E9A0-49C8-B9DF-3D6F0ECEAE9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905375" y="0"/>
          <a:ext cx="1097905" cy="5712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361950</xdr:colOff>
          <xdr:row>18</xdr:row>
          <xdr:rowOff>95250</xdr:rowOff>
        </xdr:from>
        <xdr:to>
          <xdr:col>1</xdr:col>
          <xdr:colOff>590550</xdr:colOff>
          <xdr:row>20</xdr:row>
          <xdr:rowOff>57150</xdr:rowOff>
        </xdr:to>
        <xdr:sp macro="" textlink="">
          <xdr:nvSpPr>
            <xdr:cNvPr id="49153" name="Check Box 1" hidden="1">
              <a:extLst>
                <a:ext uri="{63B3BB69-23CF-44E3-9099-C40C66FF867C}">
                  <a14:compatExt spid="_x0000_s49153"/>
                </a:ext>
                <a:ext uri="{FF2B5EF4-FFF2-40B4-BE49-F238E27FC236}">
                  <a16:creationId xmlns:a16="http://schemas.microsoft.com/office/drawing/2014/main" id="{00000000-0008-0000-0300-00000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19</xdr:row>
          <xdr:rowOff>95250</xdr:rowOff>
        </xdr:from>
        <xdr:to>
          <xdr:col>1</xdr:col>
          <xdr:colOff>590550</xdr:colOff>
          <xdr:row>21</xdr:row>
          <xdr:rowOff>57150</xdr:rowOff>
        </xdr:to>
        <xdr:sp macro="" textlink="">
          <xdr:nvSpPr>
            <xdr:cNvPr id="49154" name="Check Box 2" hidden="1">
              <a:extLst>
                <a:ext uri="{63B3BB69-23CF-44E3-9099-C40C66FF867C}">
                  <a14:compatExt spid="_x0000_s49154"/>
                </a:ext>
                <a:ext uri="{FF2B5EF4-FFF2-40B4-BE49-F238E27FC236}">
                  <a16:creationId xmlns:a16="http://schemas.microsoft.com/office/drawing/2014/main" id="{00000000-0008-0000-0300-00000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352425</xdr:colOff>
          <xdr:row>18</xdr:row>
          <xdr:rowOff>95250</xdr:rowOff>
        </xdr:from>
        <xdr:to>
          <xdr:col>20</xdr:col>
          <xdr:colOff>247650</xdr:colOff>
          <xdr:row>20</xdr:row>
          <xdr:rowOff>57150</xdr:rowOff>
        </xdr:to>
        <xdr:sp macro="" textlink="">
          <xdr:nvSpPr>
            <xdr:cNvPr id="49155" name="Check Box 3" hidden="1">
              <a:extLst>
                <a:ext uri="{63B3BB69-23CF-44E3-9099-C40C66FF867C}">
                  <a14:compatExt spid="_x0000_s49155"/>
                </a:ext>
                <a:ext uri="{FF2B5EF4-FFF2-40B4-BE49-F238E27FC236}">
                  <a16:creationId xmlns:a16="http://schemas.microsoft.com/office/drawing/2014/main" id="{00000000-0008-0000-0300-00000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352425</xdr:colOff>
          <xdr:row>19</xdr:row>
          <xdr:rowOff>95250</xdr:rowOff>
        </xdr:from>
        <xdr:to>
          <xdr:col>20</xdr:col>
          <xdr:colOff>247650</xdr:colOff>
          <xdr:row>21</xdr:row>
          <xdr:rowOff>57150</xdr:rowOff>
        </xdr:to>
        <xdr:sp macro="" textlink="">
          <xdr:nvSpPr>
            <xdr:cNvPr id="49156" name="Check Box 4" hidden="1">
              <a:extLst>
                <a:ext uri="{63B3BB69-23CF-44E3-9099-C40C66FF867C}">
                  <a14:compatExt spid="_x0000_s49156"/>
                </a:ext>
                <a:ext uri="{FF2B5EF4-FFF2-40B4-BE49-F238E27FC236}">
                  <a16:creationId xmlns:a16="http://schemas.microsoft.com/office/drawing/2014/main" id="{00000000-0008-0000-0300-00000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142875</xdr:colOff>
          <xdr:row>31</xdr:row>
          <xdr:rowOff>47625</xdr:rowOff>
        </xdr:from>
        <xdr:to>
          <xdr:col>4</xdr:col>
          <xdr:colOff>0</xdr:colOff>
          <xdr:row>32</xdr:row>
          <xdr:rowOff>104775</xdr:rowOff>
        </xdr:to>
        <xdr:sp macro="" textlink="">
          <xdr:nvSpPr>
            <xdr:cNvPr id="18536" name="Check Box 104" hidden="1">
              <a:extLst>
                <a:ext uri="{63B3BB69-23CF-44E3-9099-C40C66FF867C}">
                  <a14:compatExt spid="_x0000_s18536"/>
                </a:ext>
                <a:ext uri="{FF2B5EF4-FFF2-40B4-BE49-F238E27FC236}">
                  <a16:creationId xmlns:a16="http://schemas.microsoft.com/office/drawing/2014/main" id="{00000000-0008-0000-0500-00006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33</xdr:row>
          <xdr:rowOff>47625</xdr:rowOff>
        </xdr:from>
        <xdr:to>
          <xdr:col>4</xdr:col>
          <xdr:colOff>0</xdr:colOff>
          <xdr:row>34</xdr:row>
          <xdr:rowOff>104775</xdr:rowOff>
        </xdr:to>
        <xdr:sp macro="" textlink="">
          <xdr:nvSpPr>
            <xdr:cNvPr id="18543" name="Check Box 111" hidden="1">
              <a:extLst>
                <a:ext uri="{63B3BB69-23CF-44E3-9099-C40C66FF867C}">
                  <a14:compatExt spid="_x0000_s18543"/>
                </a:ext>
                <a:ext uri="{FF2B5EF4-FFF2-40B4-BE49-F238E27FC236}">
                  <a16:creationId xmlns:a16="http://schemas.microsoft.com/office/drawing/2014/main" id="{00000000-0008-0000-0500-00006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35</xdr:row>
          <xdr:rowOff>38100</xdr:rowOff>
        </xdr:from>
        <xdr:to>
          <xdr:col>4</xdr:col>
          <xdr:colOff>0</xdr:colOff>
          <xdr:row>36</xdr:row>
          <xdr:rowOff>95250</xdr:rowOff>
        </xdr:to>
        <xdr:sp macro="" textlink="">
          <xdr:nvSpPr>
            <xdr:cNvPr id="18544" name="Check Box 112" hidden="1">
              <a:extLst>
                <a:ext uri="{63B3BB69-23CF-44E3-9099-C40C66FF867C}">
                  <a14:compatExt spid="_x0000_s18544"/>
                </a:ext>
                <a:ext uri="{FF2B5EF4-FFF2-40B4-BE49-F238E27FC236}">
                  <a16:creationId xmlns:a16="http://schemas.microsoft.com/office/drawing/2014/main" id="{00000000-0008-0000-0500-00007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37</xdr:row>
          <xdr:rowOff>47625</xdr:rowOff>
        </xdr:from>
        <xdr:to>
          <xdr:col>4</xdr:col>
          <xdr:colOff>0</xdr:colOff>
          <xdr:row>38</xdr:row>
          <xdr:rowOff>104775</xdr:rowOff>
        </xdr:to>
        <xdr:sp macro="" textlink="">
          <xdr:nvSpPr>
            <xdr:cNvPr id="18545" name="Check Box 113" hidden="1">
              <a:extLst>
                <a:ext uri="{63B3BB69-23CF-44E3-9099-C40C66FF867C}">
                  <a14:compatExt spid="_x0000_s18545"/>
                </a:ext>
                <a:ext uri="{FF2B5EF4-FFF2-40B4-BE49-F238E27FC236}">
                  <a16:creationId xmlns:a16="http://schemas.microsoft.com/office/drawing/2014/main" id="{00000000-0008-0000-0500-00007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45</xdr:row>
          <xdr:rowOff>47625</xdr:rowOff>
        </xdr:from>
        <xdr:to>
          <xdr:col>4</xdr:col>
          <xdr:colOff>0</xdr:colOff>
          <xdr:row>46</xdr:row>
          <xdr:rowOff>104775</xdr:rowOff>
        </xdr:to>
        <xdr:sp macro="" textlink="">
          <xdr:nvSpPr>
            <xdr:cNvPr id="18546" name="Check Box 114" hidden="1">
              <a:extLst>
                <a:ext uri="{63B3BB69-23CF-44E3-9099-C40C66FF867C}">
                  <a14:compatExt spid="_x0000_s18546"/>
                </a:ext>
                <a:ext uri="{FF2B5EF4-FFF2-40B4-BE49-F238E27FC236}">
                  <a16:creationId xmlns:a16="http://schemas.microsoft.com/office/drawing/2014/main" id="{00000000-0008-0000-0500-00007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47</xdr:row>
          <xdr:rowOff>47625</xdr:rowOff>
        </xdr:from>
        <xdr:to>
          <xdr:col>4</xdr:col>
          <xdr:colOff>0</xdr:colOff>
          <xdr:row>48</xdr:row>
          <xdr:rowOff>104775</xdr:rowOff>
        </xdr:to>
        <xdr:sp macro="" textlink="">
          <xdr:nvSpPr>
            <xdr:cNvPr id="18547" name="Check Box 115" hidden="1">
              <a:extLst>
                <a:ext uri="{63B3BB69-23CF-44E3-9099-C40C66FF867C}">
                  <a14:compatExt spid="_x0000_s18547"/>
                </a:ext>
                <a:ext uri="{FF2B5EF4-FFF2-40B4-BE49-F238E27FC236}">
                  <a16:creationId xmlns:a16="http://schemas.microsoft.com/office/drawing/2014/main" id="{00000000-0008-0000-0500-00007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49</xdr:row>
          <xdr:rowOff>47625</xdr:rowOff>
        </xdr:from>
        <xdr:to>
          <xdr:col>4</xdr:col>
          <xdr:colOff>0</xdr:colOff>
          <xdr:row>50</xdr:row>
          <xdr:rowOff>104775</xdr:rowOff>
        </xdr:to>
        <xdr:sp macro="" textlink="">
          <xdr:nvSpPr>
            <xdr:cNvPr id="18548" name="Check Box 116" hidden="1">
              <a:extLst>
                <a:ext uri="{63B3BB69-23CF-44E3-9099-C40C66FF867C}">
                  <a14:compatExt spid="_x0000_s18548"/>
                </a:ext>
                <a:ext uri="{FF2B5EF4-FFF2-40B4-BE49-F238E27FC236}">
                  <a16:creationId xmlns:a16="http://schemas.microsoft.com/office/drawing/2014/main" id="{00000000-0008-0000-0500-00007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51</xdr:row>
          <xdr:rowOff>57150</xdr:rowOff>
        </xdr:from>
        <xdr:to>
          <xdr:col>4</xdr:col>
          <xdr:colOff>0</xdr:colOff>
          <xdr:row>52</xdr:row>
          <xdr:rowOff>123825</xdr:rowOff>
        </xdr:to>
        <xdr:sp macro="" textlink="">
          <xdr:nvSpPr>
            <xdr:cNvPr id="18569" name="Check Box 137" hidden="1">
              <a:extLst>
                <a:ext uri="{63B3BB69-23CF-44E3-9099-C40C66FF867C}">
                  <a14:compatExt spid="_x0000_s18569"/>
                </a:ext>
                <a:ext uri="{FF2B5EF4-FFF2-40B4-BE49-F238E27FC236}">
                  <a16:creationId xmlns:a16="http://schemas.microsoft.com/office/drawing/2014/main" id="{00000000-0008-0000-0500-00008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53</xdr:row>
          <xdr:rowOff>123825</xdr:rowOff>
        </xdr:from>
        <xdr:to>
          <xdr:col>4</xdr:col>
          <xdr:colOff>0</xdr:colOff>
          <xdr:row>55</xdr:row>
          <xdr:rowOff>0</xdr:rowOff>
        </xdr:to>
        <xdr:sp macro="" textlink="">
          <xdr:nvSpPr>
            <xdr:cNvPr id="18606" name="Check Box 174" hidden="1">
              <a:extLst>
                <a:ext uri="{63B3BB69-23CF-44E3-9099-C40C66FF867C}">
                  <a14:compatExt spid="_x0000_s18606"/>
                </a:ext>
                <a:ext uri="{FF2B5EF4-FFF2-40B4-BE49-F238E27FC236}">
                  <a16:creationId xmlns:a16="http://schemas.microsoft.com/office/drawing/2014/main" id="{00000000-0008-0000-0500-0000A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55</xdr:row>
          <xdr:rowOff>57150</xdr:rowOff>
        </xdr:from>
        <xdr:to>
          <xdr:col>4</xdr:col>
          <xdr:colOff>0</xdr:colOff>
          <xdr:row>56</xdr:row>
          <xdr:rowOff>123825</xdr:rowOff>
        </xdr:to>
        <xdr:sp macro="" textlink="">
          <xdr:nvSpPr>
            <xdr:cNvPr id="18607" name="Check Box 175" hidden="1">
              <a:extLst>
                <a:ext uri="{63B3BB69-23CF-44E3-9099-C40C66FF867C}">
                  <a14:compatExt spid="_x0000_s18607"/>
                </a:ext>
                <a:ext uri="{FF2B5EF4-FFF2-40B4-BE49-F238E27FC236}">
                  <a16:creationId xmlns:a16="http://schemas.microsoft.com/office/drawing/2014/main" id="{00000000-0008-0000-0500-0000A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59</xdr:row>
          <xdr:rowOff>47625</xdr:rowOff>
        </xdr:from>
        <xdr:to>
          <xdr:col>4</xdr:col>
          <xdr:colOff>0</xdr:colOff>
          <xdr:row>60</xdr:row>
          <xdr:rowOff>104775</xdr:rowOff>
        </xdr:to>
        <xdr:sp macro="" textlink="">
          <xdr:nvSpPr>
            <xdr:cNvPr id="18608" name="Check Box 176" hidden="1">
              <a:extLst>
                <a:ext uri="{63B3BB69-23CF-44E3-9099-C40C66FF867C}">
                  <a14:compatExt spid="_x0000_s18608"/>
                </a:ext>
                <a:ext uri="{FF2B5EF4-FFF2-40B4-BE49-F238E27FC236}">
                  <a16:creationId xmlns:a16="http://schemas.microsoft.com/office/drawing/2014/main" id="{00000000-0008-0000-0500-0000B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61</xdr:row>
          <xdr:rowOff>47625</xdr:rowOff>
        </xdr:from>
        <xdr:to>
          <xdr:col>4</xdr:col>
          <xdr:colOff>0</xdr:colOff>
          <xdr:row>62</xdr:row>
          <xdr:rowOff>104775</xdr:rowOff>
        </xdr:to>
        <xdr:sp macro="" textlink="">
          <xdr:nvSpPr>
            <xdr:cNvPr id="18609" name="Check Box 177" hidden="1">
              <a:extLst>
                <a:ext uri="{63B3BB69-23CF-44E3-9099-C40C66FF867C}">
                  <a14:compatExt spid="_x0000_s18609"/>
                </a:ext>
                <a:ext uri="{FF2B5EF4-FFF2-40B4-BE49-F238E27FC236}">
                  <a16:creationId xmlns:a16="http://schemas.microsoft.com/office/drawing/2014/main" id="{00000000-0008-0000-0500-0000B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63</xdr:row>
          <xdr:rowOff>47625</xdr:rowOff>
        </xdr:from>
        <xdr:to>
          <xdr:col>4</xdr:col>
          <xdr:colOff>0</xdr:colOff>
          <xdr:row>64</xdr:row>
          <xdr:rowOff>104775</xdr:rowOff>
        </xdr:to>
        <xdr:sp macro="" textlink="">
          <xdr:nvSpPr>
            <xdr:cNvPr id="18610" name="Check Box 178" hidden="1">
              <a:extLst>
                <a:ext uri="{63B3BB69-23CF-44E3-9099-C40C66FF867C}">
                  <a14:compatExt spid="_x0000_s18610"/>
                </a:ext>
                <a:ext uri="{FF2B5EF4-FFF2-40B4-BE49-F238E27FC236}">
                  <a16:creationId xmlns:a16="http://schemas.microsoft.com/office/drawing/2014/main" id="{00000000-0008-0000-0500-0000B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65</xdr:row>
          <xdr:rowOff>47625</xdr:rowOff>
        </xdr:from>
        <xdr:to>
          <xdr:col>4</xdr:col>
          <xdr:colOff>0</xdr:colOff>
          <xdr:row>66</xdr:row>
          <xdr:rowOff>104775</xdr:rowOff>
        </xdr:to>
        <xdr:sp macro="" textlink="">
          <xdr:nvSpPr>
            <xdr:cNvPr id="18611" name="Check Box 179" hidden="1">
              <a:extLst>
                <a:ext uri="{63B3BB69-23CF-44E3-9099-C40C66FF867C}">
                  <a14:compatExt spid="_x0000_s18611"/>
                </a:ext>
                <a:ext uri="{FF2B5EF4-FFF2-40B4-BE49-F238E27FC236}">
                  <a16:creationId xmlns:a16="http://schemas.microsoft.com/office/drawing/2014/main" id="{00000000-0008-0000-0500-0000B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67</xdr:row>
          <xdr:rowOff>47625</xdr:rowOff>
        </xdr:from>
        <xdr:to>
          <xdr:col>4</xdr:col>
          <xdr:colOff>0</xdr:colOff>
          <xdr:row>68</xdr:row>
          <xdr:rowOff>104775</xdr:rowOff>
        </xdr:to>
        <xdr:sp macro="" textlink="">
          <xdr:nvSpPr>
            <xdr:cNvPr id="18612" name="Check Box 180" hidden="1">
              <a:extLst>
                <a:ext uri="{63B3BB69-23CF-44E3-9099-C40C66FF867C}">
                  <a14:compatExt spid="_x0000_s18612"/>
                </a:ext>
                <a:ext uri="{FF2B5EF4-FFF2-40B4-BE49-F238E27FC236}">
                  <a16:creationId xmlns:a16="http://schemas.microsoft.com/office/drawing/2014/main" id="{00000000-0008-0000-0500-0000B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75</xdr:row>
          <xdr:rowOff>47625</xdr:rowOff>
        </xdr:from>
        <xdr:to>
          <xdr:col>4</xdr:col>
          <xdr:colOff>0</xdr:colOff>
          <xdr:row>76</xdr:row>
          <xdr:rowOff>104775</xdr:rowOff>
        </xdr:to>
        <xdr:sp macro="" textlink="">
          <xdr:nvSpPr>
            <xdr:cNvPr id="18613" name="Check Box 181" hidden="1">
              <a:extLst>
                <a:ext uri="{63B3BB69-23CF-44E3-9099-C40C66FF867C}">
                  <a14:compatExt spid="_x0000_s18613"/>
                </a:ext>
                <a:ext uri="{FF2B5EF4-FFF2-40B4-BE49-F238E27FC236}">
                  <a16:creationId xmlns:a16="http://schemas.microsoft.com/office/drawing/2014/main" id="{00000000-0008-0000-0500-0000B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77</xdr:row>
          <xdr:rowOff>47625</xdr:rowOff>
        </xdr:from>
        <xdr:to>
          <xdr:col>4</xdr:col>
          <xdr:colOff>0</xdr:colOff>
          <xdr:row>78</xdr:row>
          <xdr:rowOff>104775</xdr:rowOff>
        </xdr:to>
        <xdr:sp macro="" textlink="">
          <xdr:nvSpPr>
            <xdr:cNvPr id="18614" name="Check Box 182" hidden="1">
              <a:extLst>
                <a:ext uri="{63B3BB69-23CF-44E3-9099-C40C66FF867C}">
                  <a14:compatExt spid="_x0000_s18614"/>
                </a:ext>
                <a:ext uri="{FF2B5EF4-FFF2-40B4-BE49-F238E27FC236}">
                  <a16:creationId xmlns:a16="http://schemas.microsoft.com/office/drawing/2014/main" id="{00000000-0008-0000-0500-0000B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79</xdr:row>
          <xdr:rowOff>47625</xdr:rowOff>
        </xdr:from>
        <xdr:to>
          <xdr:col>4</xdr:col>
          <xdr:colOff>0</xdr:colOff>
          <xdr:row>80</xdr:row>
          <xdr:rowOff>104775</xdr:rowOff>
        </xdr:to>
        <xdr:sp macro="" textlink="">
          <xdr:nvSpPr>
            <xdr:cNvPr id="18615" name="Check Box 183" hidden="1">
              <a:extLst>
                <a:ext uri="{63B3BB69-23CF-44E3-9099-C40C66FF867C}">
                  <a14:compatExt spid="_x0000_s18615"/>
                </a:ext>
                <a:ext uri="{FF2B5EF4-FFF2-40B4-BE49-F238E27FC236}">
                  <a16:creationId xmlns:a16="http://schemas.microsoft.com/office/drawing/2014/main" id="{00000000-0008-0000-0500-0000B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81</xdr:row>
          <xdr:rowOff>47625</xdr:rowOff>
        </xdr:from>
        <xdr:to>
          <xdr:col>4</xdr:col>
          <xdr:colOff>0</xdr:colOff>
          <xdr:row>82</xdr:row>
          <xdr:rowOff>104775</xdr:rowOff>
        </xdr:to>
        <xdr:sp macro="" textlink="">
          <xdr:nvSpPr>
            <xdr:cNvPr id="18616" name="Check Box 184" hidden="1">
              <a:extLst>
                <a:ext uri="{63B3BB69-23CF-44E3-9099-C40C66FF867C}">
                  <a14:compatExt spid="_x0000_s18616"/>
                </a:ext>
                <a:ext uri="{FF2B5EF4-FFF2-40B4-BE49-F238E27FC236}">
                  <a16:creationId xmlns:a16="http://schemas.microsoft.com/office/drawing/2014/main" id="{00000000-0008-0000-0500-0000B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83</xdr:row>
          <xdr:rowOff>47625</xdr:rowOff>
        </xdr:from>
        <xdr:to>
          <xdr:col>4</xdr:col>
          <xdr:colOff>0</xdr:colOff>
          <xdr:row>84</xdr:row>
          <xdr:rowOff>104775</xdr:rowOff>
        </xdr:to>
        <xdr:sp macro="" textlink="">
          <xdr:nvSpPr>
            <xdr:cNvPr id="18619" name="Check Box 187" hidden="1">
              <a:extLst>
                <a:ext uri="{63B3BB69-23CF-44E3-9099-C40C66FF867C}">
                  <a14:compatExt spid="_x0000_s18619"/>
                </a:ext>
                <a:ext uri="{FF2B5EF4-FFF2-40B4-BE49-F238E27FC236}">
                  <a16:creationId xmlns:a16="http://schemas.microsoft.com/office/drawing/2014/main" id="{00000000-0008-0000-0500-0000B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87</xdr:row>
          <xdr:rowOff>47625</xdr:rowOff>
        </xdr:from>
        <xdr:to>
          <xdr:col>4</xdr:col>
          <xdr:colOff>0</xdr:colOff>
          <xdr:row>88</xdr:row>
          <xdr:rowOff>104775</xdr:rowOff>
        </xdr:to>
        <xdr:sp macro="" textlink="">
          <xdr:nvSpPr>
            <xdr:cNvPr id="18622" name="Check Box 190" hidden="1">
              <a:extLst>
                <a:ext uri="{63B3BB69-23CF-44E3-9099-C40C66FF867C}">
                  <a14:compatExt spid="_x0000_s18622"/>
                </a:ext>
                <a:ext uri="{FF2B5EF4-FFF2-40B4-BE49-F238E27FC236}">
                  <a16:creationId xmlns:a16="http://schemas.microsoft.com/office/drawing/2014/main" id="{00000000-0008-0000-0500-0000B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91</xdr:row>
          <xdr:rowOff>47625</xdr:rowOff>
        </xdr:from>
        <xdr:to>
          <xdr:col>4</xdr:col>
          <xdr:colOff>0</xdr:colOff>
          <xdr:row>92</xdr:row>
          <xdr:rowOff>104775</xdr:rowOff>
        </xdr:to>
        <xdr:sp macro="" textlink="">
          <xdr:nvSpPr>
            <xdr:cNvPr id="18625" name="Check Box 193" hidden="1">
              <a:extLst>
                <a:ext uri="{63B3BB69-23CF-44E3-9099-C40C66FF867C}">
                  <a14:compatExt spid="_x0000_s18625"/>
                </a:ext>
                <a:ext uri="{FF2B5EF4-FFF2-40B4-BE49-F238E27FC236}">
                  <a16:creationId xmlns:a16="http://schemas.microsoft.com/office/drawing/2014/main" id="{00000000-0008-0000-0500-0000C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93</xdr:row>
          <xdr:rowOff>47625</xdr:rowOff>
        </xdr:from>
        <xdr:to>
          <xdr:col>4</xdr:col>
          <xdr:colOff>0</xdr:colOff>
          <xdr:row>94</xdr:row>
          <xdr:rowOff>104775</xdr:rowOff>
        </xdr:to>
        <xdr:sp macro="" textlink="">
          <xdr:nvSpPr>
            <xdr:cNvPr id="18628" name="Check Box 196" hidden="1">
              <a:extLst>
                <a:ext uri="{63B3BB69-23CF-44E3-9099-C40C66FF867C}">
                  <a14:compatExt spid="_x0000_s18628"/>
                </a:ext>
                <a:ext uri="{FF2B5EF4-FFF2-40B4-BE49-F238E27FC236}">
                  <a16:creationId xmlns:a16="http://schemas.microsoft.com/office/drawing/2014/main" id="{00000000-0008-0000-0500-0000C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95</xdr:row>
          <xdr:rowOff>47625</xdr:rowOff>
        </xdr:from>
        <xdr:to>
          <xdr:col>4</xdr:col>
          <xdr:colOff>0</xdr:colOff>
          <xdr:row>96</xdr:row>
          <xdr:rowOff>104775</xdr:rowOff>
        </xdr:to>
        <xdr:sp macro="" textlink="">
          <xdr:nvSpPr>
            <xdr:cNvPr id="18631" name="Check Box 199" hidden="1">
              <a:extLst>
                <a:ext uri="{63B3BB69-23CF-44E3-9099-C40C66FF867C}">
                  <a14:compatExt spid="_x0000_s18631"/>
                </a:ext>
                <a:ext uri="{FF2B5EF4-FFF2-40B4-BE49-F238E27FC236}">
                  <a16:creationId xmlns:a16="http://schemas.microsoft.com/office/drawing/2014/main" id="{00000000-0008-0000-0500-0000C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97</xdr:row>
          <xdr:rowOff>47625</xdr:rowOff>
        </xdr:from>
        <xdr:to>
          <xdr:col>4</xdr:col>
          <xdr:colOff>0</xdr:colOff>
          <xdr:row>98</xdr:row>
          <xdr:rowOff>104775</xdr:rowOff>
        </xdr:to>
        <xdr:sp macro="" textlink="">
          <xdr:nvSpPr>
            <xdr:cNvPr id="18634" name="Check Box 202" hidden="1">
              <a:extLst>
                <a:ext uri="{63B3BB69-23CF-44E3-9099-C40C66FF867C}">
                  <a14:compatExt spid="_x0000_s18634"/>
                </a:ext>
                <a:ext uri="{FF2B5EF4-FFF2-40B4-BE49-F238E27FC236}">
                  <a16:creationId xmlns:a16="http://schemas.microsoft.com/office/drawing/2014/main" id="{00000000-0008-0000-0500-0000C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99</xdr:row>
          <xdr:rowOff>47625</xdr:rowOff>
        </xdr:from>
        <xdr:to>
          <xdr:col>4</xdr:col>
          <xdr:colOff>0</xdr:colOff>
          <xdr:row>100</xdr:row>
          <xdr:rowOff>104775</xdr:rowOff>
        </xdr:to>
        <xdr:sp macro="" textlink="">
          <xdr:nvSpPr>
            <xdr:cNvPr id="18637" name="Check Box 205" hidden="1">
              <a:extLst>
                <a:ext uri="{63B3BB69-23CF-44E3-9099-C40C66FF867C}">
                  <a14:compatExt spid="_x0000_s18637"/>
                </a:ext>
                <a:ext uri="{FF2B5EF4-FFF2-40B4-BE49-F238E27FC236}">
                  <a16:creationId xmlns:a16="http://schemas.microsoft.com/office/drawing/2014/main" id="{00000000-0008-0000-0500-0000C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101</xdr:row>
          <xdr:rowOff>47625</xdr:rowOff>
        </xdr:from>
        <xdr:to>
          <xdr:col>4</xdr:col>
          <xdr:colOff>0</xdr:colOff>
          <xdr:row>102</xdr:row>
          <xdr:rowOff>104775</xdr:rowOff>
        </xdr:to>
        <xdr:sp macro="" textlink="">
          <xdr:nvSpPr>
            <xdr:cNvPr id="18640" name="Check Box 208" hidden="1">
              <a:extLst>
                <a:ext uri="{63B3BB69-23CF-44E3-9099-C40C66FF867C}">
                  <a14:compatExt spid="_x0000_s18640"/>
                </a:ext>
                <a:ext uri="{FF2B5EF4-FFF2-40B4-BE49-F238E27FC236}">
                  <a16:creationId xmlns:a16="http://schemas.microsoft.com/office/drawing/2014/main" id="{00000000-0008-0000-0500-0000D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105</xdr:row>
          <xdr:rowOff>47625</xdr:rowOff>
        </xdr:from>
        <xdr:to>
          <xdr:col>4</xdr:col>
          <xdr:colOff>0</xdr:colOff>
          <xdr:row>106</xdr:row>
          <xdr:rowOff>104775</xdr:rowOff>
        </xdr:to>
        <xdr:sp macro="" textlink="">
          <xdr:nvSpPr>
            <xdr:cNvPr id="18643" name="Check Box 211" hidden="1">
              <a:extLst>
                <a:ext uri="{63B3BB69-23CF-44E3-9099-C40C66FF867C}">
                  <a14:compatExt spid="_x0000_s18643"/>
                </a:ext>
                <a:ext uri="{FF2B5EF4-FFF2-40B4-BE49-F238E27FC236}">
                  <a16:creationId xmlns:a16="http://schemas.microsoft.com/office/drawing/2014/main" id="{00000000-0008-0000-0500-0000D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107</xdr:row>
          <xdr:rowOff>47625</xdr:rowOff>
        </xdr:from>
        <xdr:to>
          <xdr:col>4</xdr:col>
          <xdr:colOff>0</xdr:colOff>
          <xdr:row>108</xdr:row>
          <xdr:rowOff>104775</xdr:rowOff>
        </xdr:to>
        <xdr:sp macro="" textlink="">
          <xdr:nvSpPr>
            <xdr:cNvPr id="18646" name="Check Box 214" hidden="1">
              <a:extLst>
                <a:ext uri="{63B3BB69-23CF-44E3-9099-C40C66FF867C}">
                  <a14:compatExt spid="_x0000_s18646"/>
                </a:ext>
                <a:ext uri="{FF2B5EF4-FFF2-40B4-BE49-F238E27FC236}">
                  <a16:creationId xmlns:a16="http://schemas.microsoft.com/office/drawing/2014/main" id="{00000000-0008-0000-0500-0000D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109</xdr:row>
          <xdr:rowOff>47625</xdr:rowOff>
        </xdr:from>
        <xdr:to>
          <xdr:col>4</xdr:col>
          <xdr:colOff>0</xdr:colOff>
          <xdr:row>110</xdr:row>
          <xdr:rowOff>104775</xdr:rowOff>
        </xdr:to>
        <xdr:sp macro="" textlink="">
          <xdr:nvSpPr>
            <xdr:cNvPr id="18649" name="Check Box 217" hidden="1">
              <a:extLst>
                <a:ext uri="{63B3BB69-23CF-44E3-9099-C40C66FF867C}">
                  <a14:compatExt spid="_x0000_s18649"/>
                </a:ext>
                <a:ext uri="{FF2B5EF4-FFF2-40B4-BE49-F238E27FC236}">
                  <a16:creationId xmlns:a16="http://schemas.microsoft.com/office/drawing/2014/main" id="{00000000-0008-0000-0500-0000D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111</xdr:row>
          <xdr:rowOff>47625</xdr:rowOff>
        </xdr:from>
        <xdr:to>
          <xdr:col>4</xdr:col>
          <xdr:colOff>0</xdr:colOff>
          <xdr:row>112</xdr:row>
          <xdr:rowOff>104775</xdr:rowOff>
        </xdr:to>
        <xdr:sp macro="" textlink="">
          <xdr:nvSpPr>
            <xdr:cNvPr id="18652" name="Check Box 220" hidden="1">
              <a:extLst>
                <a:ext uri="{63B3BB69-23CF-44E3-9099-C40C66FF867C}">
                  <a14:compatExt spid="_x0000_s18652"/>
                </a:ext>
                <a:ext uri="{FF2B5EF4-FFF2-40B4-BE49-F238E27FC236}">
                  <a16:creationId xmlns:a16="http://schemas.microsoft.com/office/drawing/2014/main" id="{00000000-0008-0000-0500-0000D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113</xdr:row>
          <xdr:rowOff>57150</xdr:rowOff>
        </xdr:from>
        <xdr:to>
          <xdr:col>4</xdr:col>
          <xdr:colOff>0</xdr:colOff>
          <xdr:row>114</xdr:row>
          <xdr:rowOff>123825</xdr:rowOff>
        </xdr:to>
        <xdr:sp macro="" textlink="">
          <xdr:nvSpPr>
            <xdr:cNvPr id="18655" name="Check Box 223" hidden="1">
              <a:extLst>
                <a:ext uri="{63B3BB69-23CF-44E3-9099-C40C66FF867C}">
                  <a14:compatExt spid="_x0000_s18655"/>
                </a:ext>
                <a:ext uri="{FF2B5EF4-FFF2-40B4-BE49-F238E27FC236}">
                  <a16:creationId xmlns:a16="http://schemas.microsoft.com/office/drawing/2014/main" id="{00000000-0008-0000-0500-0000D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117</xdr:row>
          <xdr:rowOff>57150</xdr:rowOff>
        </xdr:from>
        <xdr:to>
          <xdr:col>4</xdr:col>
          <xdr:colOff>0</xdr:colOff>
          <xdr:row>118</xdr:row>
          <xdr:rowOff>123825</xdr:rowOff>
        </xdr:to>
        <xdr:sp macro="" textlink="">
          <xdr:nvSpPr>
            <xdr:cNvPr id="18658" name="Check Box 226" hidden="1">
              <a:extLst>
                <a:ext uri="{63B3BB69-23CF-44E3-9099-C40C66FF867C}">
                  <a14:compatExt spid="_x0000_s18658"/>
                </a:ext>
                <a:ext uri="{FF2B5EF4-FFF2-40B4-BE49-F238E27FC236}">
                  <a16:creationId xmlns:a16="http://schemas.microsoft.com/office/drawing/2014/main" id="{00000000-0008-0000-0500-0000E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119</xdr:row>
          <xdr:rowOff>57150</xdr:rowOff>
        </xdr:from>
        <xdr:to>
          <xdr:col>4</xdr:col>
          <xdr:colOff>0</xdr:colOff>
          <xdr:row>120</xdr:row>
          <xdr:rowOff>123825</xdr:rowOff>
        </xdr:to>
        <xdr:sp macro="" textlink="">
          <xdr:nvSpPr>
            <xdr:cNvPr id="18661" name="Check Box 229" hidden="1">
              <a:extLst>
                <a:ext uri="{63B3BB69-23CF-44E3-9099-C40C66FF867C}">
                  <a14:compatExt spid="_x0000_s18661"/>
                </a:ext>
                <a:ext uri="{FF2B5EF4-FFF2-40B4-BE49-F238E27FC236}">
                  <a16:creationId xmlns:a16="http://schemas.microsoft.com/office/drawing/2014/main" id="{00000000-0008-0000-0500-0000E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121</xdr:row>
          <xdr:rowOff>57150</xdr:rowOff>
        </xdr:from>
        <xdr:to>
          <xdr:col>4</xdr:col>
          <xdr:colOff>0</xdr:colOff>
          <xdr:row>122</xdr:row>
          <xdr:rowOff>123825</xdr:rowOff>
        </xdr:to>
        <xdr:sp macro="" textlink="">
          <xdr:nvSpPr>
            <xdr:cNvPr id="18664" name="Check Box 232" hidden="1">
              <a:extLst>
                <a:ext uri="{63B3BB69-23CF-44E3-9099-C40C66FF867C}">
                  <a14:compatExt spid="_x0000_s18664"/>
                </a:ext>
                <a:ext uri="{FF2B5EF4-FFF2-40B4-BE49-F238E27FC236}">
                  <a16:creationId xmlns:a16="http://schemas.microsoft.com/office/drawing/2014/main" id="{00000000-0008-0000-0500-0000E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125</xdr:row>
          <xdr:rowOff>57150</xdr:rowOff>
        </xdr:from>
        <xdr:to>
          <xdr:col>4</xdr:col>
          <xdr:colOff>0</xdr:colOff>
          <xdr:row>126</xdr:row>
          <xdr:rowOff>123825</xdr:rowOff>
        </xdr:to>
        <xdr:sp macro="" textlink="">
          <xdr:nvSpPr>
            <xdr:cNvPr id="18667" name="Check Box 235" hidden="1">
              <a:extLst>
                <a:ext uri="{63B3BB69-23CF-44E3-9099-C40C66FF867C}">
                  <a14:compatExt spid="_x0000_s18667"/>
                </a:ext>
                <a:ext uri="{FF2B5EF4-FFF2-40B4-BE49-F238E27FC236}">
                  <a16:creationId xmlns:a16="http://schemas.microsoft.com/office/drawing/2014/main" id="{00000000-0008-0000-0500-0000E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127</xdr:row>
          <xdr:rowOff>57150</xdr:rowOff>
        </xdr:from>
        <xdr:to>
          <xdr:col>4</xdr:col>
          <xdr:colOff>0</xdr:colOff>
          <xdr:row>128</xdr:row>
          <xdr:rowOff>123825</xdr:rowOff>
        </xdr:to>
        <xdr:sp macro="" textlink="">
          <xdr:nvSpPr>
            <xdr:cNvPr id="18670" name="Check Box 238" hidden="1">
              <a:extLst>
                <a:ext uri="{63B3BB69-23CF-44E3-9099-C40C66FF867C}">
                  <a14:compatExt spid="_x0000_s18670"/>
                </a:ext>
                <a:ext uri="{FF2B5EF4-FFF2-40B4-BE49-F238E27FC236}">
                  <a16:creationId xmlns:a16="http://schemas.microsoft.com/office/drawing/2014/main" id="{00000000-0008-0000-0500-0000E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131</xdr:row>
          <xdr:rowOff>57150</xdr:rowOff>
        </xdr:from>
        <xdr:to>
          <xdr:col>4</xdr:col>
          <xdr:colOff>0</xdr:colOff>
          <xdr:row>132</xdr:row>
          <xdr:rowOff>123825</xdr:rowOff>
        </xdr:to>
        <xdr:sp macro="" textlink="">
          <xdr:nvSpPr>
            <xdr:cNvPr id="18673" name="Check Box 241" hidden="1">
              <a:extLst>
                <a:ext uri="{63B3BB69-23CF-44E3-9099-C40C66FF867C}">
                  <a14:compatExt spid="_x0000_s18673"/>
                </a:ext>
                <a:ext uri="{FF2B5EF4-FFF2-40B4-BE49-F238E27FC236}">
                  <a16:creationId xmlns:a16="http://schemas.microsoft.com/office/drawing/2014/main" id="{00000000-0008-0000-0500-0000F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133</xdr:row>
          <xdr:rowOff>57150</xdr:rowOff>
        </xdr:from>
        <xdr:to>
          <xdr:col>4</xdr:col>
          <xdr:colOff>0</xdr:colOff>
          <xdr:row>134</xdr:row>
          <xdr:rowOff>123825</xdr:rowOff>
        </xdr:to>
        <xdr:sp macro="" textlink="">
          <xdr:nvSpPr>
            <xdr:cNvPr id="18676" name="Check Box 244" hidden="1">
              <a:extLst>
                <a:ext uri="{63B3BB69-23CF-44E3-9099-C40C66FF867C}">
                  <a14:compatExt spid="_x0000_s18676"/>
                </a:ext>
                <a:ext uri="{FF2B5EF4-FFF2-40B4-BE49-F238E27FC236}">
                  <a16:creationId xmlns:a16="http://schemas.microsoft.com/office/drawing/2014/main" id="{00000000-0008-0000-0500-0000F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135</xdr:row>
          <xdr:rowOff>57150</xdr:rowOff>
        </xdr:from>
        <xdr:to>
          <xdr:col>4</xdr:col>
          <xdr:colOff>0</xdr:colOff>
          <xdr:row>136</xdr:row>
          <xdr:rowOff>123825</xdr:rowOff>
        </xdr:to>
        <xdr:sp macro="" textlink="">
          <xdr:nvSpPr>
            <xdr:cNvPr id="18679" name="Check Box 247" hidden="1">
              <a:extLst>
                <a:ext uri="{63B3BB69-23CF-44E3-9099-C40C66FF867C}">
                  <a14:compatExt spid="_x0000_s18679"/>
                </a:ext>
                <a:ext uri="{FF2B5EF4-FFF2-40B4-BE49-F238E27FC236}">
                  <a16:creationId xmlns:a16="http://schemas.microsoft.com/office/drawing/2014/main" id="{00000000-0008-0000-0500-0000F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137</xdr:row>
          <xdr:rowOff>47625</xdr:rowOff>
        </xdr:from>
        <xdr:to>
          <xdr:col>4</xdr:col>
          <xdr:colOff>0</xdr:colOff>
          <xdr:row>138</xdr:row>
          <xdr:rowOff>104775</xdr:rowOff>
        </xdr:to>
        <xdr:sp macro="" textlink="">
          <xdr:nvSpPr>
            <xdr:cNvPr id="18682" name="Check Box 250" hidden="1">
              <a:extLst>
                <a:ext uri="{63B3BB69-23CF-44E3-9099-C40C66FF867C}">
                  <a14:compatExt spid="_x0000_s18682"/>
                </a:ext>
                <a:ext uri="{FF2B5EF4-FFF2-40B4-BE49-F238E27FC236}">
                  <a16:creationId xmlns:a16="http://schemas.microsoft.com/office/drawing/2014/main" id="{00000000-0008-0000-0500-0000F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139</xdr:row>
          <xdr:rowOff>47625</xdr:rowOff>
        </xdr:from>
        <xdr:to>
          <xdr:col>4</xdr:col>
          <xdr:colOff>0</xdr:colOff>
          <xdr:row>140</xdr:row>
          <xdr:rowOff>104775</xdr:rowOff>
        </xdr:to>
        <xdr:sp macro="" textlink="">
          <xdr:nvSpPr>
            <xdr:cNvPr id="18685" name="Check Box 253" hidden="1">
              <a:extLst>
                <a:ext uri="{63B3BB69-23CF-44E3-9099-C40C66FF867C}">
                  <a14:compatExt spid="_x0000_s18685"/>
                </a:ext>
                <a:ext uri="{FF2B5EF4-FFF2-40B4-BE49-F238E27FC236}">
                  <a16:creationId xmlns:a16="http://schemas.microsoft.com/office/drawing/2014/main" id="{00000000-0008-0000-0500-0000F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143</xdr:row>
          <xdr:rowOff>47625</xdr:rowOff>
        </xdr:from>
        <xdr:to>
          <xdr:col>4</xdr:col>
          <xdr:colOff>0</xdr:colOff>
          <xdr:row>144</xdr:row>
          <xdr:rowOff>104775</xdr:rowOff>
        </xdr:to>
        <xdr:sp macro="" textlink="">
          <xdr:nvSpPr>
            <xdr:cNvPr id="18688" name="Check Box 256" hidden="1">
              <a:extLst>
                <a:ext uri="{63B3BB69-23CF-44E3-9099-C40C66FF867C}">
                  <a14:compatExt spid="_x0000_s18688"/>
                </a:ext>
                <a:ext uri="{FF2B5EF4-FFF2-40B4-BE49-F238E27FC236}">
                  <a16:creationId xmlns:a16="http://schemas.microsoft.com/office/drawing/2014/main" id="{00000000-0008-0000-0500-00000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147</xdr:row>
          <xdr:rowOff>47625</xdr:rowOff>
        </xdr:from>
        <xdr:to>
          <xdr:col>4</xdr:col>
          <xdr:colOff>0</xdr:colOff>
          <xdr:row>148</xdr:row>
          <xdr:rowOff>104775</xdr:rowOff>
        </xdr:to>
        <xdr:sp macro="" textlink="">
          <xdr:nvSpPr>
            <xdr:cNvPr id="18691" name="Check Box 259" hidden="1">
              <a:extLst>
                <a:ext uri="{63B3BB69-23CF-44E3-9099-C40C66FF867C}">
                  <a14:compatExt spid="_x0000_s18691"/>
                </a:ext>
                <a:ext uri="{FF2B5EF4-FFF2-40B4-BE49-F238E27FC236}">
                  <a16:creationId xmlns:a16="http://schemas.microsoft.com/office/drawing/2014/main" id="{00000000-0008-0000-0500-00000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149</xdr:row>
          <xdr:rowOff>47625</xdr:rowOff>
        </xdr:from>
        <xdr:to>
          <xdr:col>4</xdr:col>
          <xdr:colOff>0</xdr:colOff>
          <xdr:row>150</xdr:row>
          <xdr:rowOff>104775</xdr:rowOff>
        </xdr:to>
        <xdr:sp macro="" textlink="">
          <xdr:nvSpPr>
            <xdr:cNvPr id="18694" name="Check Box 262" hidden="1">
              <a:extLst>
                <a:ext uri="{63B3BB69-23CF-44E3-9099-C40C66FF867C}">
                  <a14:compatExt spid="_x0000_s18694"/>
                </a:ext>
                <a:ext uri="{FF2B5EF4-FFF2-40B4-BE49-F238E27FC236}">
                  <a16:creationId xmlns:a16="http://schemas.microsoft.com/office/drawing/2014/main" id="{00000000-0008-0000-0500-00000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151</xdr:row>
          <xdr:rowOff>47625</xdr:rowOff>
        </xdr:from>
        <xdr:to>
          <xdr:col>4</xdr:col>
          <xdr:colOff>0</xdr:colOff>
          <xdr:row>152</xdr:row>
          <xdr:rowOff>104775</xdr:rowOff>
        </xdr:to>
        <xdr:sp macro="" textlink="">
          <xdr:nvSpPr>
            <xdr:cNvPr id="18697" name="Check Box 265" hidden="1">
              <a:extLst>
                <a:ext uri="{63B3BB69-23CF-44E3-9099-C40C66FF867C}">
                  <a14:compatExt spid="_x0000_s18697"/>
                </a:ext>
                <a:ext uri="{FF2B5EF4-FFF2-40B4-BE49-F238E27FC236}">
                  <a16:creationId xmlns:a16="http://schemas.microsoft.com/office/drawing/2014/main" id="{00000000-0008-0000-0500-00000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155</xdr:row>
          <xdr:rowOff>57150</xdr:rowOff>
        </xdr:from>
        <xdr:to>
          <xdr:col>4</xdr:col>
          <xdr:colOff>0</xdr:colOff>
          <xdr:row>156</xdr:row>
          <xdr:rowOff>123825</xdr:rowOff>
        </xdr:to>
        <xdr:sp macro="" textlink="">
          <xdr:nvSpPr>
            <xdr:cNvPr id="18700" name="Check Box 268" hidden="1">
              <a:extLst>
                <a:ext uri="{63B3BB69-23CF-44E3-9099-C40C66FF867C}">
                  <a14:compatExt spid="_x0000_s18700"/>
                </a:ext>
                <a:ext uri="{FF2B5EF4-FFF2-40B4-BE49-F238E27FC236}">
                  <a16:creationId xmlns:a16="http://schemas.microsoft.com/office/drawing/2014/main" id="{00000000-0008-0000-0500-00000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157</xdr:row>
          <xdr:rowOff>57150</xdr:rowOff>
        </xdr:from>
        <xdr:to>
          <xdr:col>4</xdr:col>
          <xdr:colOff>0</xdr:colOff>
          <xdr:row>158</xdr:row>
          <xdr:rowOff>123825</xdr:rowOff>
        </xdr:to>
        <xdr:sp macro="" textlink="">
          <xdr:nvSpPr>
            <xdr:cNvPr id="18703" name="Check Box 271" hidden="1">
              <a:extLst>
                <a:ext uri="{63B3BB69-23CF-44E3-9099-C40C66FF867C}">
                  <a14:compatExt spid="_x0000_s18703"/>
                </a:ext>
                <a:ext uri="{FF2B5EF4-FFF2-40B4-BE49-F238E27FC236}">
                  <a16:creationId xmlns:a16="http://schemas.microsoft.com/office/drawing/2014/main" id="{00000000-0008-0000-0500-00000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159</xdr:row>
          <xdr:rowOff>57150</xdr:rowOff>
        </xdr:from>
        <xdr:to>
          <xdr:col>4</xdr:col>
          <xdr:colOff>0</xdr:colOff>
          <xdr:row>160</xdr:row>
          <xdr:rowOff>123825</xdr:rowOff>
        </xdr:to>
        <xdr:sp macro="" textlink="">
          <xdr:nvSpPr>
            <xdr:cNvPr id="18706" name="Check Box 274" hidden="1">
              <a:extLst>
                <a:ext uri="{63B3BB69-23CF-44E3-9099-C40C66FF867C}">
                  <a14:compatExt spid="_x0000_s18706"/>
                </a:ext>
                <a:ext uri="{FF2B5EF4-FFF2-40B4-BE49-F238E27FC236}">
                  <a16:creationId xmlns:a16="http://schemas.microsoft.com/office/drawing/2014/main" id="{00000000-0008-0000-0500-000012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161</xdr:row>
          <xdr:rowOff>57150</xdr:rowOff>
        </xdr:from>
        <xdr:to>
          <xdr:col>4</xdr:col>
          <xdr:colOff>0</xdr:colOff>
          <xdr:row>162</xdr:row>
          <xdr:rowOff>123825</xdr:rowOff>
        </xdr:to>
        <xdr:sp macro="" textlink="">
          <xdr:nvSpPr>
            <xdr:cNvPr id="18709" name="Check Box 277" hidden="1">
              <a:extLst>
                <a:ext uri="{63B3BB69-23CF-44E3-9099-C40C66FF867C}">
                  <a14:compatExt spid="_x0000_s18709"/>
                </a:ext>
                <a:ext uri="{FF2B5EF4-FFF2-40B4-BE49-F238E27FC236}">
                  <a16:creationId xmlns:a16="http://schemas.microsoft.com/office/drawing/2014/main" id="{00000000-0008-0000-0500-00001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163</xdr:row>
          <xdr:rowOff>57150</xdr:rowOff>
        </xdr:from>
        <xdr:to>
          <xdr:col>4</xdr:col>
          <xdr:colOff>0</xdr:colOff>
          <xdr:row>164</xdr:row>
          <xdr:rowOff>123825</xdr:rowOff>
        </xdr:to>
        <xdr:sp macro="" textlink="">
          <xdr:nvSpPr>
            <xdr:cNvPr id="18712" name="Check Box 280" hidden="1">
              <a:extLst>
                <a:ext uri="{63B3BB69-23CF-44E3-9099-C40C66FF867C}">
                  <a14:compatExt spid="_x0000_s18712"/>
                </a:ext>
                <a:ext uri="{FF2B5EF4-FFF2-40B4-BE49-F238E27FC236}">
                  <a16:creationId xmlns:a16="http://schemas.microsoft.com/office/drawing/2014/main" id="{00000000-0008-0000-0500-00001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165</xdr:row>
          <xdr:rowOff>57150</xdr:rowOff>
        </xdr:from>
        <xdr:to>
          <xdr:col>4</xdr:col>
          <xdr:colOff>0</xdr:colOff>
          <xdr:row>166</xdr:row>
          <xdr:rowOff>123825</xdr:rowOff>
        </xdr:to>
        <xdr:sp macro="" textlink="">
          <xdr:nvSpPr>
            <xdr:cNvPr id="18715" name="Check Box 283" hidden="1">
              <a:extLst>
                <a:ext uri="{63B3BB69-23CF-44E3-9099-C40C66FF867C}">
                  <a14:compatExt spid="_x0000_s18715"/>
                </a:ext>
                <a:ext uri="{FF2B5EF4-FFF2-40B4-BE49-F238E27FC236}">
                  <a16:creationId xmlns:a16="http://schemas.microsoft.com/office/drawing/2014/main" id="{00000000-0008-0000-0500-00001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15</xdr:row>
          <xdr:rowOff>123825</xdr:rowOff>
        </xdr:from>
        <xdr:to>
          <xdr:col>4</xdr:col>
          <xdr:colOff>0</xdr:colOff>
          <xdr:row>17</xdr:row>
          <xdr:rowOff>28575</xdr:rowOff>
        </xdr:to>
        <xdr:sp macro="" textlink="">
          <xdr:nvSpPr>
            <xdr:cNvPr id="18737" name="Check Box 305" hidden="1">
              <a:extLst>
                <a:ext uri="{63B3BB69-23CF-44E3-9099-C40C66FF867C}">
                  <a14:compatExt spid="_x0000_s18737"/>
                </a:ext>
                <a:ext uri="{FF2B5EF4-FFF2-40B4-BE49-F238E27FC236}">
                  <a16:creationId xmlns:a16="http://schemas.microsoft.com/office/drawing/2014/main" id="{00000000-0008-0000-0500-00003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329</xdr:row>
          <xdr:rowOff>133350</xdr:rowOff>
        </xdr:from>
        <xdr:to>
          <xdr:col>4</xdr:col>
          <xdr:colOff>0</xdr:colOff>
          <xdr:row>331</xdr:row>
          <xdr:rowOff>28575</xdr:rowOff>
        </xdr:to>
        <xdr:sp macro="" textlink="">
          <xdr:nvSpPr>
            <xdr:cNvPr id="18828" name="Check Box 396" hidden="1">
              <a:extLst>
                <a:ext uri="{63B3BB69-23CF-44E3-9099-C40C66FF867C}">
                  <a14:compatExt spid="_x0000_s18828"/>
                </a:ext>
                <a:ext uri="{FF2B5EF4-FFF2-40B4-BE49-F238E27FC236}">
                  <a16:creationId xmlns:a16="http://schemas.microsoft.com/office/drawing/2014/main" id="{00000000-0008-0000-0500-00008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331</xdr:row>
          <xdr:rowOff>123825</xdr:rowOff>
        </xdr:from>
        <xdr:to>
          <xdr:col>4</xdr:col>
          <xdr:colOff>0</xdr:colOff>
          <xdr:row>333</xdr:row>
          <xdr:rowOff>28575</xdr:rowOff>
        </xdr:to>
        <xdr:sp macro="" textlink="">
          <xdr:nvSpPr>
            <xdr:cNvPr id="18829" name="Check Box 397" hidden="1">
              <a:extLst>
                <a:ext uri="{63B3BB69-23CF-44E3-9099-C40C66FF867C}">
                  <a14:compatExt spid="_x0000_s18829"/>
                </a:ext>
                <a:ext uri="{FF2B5EF4-FFF2-40B4-BE49-F238E27FC236}">
                  <a16:creationId xmlns:a16="http://schemas.microsoft.com/office/drawing/2014/main" id="{00000000-0008-0000-0500-00008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334</xdr:row>
          <xdr:rowOff>133350</xdr:rowOff>
        </xdr:from>
        <xdr:to>
          <xdr:col>4</xdr:col>
          <xdr:colOff>0</xdr:colOff>
          <xdr:row>336</xdr:row>
          <xdr:rowOff>28575</xdr:rowOff>
        </xdr:to>
        <xdr:sp macro="" textlink="">
          <xdr:nvSpPr>
            <xdr:cNvPr id="18830" name="Check Box 398" hidden="1">
              <a:extLst>
                <a:ext uri="{63B3BB69-23CF-44E3-9099-C40C66FF867C}">
                  <a14:compatExt spid="_x0000_s18830"/>
                </a:ext>
                <a:ext uri="{FF2B5EF4-FFF2-40B4-BE49-F238E27FC236}">
                  <a16:creationId xmlns:a16="http://schemas.microsoft.com/office/drawing/2014/main" id="{00000000-0008-0000-0500-00008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390</xdr:row>
          <xdr:rowOff>123825</xdr:rowOff>
        </xdr:from>
        <xdr:to>
          <xdr:col>4</xdr:col>
          <xdr:colOff>0</xdr:colOff>
          <xdr:row>392</xdr:row>
          <xdr:rowOff>28575</xdr:rowOff>
        </xdr:to>
        <xdr:sp macro="" textlink="">
          <xdr:nvSpPr>
            <xdr:cNvPr id="18831" name="Check Box 399" hidden="1">
              <a:extLst>
                <a:ext uri="{63B3BB69-23CF-44E3-9099-C40C66FF867C}">
                  <a14:compatExt spid="_x0000_s18831"/>
                </a:ext>
                <a:ext uri="{FF2B5EF4-FFF2-40B4-BE49-F238E27FC236}">
                  <a16:creationId xmlns:a16="http://schemas.microsoft.com/office/drawing/2014/main" id="{00000000-0008-0000-0500-00008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391</xdr:row>
          <xdr:rowOff>133350</xdr:rowOff>
        </xdr:from>
        <xdr:to>
          <xdr:col>4</xdr:col>
          <xdr:colOff>0</xdr:colOff>
          <xdr:row>393</xdr:row>
          <xdr:rowOff>28575</xdr:rowOff>
        </xdr:to>
        <xdr:sp macro="" textlink="">
          <xdr:nvSpPr>
            <xdr:cNvPr id="18832" name="Check Box 400" hidden="1">
              <a:extLst>
                <a:ext uri="{63B3BB69-23CF-44E3-9099-C40C66FF867C}">
                  <a14:compatExt spid="_x0000_s18832"/>
                </a:ext>
                <a:ext uri="{FF2B5EF4-FFF2-40B4-BE49-F238E27FC236}">
                  <a16:creationId xmlns:a16="http://schemas.microsoft.com/office/drawing/2014/main" id="{00000000-0008-0000-0500-00009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393</xdr:row>
          <xdr:rowOff>123825</xdr:rowOff>
        </xdr:from>
        <xdr:to>
          <xdr:col>4</xdr:col>
          <xdr:colOff>0</xdr:colOff>
          <xdr:row>395</xdr:row>
          <xdr:rowOff>28575</xdr:rowOff>
        </xdr:to>
        <xdr:sp macro="" textlink="">
          <xdr:nvSpPr>
            <xdr:cNvPr id="18833" name="Check Box 401" hidden="1">
              <a:extLst>
                <a:ext uri="{63B3BB69-23CF-44E3-9099-C40C66FF867C}">
                  <a14:compatExt spid="_x0000_s18833"/>
                </a:ext>
                <a:ext uri="{FF2B5EF4-FFF2-40B4-BE49-F238E27FC236}">
                  <a16:creationId xmlns:a16="http://schemas.microsoft.com/office/drawing/2014/main" id="{00000000-0008-0000-0500-00009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1314450</xdr:colOff>
          <xdr:row>80</xdr:row>
          <xdr:rowOff>133350</xdr:rowOff>
        </xdr:from>
        <xdr:to>
          <xdr:col>1</xdr:col>
          <xdr:colOff>1619250</xdr:colOff>
          <xdr:row>82</xdr:row>
          <xdr:rowOff>28575</xdr:rowOff>
        </xdr:to>
        <xdr:sp macro="" textlink="">
          <xdr:nvSpPr>
            <xdr:cNvPr id="18913" name="Check Box 184" hidden="1">
              <a:extLst>
                <a:ext uri="{63B3BB69-23CF-44E3-9099-C40C66FF867C}">
                  <a14:compatExt spid="_x0000_s18913"/>
                </a:ext>
                <a:ext uri="{FF2B5EF4-FFF2-40B4-BE49-F238E27FC236}">
                  <a16:creationId xmlns:a16="http://schemas.microsoft.com/office/drawing/2014/main" id="{00000000-0008-0000-0500-0000E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169</xdr:row>
          <xdr:rowOff>123825</xdr:rowOff>
        </xdr:from>
        <xdr:to>
          <xdr:col>4</xdr:col>
          <xdr:colOff>0</xdr:colOff>
          <xdr:row>171</xdr:row>
          <xdr:rowOff>28575</xdr:rowOff>
        </xdr:to>
        <xdr:sp macro="" textlink="">
          <xdr:nvSpPr>
            <xdr:cNvPr id="18954" name="Check Box 283" hidden="1">
              <a:extLst>
                <a:ext uri="{63B3BB69-23CF-44E3-9099-C40C66FF867C}">
                  <a14:compatExt spid="_x0000_s18954"/>
                </a:ext>
                <a:ext uri="{FF2B5EF4-FFF2-40B4-BE49-F238E27FC236}">
                  <a16:creationId xmlns:a16="http://schemas.microsoft.com/office/drawing/2014/main" id="{00000000-0008-0000-0500-00000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123</xdr:row>
          <xdr:rowOff>47625</xdr:rowOff>
        </xdr:from>
        <xdr:to>
          <xdr:col>4</xdr:col>
          <xdr:colOff>0</xdr:colOff>
          <xdr:row>124</xdr:row>
          <xdr:rowOff>104775</xdr:rowOff>
        </xdr:to>
        <xdr:sp macro="" textlink="">
          <xdr:nvSpPr>
            <xdr:cNvPr id="18962" name="Check Box 232" hidden="1">
              <a:extLst>
                <a:ext uri="{63B3BB69-23CF-44E3-9099-C40C66FF867C}">
                  <a14:compatExt spid="_x0000_s18962"/>
                </a:ext>
                <a:ext uri="{FF2B5EF4-FFF2-40B4-BE49-F238E27FC236}">
                  <a16:creationId xmlns:a16="http://schemas.microsoft.com/office/drawing/2014/main" id="{00000000-0008-0000-0500-00001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145</xdr:row>
          <xdr:rowOff>47625</xdr:rowOff>
        </xdr:from>
        <xdr:to>
          <xdr:col>4</xdr:col>
          <xdr:colOff>0</xdr:colOff>
          <xdr:row>146</xdr:row>
          <xdr:rowOff>104775</xdr:rowOff>
        </xdr:to>
        <xdr:sp macro="" textlink="">
          <xdr:nvSpPr>
            <xdr:cNvPr id="18963" name="Check Box 256" hidden="1">
              <a:extLst>
                <a:ext uri="{63B3BB69-23CF-44E3-9099-C40C66FF867C}">
                  <a14:compatExt spid="_x0000_s18963"/>
                </a:ext>
                <a:ext uri="{FF2B5EF4-FFF2-40B4-BE49-F238E27FC236}">
                  <a16:creationId xmlns:a16="http://schemas.microsoft.com/office/drawing/2014/main" id="{00000000-0008-0000-0500-00001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39</xdr:row>
          <xdr:rowOff>47625</xdr:rowOff>
        </xdr:from>
        <xdr:to>
          <xdr:col>4</xdr:col>
          <xdr:colOff>0</xdr:colOff>
          <xdr:row>40</xdr:row>
          <xdr:rowOff>104775</xdr:rowOff>
        </xdr:to>
        <xdr:sp macro="" textlink="">
          <xdr:nvSpPr>
            <xdr:cNvPr id="18964" name="Check Box 113" hidden="1">
              <a:extLst>
                <a:ext uri="{63B3BB69-23CF-44E3-9099-C40C66FF867C}">
                  <a14:compatExt spid="_x0000_s18964"/>
                </a:ext>
                <a:ext uri="{FF2B5EF4-FFF2-40B4-BE49-F238E27FC236}">
                  <a16:creationId xmlns:a16="http://schemas.microsoft.com/office/drawing/2014/main" id="{00000000-0008-0000-0500-00001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41</xdr:row>
          <xdr:rowOff>47625</xdr:rowOff>
        </xdr:from>
        <xdr:to>
          <xdr:col>4</xdr:col>
          <xdr:colOff>0</xdr:colOff>
          <xdr:row>42</xdr:row>
          <xdr:rowOff>104775</xdr:rowOff>
        </xdr:to>
        <xdr:sp macro="" textlink="">
          <xdr:nvSpPr>
            <xdr:cNvPr id="18965" name="Check Box 113" hidden="1">
              <a:extLst>
                <a:ext uri="{63B3BB69-23CF-44E3-9099-C40C66FF867C}">
                  <a14:compatExt spid="_x0000_s18965"/>
                </a:ext>
                <a:ext uri="{FF2B5EF4-FFF2-40B4-BE49-F238E27FC236}">
                  <a16:creationId xmlns:a16="http://schemas.microsoft.com/office/drawing/2014/main" id="{00000000-0008-0000-0500-00001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43</xdr:row>
          <xdr:rowOff>38100</xdr:rowOff>
        </xdr:from>
        <xdr:to>
          <xdr:col>4</xdr:col>
          <xdr:colOff>0</xdr:colOff>
          <xdr:row>44</xdr:row>
          <xdr:rowOff>95250</xdr:rowOff>
        </xdr:to>
        <xdr:sp macro="" textlink="">
          <xdr:nvSpPr>
            <xdr:cNvPr id="18966" name="Check Box 113" hidden="1">
              <a:extLst>
                <a:ext uri="{63B3BB69-23CF-44E3-9099-C40C66FF867C}">
                  <a14:compatExt spid="_x0000_s18966"/>
                </a:ext>
                <a:ext uri="{FF2B5EF4-FFF2-40B4-BE49-F238E27FC236}">
                  <a16:creationId xmlns:a16="http://schemas.microsoft.com/office/drawing/2014/main" id="{00000000-0008-0000-0500-00001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57</xdr:row>
          <xdr:rowOff>47625</xdr:rowOff>
        </xdr:from>
        <xdr:to>
          <xdr:col>4</xdr:col>
          <xdr:colOff>0</xdr:colOff>
          <xdr:row>58</xdr:row>
          <xdr:rowOff>104775</xdr:rowOff>
        </xdr:to>
        <xdr:sp macro="" textlink="">
          <xdr:nvSpPr>
            <xdr:cNvPr id="18967" name="Check Box 175" hidden="1">
              <a:extLst>
                <a:ext uri="{63B3BB69-23CF-44E3-9099-C40C66FF867C}">
                  <a14:compatExt spid="_x0000_s18967"/>
                </a:ext>
                <a:ext uri="{FF2B5EF4-FFF2-40B4-BE49-F238E27FC236}">
                  <a16:creationId xmlns:a16="http://schemas.microsoft.com/office/drawing/2014/main" id="{00000000-0008-0000-0500-00001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69</xdr:row>
          <xdr:rowOff>47625</xdr:rowOff>
        </xdr:from>
        <xdr:to>
          <xdr:col>4</xdr:col>
          <xdr:colOff>0</xdr:colOff>
          <xdr:row>70</xdr:row>
          <xdr:rowOff>104775</xdr:rowOff>
        </xdr:to>
        <xdr:sp macro="" textlink="">
          <xdr:nvSpPr>
            <xdr:cNvPr id="18968" name="Check Box 180" hidden="1">
              <a:extLst>
                <a:ext uri="{63B3BB69-23CF-44E3-9099-C40C66FF867C}">
                  <a14:compatExt spid="_x0000_s18968"/>
                </a:ext>
                <a:ext uri="{FF2B5EF4-FFF2-40B4-BE49-F238E27FC236}">
                  <a16:creationId xmlns:a16="http://schemas.microsoft.com/office/drawing/2014/main" id="{00000000-0008-0000-0500-00001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71</xdr:row>
          <xdr:rowOff>47625</xdr:rowOff>
        </xdr:from>
        <xdr:to>
          <xdr:col>4</xdr:col>
          <xdr:colOff>0</xdr:colOff>
          <xdr:row>72</xdr:row>
          <xdr:rowOff>104775</xdr:rowOff>
        </xdr:to>
        <xdr:sp macro="" textlink="">
          <xdr:nvSpPr>
            <xdr:cNvPr id="18969" name="Check Box 180" hidden="1">
              <a:extLst>
                <a:ext uri="{63B3BB69-23CF-44E3-9099-C40C66FF867C}">
                  <a14:compatExt spid="_x0000_s18969"/>
                </a:ext>
                <a:ext uri="{FF2B5EF4-FFF2-40B4-BE49-F238E27FC236}">
                  <a16:creationId xmlns:a16="http://schemas.microsoft.com/office/drawing/2014/main" id="{00000000-0008-0000-0500-00001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73</xdr:row>
          <xdr:rowOff>47625</xdr:rowOff>
        </xdr:from>
        <xdr:to>
          <xdr:col>4</xdr:col>
          <xdr:colOff>0</xdr:colOff>
          <xdr:row>74</xdr:row>
          <xdr:rowOff>104775</xdr:rowOff>
        </xdr:to>
        <xdr:sp macro="" textlink="">
          <xdr:nvSpPr>
            <xdr:cNvPr id="18970" name="Check Box 180" hidden="1">
              <a:extLst>
                <a:ext uri="{63B3BB69-23CF-44E3-9099-C40C66FF867C}">
                  <a14:compatExt spid="_x0000_s18970"/>
                </a:ext>
                <a:ext uri="{FF2B5EF4-FFF2-40B4-BE49-F238E27FC236}">
                  <a16:creationId xmlns:a16="http://schemas.microsoft.com/office/drawing/2014/main" id="{00000000-0008-0000-0500-00001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85</xdr:row>
          <xdr:rowOff>47625</xdr:rowOff>
        </xdr:from>
        <xdr:to>
          <xdr:col>4</xdr:col>
          <xdr:colOff>0</xdr:colOff>
          <xdr:row>86</xdr:row>
          <xdr:rowOff>104775</xdr:rowOff>
        </xdr:to>
        <xdr:sp macro="" textlink="">
          <xdr:nvSpPr>
            <xdr:cNvPr id="18971" name="Check Box 187" hidden="1">
              <a:extLst>
                <a:ext uri="{63B3BB69-23CF-44E3-9099-C40C66FF867C}">
                  <a14:compatExt spid="_x0000_s18971"/>
                </a:ext>
                <a:ext uri="{FF2B5EF4-FFF2-40B4-BE49-F238E27FC236}">
                  <a16:creationId xmlns:a16="http://schemas.microsoft.com/office/drawing/2014/main" id="{00000000-0008-0000-0500-00001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89</xdr:row>
          <xdr:rowOff>47625</xdr:rowOff>
        </xdr:from>
        <xdr:to>
          <xdr:col>4</xdr:col>
          <xdr:colOff>0</xdr:colOff>
          <xdr:row>90</xdr:row>
          <xdr:rowOff>104775</xdr:rowOff>
        </xdr:to>
        <xdr:sp macro="" textlink="">
          <xdr:nvSpPr>
            <xdr:cNvPr id="18972" name="Check Box 190" hidden="1">
              <a:extLst>
                <a:ext uri="{63B3BB69-23CF-44E3-9099-C40C66FF867C}">
                  <a14:compatExt spid="_x0000_s18972"/>
                </a:ext>
                <a:ext uri="{FF2B5EF4-FFF2-40B4-BE49-F238E27FC236}">
                  <a16:creationId xmlns:a16="http://schemas.microsoft.com/office/drawing/2014/main" id="{00000000-0008-0000-0500-00001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103</xdr:row>
          <xdr:rowOff>47625</xdr:rowOff>
        </xdr:from>
        <xdr:to>
          <xdr:col>4</xdr:col>
          <xdr:colOff>0</xdr:colOff>
          <xdr:row>104</xdr:row>
          <xdr:rowOff>104775</xdr:rowOff>
        </xdr:to>
        <xdr:sp macro="" textlink="">
          <xdr:nvSpPr>
            <xdr:cNvPr id="18973" name="Check Box 208" hidden="1">
              <a:extLst>
                <a:ext uri="{63B3BB69-23CF-44E3-9099-C40C66FF867C}">
                  <a14:compatExt spid="_x0000_s18973"/>
                </a:ext>
                <a:ext uri="{FF2B5EF4-FFF2-40B4-BE49-F238E27FC236}">
                  <a16:creationId xmlns:a16="http://schemas.microsoft.com/office/drawing/2014/main" id="{00000000-0008-0000-0500-00001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115</xdr:row>
          <xdr:rowOff>47625</xdr:rowOff>
        </xdr:from>
        <xdr:to>
          <xdr:col>4</xdr:col>
          <xdr:colOff>0</xdr:colOff>
          <xdr:row>116</xdr:row>
          <xdr:rowOff>104775</xdr:rowOff>
        </xdr:to>
        <xdr:sp macro="" textlink="">
          <xdr:nvSpPr>
            <xdr:cNvPr id="18974" name="Check Box 208" hidden="1">
              <a:extLst>
                <a:ext uri="{63B3BB69-23CF-44E3-9099-C40C66FF867C}">
                  <a14:compatExt spid="_x0000_s18974"/>
                </a:ext>
                <a:ext uri="{FF2B5EF4-FFF2-40B4-BE49-F238E27FC236}">
                  <a16:creationId xmlns:a16="http://schemas.microsoft.com/office/drawing/2014/main" id="{00000000-0008-0000-0500-00001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129</xdr:row>
          <xdr:rowOff>47625</xdr:rowOff>
        </xdr:from>
        <xdr:to>
          <xdr:col>4</xdr:col>
          <xdr:colOff>0</xdr:colOff>
          <xdr:row>130</xdr:row>
          <xdr:rowOff>104775</xdr:rowOff>
        </xdr:to>
        <xdr:sp macro="" textlink="">
          <xdr:nvSpPr>
            <xdr:cNvPr id="18975" name="Check Box 208" hidden="1">
              <a:extLst>
                <a:ext uri="{63B3BB69-23CF-44E3-9099-C40C66FF867C}">
                  <a14:compatExt spid="_x0000_s18975"/>
                </a:ext>
                <a:ext uri="{FF2B5EF4-FFF2-40B4-BE49-F238E27FC236}">
                  <a16:creationId xmlns:a16="http://schemas.microsoft.com/office/drawing/2014/main" id="{00000000-0008-0000-0500-00001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141</xdr:row>
          <xdr:rowOff>47625</xdr:rowOff>
        </xdr:from>
        <xdr:to>
          <xdr:col>4</xdr:col>
          <xdr:colOff>0</xdr:colOff>
          <xdr:row>142</xdr:row>
          <xdr:rowOff>104775</xdr:rowOff>
        </xdr:to>
        <xdr:sp macro="" textlink="">
          <xdr:nvSpPr>
            <xdr:cNvPr id="18976" name="Check Box 208" hidden="1">
              <a:extLst>
                <a:ext uri="{63B3BB69-23CF-44E3-9099-C40C66FF867C}">
                  <a14:compatExt spid="_x0000_s18976"/>
                </a:ext>
                <a:ext uri="{FF2B5EF4-FFF2-40B4-BE49-F238E27FC236}">
                  <a16:creationId xmlns:a16="http://schemas.microsoft.com/office/drawing/2014/main" id="{00000000-0008-0000-0500-00002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153</xdr:row>
          <xdr:rowOff>47625</xdr:rowOff>
        </xdr:from>
        <xdr:to>
          <xdr:col>4</xdr:col>
          <xdr:colOff>0</xdr:colOff>
          <xdr:row>154</xdr:row>
          <xdr:rowOff>104775</xdr:rowOff>
        </xdr:to>
        <xdr:sp macro="" textlink="">
          <xdr:nvSpPr>
            <xdr:cNvPr id="18977" name="Check Box 208" hidden="1">
              <a:extLst>
                <a:ext uri="{63B3BB69-23CF-44E3-9099-C40C66FF867C}">
                  <a14:compatExt spid="_x0000_s18977"/>
                </a:ext>
                <a:ext uri="{FF2B5EF4-FFF2-40B4-BE49-F238E27FC236}">
                  <a16:creationId xmlns:a16="http://schemas.microsoft.com/office/drawing/2014/main" id="{00000000-0008-0000-0500-00002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409575</xdr:colOff>
      <xdr:row>170</xdr:row>
      <xdr:rowOff>38100</xdr:rowOff>
    </xdr:from>
    <xdr:to>
      <xdr:col>6</xdr:col>
      <xdr:colOff>546735</xdr:colOff>
      <xdr:row>171</xdr:row>
      <xdr:rowOff>121920</xdr:rowOff>
    </xdr:to>
    <xdr:sp macro="" textlink="">
      <xdr:nvSpPr>
        <xdr:cNvPr id="2" name="Pfeil: nach unten 1">
          <a:extLst>
            <a:ext uri="{FF2B5EF4-FFF2-40B4-BE49-F238E27FC236}">
              <a16:creationId xmlns:a16="http://schemas.microsoft.com/office/drawing/2014/main" id="{3CF1C452-1DC8-D9C2-8739-0A85ED6922A3}"/>
            </a:ext>
          </a:extLst>
        </xdr:cNvPr>
        <xdr:cNvSpPr/>
      </xdr:nvSpPr>
      <xdr:spPr>
        <a:xfrm>
          <a:off x="6734175" y="28022550"/>
          <a:ext cx="137160" cy="245745"/>
        </a:xfrm>
        <a:prstGeom prst="downArrow">
          <a:avLst/>
        </a:prstGeom>
        <a:solidFill>
          <a:schemeClr val="bg1">
            <a:lumMod val="50000"/>
          </a:schemeClr>
        </a:solidFill>
        <a:ln>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133350</xdr:colOff>
          <xdr:row>14</xdr:row>
          <xdr:rowOff>9525</xdr:rowOff>
        </xdr:from>
        <xdr:to>
          <xdr:col>1</xdr:col>
          <xdr:colOff>76200</xdr:colOff>
          <xdr:row>15</xdr:row>
          <xdr:rowOff>9525</xdr:rowOff>
        </xdr:to>
        <xdr:sp macro="" textlink="">
          <xdr:nvSpPr>
            <xdr:cNvPr id="42015" name="Drop Down 31" hidden="1">
              <a:extLst>
                <a:ext uri="{63B3BB69-23CF-44E3-9099-C40C66FF867C}">
                  <a14:compatExt spid="_x0000_s42015"/>
                </a:ext>
                <a:ext uri="{FF2B5EF4-FFF2-40B4-BE49-F238E27FC236}">
                  <a16:creationId xmlns:a16="http://schemas.microsoft.com/office/drawing/2014/main" id="{00000000-0008-0000-0800-00001FA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15</xdr:row>
          <xdr:rowOff>9525</xdr:rowOff>
        </xdr:from>
        <xdr:to>
          <xdr:col>1</xdr:col>
          <xdr:colOff>76200</xdr:colOff>
          <xdr:row>16</xdr:row>
          <xdr:rowOff>19050</xdr:rowOff>
        </xdr:to>
        <xdr:sp macro="" textlink="">
          <xdr:nvSpPr>
            <xdr:cNvPr id="42022" name="Drop Down 38" hidden="1">
              <a:extLst>
                <a:ext uri="{63B3BB69-23CF-44E3-9099-C40C66FF867C}">
                  <a14:compatExt spid="_x0000_s42022"/>
                </a:ext>
                <a:ext uri="{FF2B5EF4-FFF2-40B4-BE49-F238E27FC236}">
                  <a16:creationId xmlns:a16="http://schemas.microsoft.com/office/drawing/2014/main" id="{00000000-0008-0000-0800-000026A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16</xdr:row>
          <xdr:rowOff>9525</xdr:rowOff>
        </xdr:from>
        <xdr:to>
          <xdr:col>1</xdr:col>
          <xdr:colOff>76200</xdr:colOff>
          <xdr:row>17</xdr:row>
          <xdr:rowOff>9525</xdr:rowOff>
        </xdr:to>
        <xdr:sp macro="" textlink="">
          <xdr:nvSpPr>
            <xdr:cNvPr id="42023" name="Drop Down 39" hidden="1">
              <a:extLst>
                <a:ext uri="{63B3BB69-23CF-44E3-9099-C40C66FF867C}">
                  <a14:compatExt spid="_x0000_s42023"/>
                </a:ext>
                <a:ext uri="{FF2B5EF4-FFF2-40B4-BE49-F238E27FC236}">
                  <a16:creationId xmlns:a16="http://schemas.microsoft.com/office/drawing/2014/main" id="{00000000-0008-0000-0800-000027A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17</xdr:row>
          <xdr:rowOff>9525</xdr:rowOff>
        </xdr:from>
        <xdr:to>
          <xdr:col>1</xdr:col>
          <xdr:colOff>76200</xdr:colOff>
          <xdr:row>18</xdr:row>
          <xdr:rowOff>9525</xdr:rowOff>
        </xdr:to>
        <xdr:sp macro="" textlink="">
          <xdr:nvSpPr>
            <xdr:cNvPr id="42024" name="Drop Down 40" hidden="1">
              <a:extLst>
                <a:ext uri="{63B3BB69-23CF-44E3-9099-C40C66FF867C}">
                  <a14:compatExt spid="_x0000_s42024"/>
                </a:ext>
                <a:ext uri="{FF2B5EF4-FFF2-40B4-BE49-F238E27FC236}">
                  <a16:creationId xmlns:a16="http://schemas.microsoft.com/office/drawing/2014/main" id="{00000000-0008-0000-0800-000028A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18</xdr:row>
          <xdr:rowOff>9525</xdr:rowOff>
        </xdr:from>
        <xdr:to>
          <xdr:col>1</xdr:col>
          <xdr:colOff>76200</xdr:colOff>
          <xdr:row>19</xdr:row>
          <xdr:rowOff>9525</xdr:rowOff>
        </xdr:to>
        <xdr:sp macro="" textlink="">
          <xdr:nvSpPr>
            <xdr:cNvPr id="42025" name="Drop Down 41" hidden="1">
              <a:extLst>
                <a:ext uri="{63B3BB69-23CF-44E3-9099-C40C66FF867C}">
                  <a14:compatExt spid="_x0000_s42025"/>
                </a:ext>
                <a:ext uri="{FF2B5EF4-FFF2-40B4-BE49-F238E27FC236}">
                  <a16:creationId xmlns:a16="http://schemas.microsoft.com/office/drawing/2014/main" id="{00000000-0008-0000-0800-000029A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19</xdr:row>
          <xdr:rowOff>0</xdr:rowOff>
        </xdr:from>
        <xdr:to>
          <xdr:col>1</xdr:col>
          <xdr:colOff>76200</xdr:colOff>
          <xdr:row>20</xdr:row>
          <xdr:rowOff>0</xdr:rowOff>
        </xdr:to>
        <xdr:sp macro="" textlink="">
          <xdr:nvSpPr>
            <xdr:cNvPr id="42026" name="Drop Down 42" hidden="1">
              <a:extLst>
                <a:ext uri="{63B3BB69-23CF-44E3-9099-C40C66FF867C}">
                  <a14:compatExt spid="_x0000_s42026"/>
                </a:ext>
                <a:ext uri="{FF2B5EF4-FFF2-40B4-BE49-F238E27FC236}">
                  <a16:creationId xmlns:a16="http://schemas.microsoft.com/office/drawing/2014/main" id="{00000000-0008-0000-0800-00002AA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19</xdr:row>
          <xdr:rowOff>228600</xdr:rowOff>
        </xdr:from>
        <xdr:to>
          <xdr:col>1</xdr:col>
          <xdr:colOff>76200</xdr:colOff>
          <xdr:row>21</xdr:row>
          <xdr:rowOff>0</xdr:rowOff>
        </xdr:to>
        <xdr:sp macro="" textlink="">
          <xdr:nvSpPr>
            <xdr:cNvPr id="42027" name="Drop Down 43" hidden="1">
              <a:extLst>
                <a:ext uri="{63B3BB69-23CF-44E3-9099-C40C66FF867C}">
                  <a14:compatExt spid="_x0000_s42027"/>
                </a:ext>
                <a:ext uri="{FF2B5EF4-FFF2-40B4-BE49-F238E27FC236}">
                  <a16:creationId xmlns:a16="http://schemas.microsoft.com/office/drawing/2014/main" id="{00000000-0008-0000-0800-00002BA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15</xdr:row>
          <xdr:rowOff>9525</xdr:rowOff>
        </xdr:from>
        <xdr:to>
          <xdr:col>1</xdr:col>
          <xdr:colOff>76200</xdr:colOff>
          <xdr:row>16</xdr:row>
          <xdr:rowOff>19050</xdr:rowOff>
        </xdr:to>
        <xdr:sp macro="" textlink="">
          <xdr:nvSpPr>
            <xdr:cNvPr id="42028" name="Drop Down 44" hidden="1">
              <a:extLst>
                <a:ext uri="{63B3BB69-23CF-44E3-9099-C40C66FF867C}">
                  <a14:compatExt spid="_x0000_s42028"/>
                </a:ext>
                <a:ext uri="{FF2B5EF4-FFF2-40B4-BE49-F238E27FC236}">
                  <a16:creationId xmlns:a16="http://schemas.microsoft.com/office/drawing/2014/main" id="{00000000-0008-0000-0800-00002CA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16</xdr:row>
          <xdr:rowOff>9525</xdr:rowOff>
        </xdr:from>
        <xdr:to>
          <xdr:col>1</xdr:col>
          <xdr:colOff>76200</xdr:colOff>
          <xdr:row>17</xdr:row>
          <xdr:rowOff>9525</xdr:rowOff>
        </xdr:to>
        <xdr:sp macro="" textlink="">
          <xdr:nvSpPr>
            <xdr:cNvPr id="42029" name="Drop Down 45" hidden="1">
              <a:extLst>
                <a:ext uri="{63B3BB69-23CF-44E3-9099-C40C66FF867C}">
                  <a14:compatExt spid="_x0000_s42029"/>
                </a:ext>
                <a:ext uri="{FF2B5EF4-FFF2-40B4-BE49-F238E27FC236}">
                  <a16:creationId xmlns:a16="http://schemas.microsoft.com/office/drawing/2014/main" id="{00000000-0008-0000-0800-00002DA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17</xdr:row>
          <xdr:rowOff>9525</xdr:rowOff>
        </xdr:from>
        <xdr:to>
          <xdr:col>1</xdr:col>
          <xdr:colOff>76200</xdr:colOff>
          <xdr:row>18</xdr:row>
          <xdr:rowOff>9525</xdr:rowOff>
        </xdr:to>
        <xdr:sp macro="" textlink="">
          <xdr:nvSpPr>
            <xdr:cNvPr id="42030" name="Drop Down 46" hidden="1">
              <a:extLst>
                <a:ext uri="{63B3BB69-23CF-44E3-9099-C40C66FF867C}">
                  <a14:compatExt spid="_x0000_s42030"/>
                </a:ext>
                <a:ext uri="{FF2B5EF4-FFF2-40B4-BE49-F238E27FC236}">
                  <a16:creationId xmlns:a16="http://schemas.microsoft.com/office/drawing/2014/main" id="{00000000-0008-0000-0800-00002EA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18</xdr:row>
          <xdr:rowOff>9525</xdr:rowOff>
        </xdr:from>
        <xdr:to>
          <xdr:col>1</xdr:col>
          <xdr:colOff>76200</xdr:colOff>
          <xdr:row>19</xdr:row>
          <xdr:rowOff>9525</xdr:rowOff>
        </xdr:to>
        <xdr:sp macro="" textlink="">
          <xdr:nvSpPr>
            <xdr:cNvPr id="42031" name="Drop Down 47" hidden="1">
              <a:extLst>
                <a:ext uri="{63B3BB69-23CF-44E3-9099-C40C66FF867C}">
                  <a14:compatExt spid="_x0000_s42031"/>
                </a:ext>
                <a:ext uri="{FF2B5EF4-FFF2-40B4-BE49-F238E27FC236}">
                  <a16:creationId xmlns:a16="http://schemas.microsoft.com/office/drawing/2014/main" id="{00000000-0008-0000-0800-00002FA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19</xdr:row>
          <xdr:rowOff>9525</xdr:rowOff>
        </xdr:from>
        <xdr:to>
          <xdr:col>1</xdr:col>
          <xdr:colOff>76200</xdr:colOff>
          <xdr:row>20</xdr:row>
          <xdr:rowOff>9525</xdr:rowOff>
        </xdr:to>
        <xdr:sp macro="" textlink="">
          <xdr:nvSpPr>
            <xdr:cNvPr id="42032" name="Drop Down 48" hidden="1">
              <a:extLst>
                <a:ext uri="{63B3BB69-23CF-44E3-9099-C40C66FF867C}">
                  <a14:compatExt spid="_x0000_s42032"/>
                </a:ext>
                <a:ext uri="{FF2B5EF4-FFF2-40B4-BE49-F238E27FC236}">
                  <a16:creationId xmlns:a16="http://schemas.microsoft.com/office/drawing/2014/main" id="{00000000-0008-0000-0800-000030A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20</xdr:row>
          <xdr:rowOff>9525</xdr:rowOff>
        </xdr:from>
        <xdr:to>
          <xdr:col>1</xdr:col>
          <xdr:colOff>76200</xdr:colOff>
          <xdr:row>21</xdr:row>
          <xdr:rowOff>9525</xdr:rowOff>
        </xdr:to>
        <xdr:sp macro="" textlink="">
          <xdr:nvSpPr>
            <xdr:cNvPr id="42033" name="Drop Down 49" hidden="1">
              <a:extLst>
                <a:ext uri="{63B3BB69-23CF-44E3-9099-C40C66FF867C}">
                  <a14:compatExt spid="_x0000_s42033"/>
                </a:ext>
                <a:ext uri="{FF2B5EF4-FFF2-40B4-BE49-F238E27FC236}">
                  <a16:creationId xmlns:a16="http://schemas.microsoft.com/office/drawing/2014/main" id="{00000000-0008-0000-0800-000031A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25</xdr:col>
      <xdr:colOff>0</xdr:colOff>
      <xdr:row>0</xdr:row>
      <xdr:rowOff>0</xdr:rowOff>
    </xdr:from>
    <xdr:to>
      <xdr:col>28</xdr:col>
      <xdr:colOff>95250</xdr:colOff>
      <xdr:row>2</xdr:row>
      <xdr:rowOff>114300</xdr:rowOff>
    </xdr:to>
    <xdr:sp macro="" textlink="">
      <xdr:nvSpPr>
        <xdr:cNvPr id="12297" name="AutoShape 9">
          <a:extLst>
            <a:ext uri="{FF2B5EF4-FFF2-40B4-BE49-F238E27FC236}">
              <a16:creationId xmlns:a16="http://schemas.microsoft.com/office/drawing/2014/main" id="{00000000-0008-0000-0800-000009300000}"/>
            </a:ext>
          </a:extLst>
        </xdr:cNvPr>
        <xdr:cNvSpPr>
          <a:spLocks noChangeArrowheads="1"/>
        </xdr:cNvSpPr>
      </xdr:nvSpPr>
      <xdr:spPr bwMode="auto">
        <a:xfrm>
          <a:off x="29708475" y="0"/>
          <a:ext cx="2200275" cy="504825"/>
        </a:xfrm>
        <a:prstGeom prst="flowChartProcess">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de-AT" sz="1000" b="1" i="0" u="none" strike="noStrike" baseline="0">
              <a:solidFill>
                <a:srgbClr val="FFFF00"/>
              </a:solidFill>
              <a:latin typeface="Arial"/>
              <a:cs typeface="Arial"/>
            </a:rPr>
            <a:t>Nur zur Kalkulation der im öster-reichischen Anteil enthaltenen Stabsmitglieder geeignet!</a:t>
          </a:r>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285750</xdr:colOff>
          <xdr:row>3</xdr:row>
          <xdr:rowOff>0</xdr:rowOff>
        </xdr:from>
        <xdr:to>
          <xdr:col>7</xdr:col>
          <xdr:colOff>447675</xdr:colOff>
          <xdr:row>4</xdr:row>
          <xdr:rowOff>19050</xdr:rowOff>
        </xdr:to>
        <xdr:sp macro="" textlink="">
          <xdr:nvSpPr>
            <xdr:cNvPr id="13332" name="Check Box 20" hidden="1">
              <a:extLst>
                <a:ext uri="{63B3BB69-23CF-44E3-9099-C40C66FF867C}">
                  <a14:compatExt spid="_x0000_s13332"/>
                </a:ext>
                <a:ext uri="{FF2B5EF4-FFF2-40B4-BE49-F238E27FC236}">
                  <a16:creationId xmlns:a16="http://schemas.microsoft.com/office/drawing/2014/main" id="{00000000-0008-0000-0C00-00001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3</xdr:row>
          <xdr:rowOff>152400</xdr:rowOff>
        </xdr:from>
        <xdr:to>
          <xdr:col>7</xdr:col>
          <xdr:colOff>447675</xdr:colOff>
          <xdr:row>5</xdr:row>
          <xdr:rowOff>9525</xdr:rowOff>
        </xdr:to>
        <xdr:sp macro="" textlink="">
          <xdr:nvSpPr>
            <xdr:cNvPr id="13333" name="Check Box 21" hidden="1">
              <a:extLst>
                <a:ext uri="{63B3BB69-23CF-44E3-9099-C40C66FF867C}">
                  <a14:compatExt spid="_x0000_s13333"/>
                </a:ext>
                <a:ext uri="{FF2B5EF4-FFF2-40B4-BE49-F238E27FC236}">
                  <a16:creationId xmlns:a16="http://schemas.microsoft.com/office/drawing/2014/main" id="{00000000-0008-0000-0C00-00001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4</xdr:row>
          <xdr:rowOff>152400</xdr:rowOff>
        </xdr:from>
        <xdr:to>
          <xdr:col>7</xdr:col>
          <xdr:colOff>447675</xdr:colOff>
          <xdr:row>6</xdr:row>
          <xdr:rowOff>9525</xdr:rowOff>
        </xdr:to>
        <xdr:sp macro="" textlink="">
          <xdr:nvSpPr>
            <xdr:cNvPr id="13334" name="Check Box 22" hidden="1">
              <a:extLst>
                <a:ext uri="{63B3BB69-23CF-44E3-9099-C40C66FF867C}">
                  <a14:compatExt spid="_x0000_s13334"/>
                </a:ext>
                <a:ext uri="{FF2B5EF4-FFF2-40B4-BE49-F238E27FC236}">
                  <a16:creationId xmlns:a16="http://schemas.microsoft.com/office/drawing/2014/main" id="{00000000-0008-0000-0C00-00001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5</xdr:row>
          <xdr:rowOff>152400</xdr:rowOff>
        </xdr:from>
        <xdr:to>
          <xdr:col>7</xdr:col>
          <xdr:colOff>447675</xdr:colOff>
          <xdr:row>7</xdr:row>
          <xdr:rowOff>9525</xdr:rowOff>
        </xdr:to>
        <xdr:sp macro="" textlink="">
          <xdr:nvSpPr>
            <xdr:cNvPr id="13335" name="Check Box 23" hidden="1">
              <a:extLst>
                <a:ext uri="{63B3BB69-23CF-44E3-9099-C40C66FF867C}">
                  <a14:compatExt spid="_x0000_s13335"/>
                </a:ext>
                <a:ext uri="{FF2B5EF4-FFF2-40B4-BE49-F238E27FC236}">
                  <a16:creationId xmlns:a16="http://schemas.microsoft.com/office/drawing/2014/main" id="{00000000-0008-0000-0C00-00001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6</xdr:row>
          <xdr:rowOff>152400</xdr:rowOff>
        </xdr:from>
        <xdr:to>
          <xdr:col>7</xdr:col>
          <xdr:colOff>447675</xdr:colOff>
          <xdr:row>8</xdr:row>
          <xdr:rowOff>9525</xdr:rowOff>
        </xdr:to>
        <xdr:sp macro="" textlink="">
          <xdr:nvSpPr>
            <xdr:cNvPr id="13336" name="Check Box 24" hidden="1">
              <a:extLst>
                <a:ext uri="{63B3BB69-23CF-44E3-9099-C40C66FF867C}">
                  <a14:compatExt spid="_x0000_s13336"/>
                </a:ext>
                <a:ext uri="{FF2B5EF4-FFF2-40B4-BE49-F238E27FC236}">
                  <a16:creationId xmlns:a16="http://schemas.microsoft.com/office/drawing/2014/main" id="{00000000-0008-0000-0C00-00001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7</xdr:row>
          <xdr:rowOff>152400</xdr:rowOff>
        </xdr:from>
        <xdr:to>
          <xdr:col>7</xdr:col>
          <xdr:colOff>447675</xdr:colOff>
          <xdr:row>9</xdr:row>
          <xdr:rowOff>9525</xdr:rowOff>
        </xdr:to>
        <xdr:sp macro="" textlink="">
          <xdr:nvSpPr>
            <xdr:cNvPr id="13337" name="Check Box 25" hidden="1">
              <a:extLst>
                <a:ext uri="{63B3BB69-23CF-44E3-9099-C40C66FF867C}">
                  <a14:compatExt spid="_x0000_s13337"/>
                </a:ext>
                <a:ext uri="{FF2B5EF4-FFF2-40B4-BE49-F238E27FC236}">
                  <a16:creationId xmlns:a16="http://schemas.microsoft.com/office/drawing/2014/main" id="{00000000-0008-0000-0C00-00001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8</xdr:row>
          <xdr:rowOff>152400</xdr:rowOff>
        </xdr:from>
        <xdr:to>
          <xdr:col>7</xdr:col>
          <xdr:colOff>447675</xdr:colOff>
          <xdr:row>10</xdr:row>
          <xdr:rowOff>9525</xdr:rowOff>
        </xdr:to>
        <xdr:sp macro="" textlink="">
          <xdr:nvSpPr>
            <xdr:cNvPr id="13338" name="Check Box 26" hidden="1">
              <a:extLst>
                <a:ext uri="{63B3BB69-23CF-44E3-9099-C40C66FF867C}">
                  <a14:compatExt spid="_x0000_s13338"/>
                </a:ext>
                <a:ext uri="{FF2B5EF4-FFF2-40B4-BE49-F238E27FC236}">
                  <a16:creationId xmlns:a16="http://schemas.microsoft.com/office/drawing/2014/main" id="{00000000-0008-0000-0C00-00001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9</xdr:row>
          <xdr:rowOff>152400</xdr:rowOff>
        </xdr:from>
        <xdr:to>
          <xdr:col>7</xdr:col>
          <xdr:colOff>447675</xdr:colOff>
          <xdr:row>11</xdr:row>
          <xdr:rowOff>9525</xdr:rowOff>
        </xdr:to>
        <xdr:sp macro="" textlink="">
          <xdr:nvSpPr>
            <xdr:cNvPr id="13339" name="Check Box 27" hidden="1">
              <a:extLst>
                <a:ext uri="{63B3BB69-23CF-44E3-9099-C40C66FF867C}">
                  <a14:compatExt spid="_x0000_s13339"/>
                </a:ext>
                <a:ext uri="{FF2B5EF4-FFF2-40B4-BE49-F238E27FC236}">
                  <a16:creationId xmlns:a16="http://schemas.microsoft.com/office/drawing/2014/main" id="{00000000-0008-0000-0C00-00001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10</xdr:row>
          <xdr:rowOff>152400</xdr:rowOff>
        </xdr:from>
        <xdr:to>
          <xdr:col>7</xdr:col>
          <xdr:colOff>447675</xdr:colOff>
          <xdr:row>12</xdr:row>
          <xdr:rowOff>9525</xdr:rowOff>
        </xdr:to>
        <xdr:sp macro="" textlink="">
          <xdr:nvSpPr>
            <xdr:cNvPr id="13340" name="Check Box 28" hidden="1">
              <a:extLst>
                <a:ext uri="{63B3BB69-23CF-44E3-9099-C40C66FF867C}">
                  <a14:compatExt spid="_x0000_s13340"/>
                </a:ext>
                <a:ext uri="{FF2B5EF4-FFF2-40B4-BE49-F238E27FC236}">
                  <a16:creationId xmlns:a16="http://schemas.microsoft.com/office/drawing/2014/main" id="{00000000-0008-0000-0C00-00001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11</xdr:row>
          <xdr:rowOff>152400</xdr:rowOff>
        </xdr:from>
        <xdr:to>
          <xdr:col>7</xdr:col>
          <xdr:colOff>447675</xdr:colOff>
          <xdr:row>13</xdr:row>
          <xdr:rowOff>9525</xdr:rowOff>
        </xdr:to>
        <xdr:sp macro="" textlink="">
          <xdr:nvSpPr>
            <xdr:cNvPr id="13341" name="Check Box 29" hidden="1">
              <a:extLst>
                <a:ext uri="{63B3BB69-23CF-44E3-9099-C40C66FF867C}">
                  <a14:compatExt spid="_x0000_s13341"/>
                </a:ext>
                <a:ext uri="{FF2B5EF4-FFF2-40B4-BE49-F238E27FC236}">
                  <a16:creationId xmlns:a16="http://schemas.microsoft.com/office/drawing/2014/main" id="{00000000-0008-0000-0C00-00001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12</xdr:row>
          <xdr:rowOff>142875</xdr:rowOff>
        </xdr:from>
        <xdr:to>
          <xdr:col>7</xdr:col>
          <xdr:colOff>447675</xdr:colOff>
          <xdr:row>14</xdr:row>
          <xdr:rowOff>0</xdr:rowOff>
        </xdr:to>
        <xdr:sp macro="" textlink="">
          <xdr:nvSpPr>
            <xdr:cNvPr id="13342" name="Check Box 30" hidden="1">
              <a:extLst>
                <a:ext uri="{63B3BB69-23CF-44E3-9099-C40C66FF867C}">
                  <a14:compatExt spid="_x0000_s13342"/>
                </a:ext>
                <a:ext uri="{FF2B5EF4-FFF2-40B4-BE49-F238E27FC236}">
                  <a16:creationId xmlns:a16="http://schemas.microsoft.com/office/drawing/2014/main" id="{00000000-0008-0000-0C00-00001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13</xdr:row>
          <xdr:rowOff>142875</xdr:rowOff>
        </xdr:from>
        <xdr:to>
          <xdr:col>7</xdr:col>
          <xdr:colOff>447675</xdr:colOff>
          <xdr:row>15</xdr:row>
          <xdr:rowOff>0</xdr:rowOff>
        </xdr:to>
        <xdr:sp macro="" textlink="">
          <xdr:nvSpPr>
            <xdr:cNvPr id="13343" name="Check Box 31" hidden="1">
              <a:extLst>
                <a:ext uri="{63B3BB69-23CF-44E3-9099-C40C66FF867C}">
                  <a14:compatExt spid="_x0000_s13343"/>
                </a:ext>
                <a:ext uri="{FF2B5EF4-FFF2-40B4-BE49-F238E27FC236}">
                  <a16:creationId xmlns:a16="http://schemas.microsoft.com/office/drawing/2014/main" id="{00000000-0008-0000-0C00-00001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14</xdr:row>
          <xdr:rowOff>152400</xdr:rowOff>
        </xdr:from>
        <xdr:to>
          <xdr:col>7</xdr:col>
          <xdr:colOff>447675</xdr:colOff>
          <xdr:row>16</xdr:row>
          <xdr:rowOff>9525</xdr:rowOff>
        </xdr:to>
        <xdr:sp macro="" textlink="">
          <xdr:nvSpPr>
            <xdr:cNvPr id="13344" name="Check Box 32" hidden="1">
              <a:extLst>
                <a:ext uri="{63B3BB69-23CF-44E3-9099-C40C66FF867C}">
                  <a14:compatExt spid="_x0000_s13344"/>
                </a:ext>
                <a:ext uri="{FF2B5EF4-FFF2-40B4-BE49-F238E27FC236}">
                  <a16:creationId xmlns:a16="http://schemas.microsoft.com/office/drawing/2014/main" id="{00000000-0008-0000-0C00-00002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15</xdr:row>
          <xdr:rowOff>142875</xdr:rowOff>
        </xdr:from>
        <xdr:to>
          <xdr:col>7</xdr:col>
          <xdr:colOff>447675</xdr:colOff>
          <xdr:row>17</xdr:row>
          <xdr:rowOff>0</xdr:rowOff>
        </xdr:to>
        <xdr:sp macro="" textlink="">
          <xdr:nvSpPr>
            <xdr:cNvPr id="13345" name="Check Box 33" hidden="1">
              <a:extLst>
                <a:ext uri="{63B3BB69-23CF-44E3-9099-C40C66FF867C}">
                  <a14:compatExt spid="_x0000_s13345"/>
                </a:ext>
                <a:ext uri="{FF2B5EF4-FFF2-40B4-BE49-F238E27FC236}">
                  <a16:creationId xmlns:a16="http://schemas.microsoft.com/office/drawing/2014/main" id="{00000000-0008-0000-0C00-00002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16</xdr:row>
          <xdr:rowOff>133350</xdr:rowOff>
        </xdr:from>
        <xdr:to>
          <xdr:col>7</xdr:col>
          <xdr:colOff>447675</xdr:colOff>
          <xdr:row>17</xdr:row>
          <xdr:rowOff>152400</xdr:rowOff>
        </xdr:to>
        <xdr:sp macro="" textlink="">
          <xdr:nvSpPr>
            <xdr:cNvPr id="13346" name="Check Box 34" hidden="1">
              <a:extLst>
                <a:ext uri="{63B3BB69-23CF-44E3-9099-C40C66FF867C}">
                  <a14:compatExt spid="_x0000_s13346"/>
                </a:ext>
                <a:ext uri="{FF2B5EF4-FFF2-40B4-BE49-F238E27FC236}">
                  <a16:creationId xmlns:a16="http://schemas.microsoft.com/office/drawing/2014/main" id="{00000000-0008-0000-0C00-00002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17</xdr:row>
          <xdr:rowOff>142875</xdr:rowOff>
        </xdr:from>
        <xdr:to>
          <xdr:col>7</xdr:col>
          <xdr:colOff>447675</xdr:colOff>
          <xdr:row>19</xdr:row>
          <xdr:rowOff>0</xdr:rowOff>
        </xdr:to>
        <xdr:sp macro="" textlink="">
          <xdr:nvSpPr>
            <xdr:cNvPr id="13347" name="Check Box 35" hidden="1">
              <a:extLst>
                <a:ext uri="{63B3BB69-23CF-44E3-9099-C40C66FF867C}">
                  <a14:compatExt spid="_x0000_s13347"/>
                </a:ext>
                <a:ext uri="{FF2B5EF4-FFF2-40B4-BE49-F238E27FC236}">
                  <a16:creationId xmlns:a16="http://schemas.microsoft.com/office/drawing/2014/main" id="{00000000-0008-0000-0C00-00002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18</xdr:row>
          <xdr:rowOff>142875</xdr:rowOff>
        </xdr:from>
        <xdr:to>
          <xdr:col>7</xdr:col>
          <xdr:colOff>447675</xdr:colOff>
          <xdr:row>20</xdr:row>
          <xdr:rowOff>0</xdr:rowOff>
        </xdr:to>
        <xdr:sp macro="" textlink="">
          <xdr:nvSpPr>
            <xdr:cNvPr id="13348" name="Check Box 36" hidden="1">
              <a:extLst>
                <a:ext uri="{63B3BB69-23CF-44E3-9099-C40C66FF867C}">
                  <a14:compatExt spid="_x0000_s13348"/>
                </a:ext>
                <a:ext uri="{FF2B5EF4-FFF2-40B4-BE49-F238E27FC236}">
                  <a16:creationId xmlns:a16="http://schemas.microsoft.com/office/drawing/2014/main" id="{00000000-0008-0000-0C00-00002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19</xdr:row>
          <xdr:rowOff>152400</xdr:rowOff>
        </xdr:from>
        <xdr:to>
          <xdr:col>7</xdr:col>
          <xdr:colOff>447675</xdr:colOff>
          <xdr:row>21</xdr:row>
          <xdr:rowOff>9525</xdr:rowOff>
        </xdr:to>
        <xdr:sp macro="" textlink="">
          <xdr:nvSpPr>
            <xdr:cNvPr id="13349" name="Check Box 37" hidden="1">
              <a:extLst>
                <a:ext uri="{63B3BB69-23CF-44E3-9099-C40C66FF867C}">
                  <a14:compatExt spid="_x0000_s13349"/>
                </a:ext>
                <a:ext uri="{FF2B5EF4-FFF2-40B4-BE49-F238E27FC236}">
                  <a16:creationId xmlns:a16="http://schemas.microsoft.com/office/drawing/2014/main" id="{00000000-0008-0000-0C00-00002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20</xdr:row>
          <xdr:rowOff>152400</xdr:rowOff>
        </xdr:from>
        <xdr:to>
          <xdr:col>7</xdr:col>
          <xdr:colOff>447675</xdr:colOff>
          <xdr:row>22</xdr:row>
          <xdr:rowOff>9525</xdr:rowOff>
        </xdr:to>
        <xdr:sp macro="" textlink="">
          <xdr:nvSpPr>
            <xdr:cNvPr id="13350" name="Check Box 38" hidden="1">
              <a:extLst>
                <a:ext uri="{63B3BB69-23CF-44E3-9099-C40C66FF867C}">
                  <a14:compatExt spid="_x0000_s13350"/>
                </a:ext>
                <a:ext uri="{FF2B5EF4-FFF2-40B4-BE49-F238E27FC236}">
                  <a16:creationId xmlns:a16="http://schemas.microsoft.com/office/drawing/2014/main" id="{00000000-0008-0000-0C00-00002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21</xdr:row>
          <xdr:rowOff>152400</xdr:rowOff>
        </xdr:from>
        <xdr:to>
          <xdr:col>7</xdr:col>
          <xdr:colOff>447675</xdr:colOff>
          <xdr:row>23</xdr:row>
          <xdr:rowOff>9525</xdr:rowOff>
        </xdr:to>
        <xdr:sp macro="" textlink="">
          <xdr:nvSpPr>
            <xdr:cNvPr id="13351" name="Check Box 39" hidden="1">
              <a:extLst>
                <a:ext uri="{63B3BB69-23CF-44E3-9099-C40C66FF867C}">
                  <a14:compatExt spid="_x0000_s13351"/>
                </a:ext>
                <a:ext uri="{FF2B5EF4-FFF2-40B4-BE49-F238E27FC236}">
                  <a16:creationId xmlns:a16="http://schemas.microsoft.com/office/drawing/2014/main" id="{00000000-0008-0000-0C00-00002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22</xdr:row>
          <xdr:rowOff>152400</xdr:rowOff>
        </xdr:from>
        <xdr:to>
          <xdr:col>7</xdr:col>
          <xdr:colOff>447675</xdr:colOff>
          <xdr:row>24</xdr:row>
          <xdr:rowOff>9525</xdr:rowOff>
        </xdr:to>
        <xdr:sp macro="" textlink="">
          <xdr:nvSpPr>
            <xdr:cNvPr id="13352" name="Check Box 40" hidden="1">
              <a:extLst>
                <a:ext uri="{63B3BB69-23CF-44E3-9099-C40C66FF867C}">
                  <a14:compatExt spid="_x0000_s13352"/>
                </a:ext>
                <a:ext uri="{FF2B5EF4-FFF2-40B4-BE49-F238E27FC236}">
                  <a16:creationId xmlns:a16="http://schemas.microsoft.com/office/drawing/2014/main" id="{00000000-0008-0000-0C00-00002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23</xdr:row>
          <xdr:rowOff>142875</xdr:rowOff>
        </xdr:from>
        <xdr:to>
          <xdr:col>7</xdr:col>
          <xdr:colOff>447675</xdr:colOff>
          <xdr:row>25</xdr:row>
          <xdr:rowOff>0</xdr:rowOff>
        </xdr:to>
        <xdr:sp macro="" textlink="">
          <xdr:nvSpPr>
            <xdr:cNvPr id="13353" name="Check Box 41" hidden="1">
              <a:extLst>
                <a:ext uri="{63B3BB69-23CF-44E3-9099-C40C66FF867C}">
                  <a14:compatExt spid="_x0000_s13353"/>
                </a:ext>
                <a:ext uri="{FF2B5EF4-FFF2-40B4-BE49-F238E27FC236}">
                  <a16:creationId xmlns:a16="http://schemas.microsoft.com/office/drawing/2014/main" id="{00000000-0008-0000-0C00-00002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24</xdr:row>
          <xdr:rowOff>152400</xdr:rowOff>
        </xdr:from>
        <xdr:to>
          <xdr:col>7</xdr:col>
          <xdr:colOff>447675</xdr:colOff>
          <xdr:row>26</xdr:row>
          <xdr:rowOff>9525</xdr:rowOff>
        </xdr:to>
        <xdr:sp macro="" textlink="">
          <xdr:nvSpPr>
            <xdr:cNvPr id="13354" name="Check Box 42" hidden="1">
              <a:extLst>
                <a:ext uri="{63B3BB69-23CF-44E3-9099-C40C66FF867C}">
                  <a14:compatExt spid="_x0000_s13354"/>
                </a:ext>
                <a:ext uri="{FF2B5EF4-FFF2-40B4-BE49-F238E27FC236}">
                  <a16:creationId xmlns:a16="http://schemas.microsoft.com/office/drawing/2014/main" id="{00000000-0008-0000-0C00-00002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25</xdr:row>
          <xdr:rowOff>152400</xdr:rowOff>
        </xdr:from>
        <xdr:to>
          <xdr:col>7</xdr:col>
          <xdr:colOff>447675</xdr:colOff>
          <xdr:row>27</xdr:row>
          <xdr:rowOff>9525</xdr:rowOff>
        </xdr:to>
        <xdr:sp macro="" textlink="">
          <xdr:nvSpPr>
            <xdr:cNvPr id="13355" name="Check Box 43" hidden="1">
              <a:extLst>
                <a:ext uri="{63B3BB69-23CF-44E3-9099-C40C66FF867C}">
                  <a14:compatExt spid="_x0000_s13355"/>
                </a:ext>
                <a:ext uri="{FF2B5EF4-FFF2-40B4-BE49-F238E27FC236}">
                  <a16:creationId xmlns:a16="http://schemas.microsoft.com/office/drawing/2014/main" id="{00000000-0008-0000-0C00-00002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26</xdr:row>
          <xdr:rowOff>152400</xdr:rowOff>
        </xdr:from>
        <xdr:to>
          <xdr:col>7</xdr:col>
          <xdr:colOff>447675</xdr:colOff>
          <xdr:row>28</xdr:row>
          <xdr:rowOff>9525</xdr:rowOff>
        </xdr:to>
        <xdr:sp macro="" textlink="">
          <xdr:nvSpPr>
            <xdr:cNvPr id="13356" name="Check Box 44" hidden="1">
              <a:extLst>
                <a:ext uri="{63B3BB69-23CF-44E3-9099-C40C66FF867C}">
                  <a14:compatExt spid="_x0000_s13356"/>
                </a:ext>
                <a:ext uri="{FF2B5EF4-FFF2-40B4-BE49-F238E27FC236}">
                  <a16:creationId xmlns:a16="http://schemas.microsoft.com/office/drawing/2014/main" id="{00000000-0008-0000-0C00-00002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27</xdr:row>
          <xdr:rowOff>152400</xdr:rowOff>
        </xdr:from>
        <xdr:to>
          <xdr:col>7</xdr:col>
          <xdr:colOff>447675</xdr:colOff>
          <xdr:row>29</xdr:row>
          <xdr:rowOff>9525</xdr:rowOff>
        </xdr:to>
        <xdr:sp macro="" textlink="">
          <xdr:nvSpPr>
            <xdr:cNvPr id="13357" name="Check Box 45" hidden="1">
              <a:extLst>
                <a:ext uri="{63B3BB69-23CF-44E3-9099-C40C66FF867C}">
                  <a14:compatExt spid="_x0000_s13357"/>
                </a:ext>
                <a:ext uri="{FF2B5EF4-FFF2-40B4-BE49-F238E27FC236}">
                  <a16:creationId xmlns:a16="http://schemas.microsoft.com/office/drawing/2014/main" id="{00000000-0008-0000-0C00-00002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28</xdr:row>
          <xdr:rowOff>152400</xdr:rowOff>
        </xdr:from>
        <xdr:to>
          <xdr:col>7</xdr:col>
          <xdr:colOff>447675</xdr:colOff>
          <xdr:row>30</xdr:row>
          <xdr:rowOff>9525</xdr:rowOff>
        </xdr:to>
        <xdr:sp macro="" textlink="">
          <xdr:nvSpPr>
            <xdr:cNvPr id="13358" name="Check Box 46" hidden="1">
              <a:extLst>
                <a:ext uri="{63B3BB69-23CF-44E3-9099-C40C66FF867C}">
                  <a14:compatExt spid="_x0000_s13358"/>
                </a:ext>
                <a:ext uri="{FF2B5EF4-FFF2-40B4-BE49-F238E27FC236}">
                  <a16:creationId xmlns:a16="http://schemas.microsoft.com/office/drawing/2014/main" id="{00000000-0008-0000-0C00-00002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29</xdr:row>
          <xdr:rowOff>152400</xdr:rowOff>
        </xdr:from>
        <xdr:to>
          <xdr:col>7</xdr:col>
          <xdr:colOff>447675</xdr:colOff>
          <xdr:row>31</xdr:row>
          <xdr:rowOff>9525</xdr:rowOff>
        </xdr:to>
        <xdr:sp macro="" textlink="">
          <xdr:nvSpPr>
            <xdr:cNvPr id="13359" name="Check Box 47" hidden="1">
              <a:extLst>
                <a:ext uri="{63B3BB69-23CF-44E3-9099-C40C66FF867C}">
                  <a14:compatExt spid="_x0000_s13359"/>
                </a:ext>
                <a:ext uri="{FF2B5EF4-FFF2-40B4-BE49-F238E27FC236}">
                  <a16:creationId xmlns:a16="http://schemas.microsoft.com/office/drawing/2014/main" id="{00000000-0008-0000-0C00-00002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30</xdr:row>
          <xdr:rowOff>152400</xdr:rowOff>
        </xdr:from>
        <xdr:to>
          <xdr:col>7</xdr:col>
          <xdr:colOff>447675</xdr:colOff>
          <xdr:row>32</xdr:row>
          <xdr:rowOff>9525</xdr:rowOff>
        </xdr:to>
        <xdr:sp macro="" textlink="">
          <xdr:nvSpPr>
            <xdr:cNvPr id="13360" name="Check Box 48" hidden="1">
              <a:extLst>
                <a:ext uri="{63B3BB69-23CF-44E3-9099-C40C66FF867C}">
                  <a14:compatExt spid="_x0000_s13360"/>
                </a:ext>
                <a:ext uri="{FF2B5EF4-FFF2-40B4-BE49-F238E27FC236}">
                  <a16:creationId xmlns:a16="http://schemas.microsoft.com/office/drawing/2014/main" id="{00000000-0008-0000-0C00-00003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31</xdr:row>
          <xdr:rowOff>152400</xdr:rowOff>
        </xdr:from>
        <xdr:to>
          <xdr:col>7</xdr:col>
          <xdr:colOff>447675</xdr:colOff>
          <xdr:row>33</xdr:row>
          <xdr:rowOff>9525</xdr:rowOff>
        </xdr:to>
        <xdr:sp macro="" textlink="">
          <xdr:nvSpPr>
            <xdr:cNvPr id="13361" name="Check Box 49" hidden="1">
              <a:extLst>
                <a:ext uri="{63B3BB69-23CF-44E3-9099-C40C66FF867C}">
                  <a14:compatExt spid="_x0000_s13361"/>
                </a:ext>
                <a:ext uri="{FF2B5EF4-FFF2-40B4-BE49-F238E27FC236}">
                  <a16:creationId xmlns:a16="http://schemas.microsoft.com/office/drawing/2014/main" id="{00000000-0008-0000-0C00-00003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32</xdr:row>
          <xdr:rowOff>152400</xdr:rowOff>
        </xdr:from>
        <xdr:to>
          <xdr:col>7</xdr:col>
          <xdr:colOff>447675</xdr:colOff>
          <xdr:row>34</xdr:row>
          <xdr:rowOff>9525</xdr:rowOff>
        </xdr:to>
        <xdr:sp macro="" textlink="">
          <xdr:nvSpPr>
            <xdr:cNvPr id="13362" name="Check Box 50" hidden="1">
              <a:extLst>
                <a:ext uri="{63B3BB69-23CF-44E3-9099-C40C66FF867C}">
                  <a14:compatExt spid="_x0000_s13362"/>
                </a:ext>
                <a:ext uri="{FF2B5EF4-FFF2-40B4-BE49-F238E27FC236}">
                  <a16:creationId xmlns:a16="http://schemas.microsoft.com/office/drawing/2014/main" id="{00000000-0008-0000-0C00-00003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33</xdr:row>
          <xdr:rowOff>152400</xdr:rowOff>
        </xdr:from>
        <xdr:to>
          <xdr:col>7</xdr:col>
          <xdr:colOff>447675</xdr:colOff>
          <xdr:row>35</xdr:row>
          <xdr:rowOff>9525</xdr:rowOff>
        </xdr:to>
        <xdr:sp macro="" textlink="">
          <xdr:nvSpPr>
            <xdr:cNvPr id="13363" name="Check Box 51" hidden="1">
              <a:extLst>
                <a:ext uri="{63B3BB69-23CF-44E3-9099-C40C66FF867C}">
                  <a14:compatExt spid="_x0000_s13363"/>
                </a:ext>
                <a:ext uri="{FF2B5EF4-FFF2-40B4-BE49-F238E27FC236}">
                  <a16:creationId xmlns:a16="http://schemas.microsoft.com/office/drawing/2014/main" id="{00000000-0008-0000-0C00-00003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34</xdr:row>
          <xdr:rowOff>152400</xdr:rowOff>
        </xdr:from>
        <xdr:to>
          <xdr:col>7</xdr:col>
          <xdr:colOff>447675</xdr:colOff>
          <xdr:row>36</xdr:row>
          <xdr:rowOff>9525</xdr:rowOff>
        </xdr:to>
        <xdr:sp macro="" textlink="">
          <xdr:nvSpPr>
            <xdr:cNvPr id="13364" name="Check Box 52" hidden="1">
              <a:extLst>
                <a:ext uri="{63B3BB69-23CF-44E3-9099-C40C66FF867C}">
                  <a14:compatExt spid="_x0000_s13364"/>
                </a:ext>
                <a:ext uri="{FF2B5EF4-FFF2-40B4-BE49-F238E27FC236}">
                  <a16:creationId xmlns:a16="http://schemas.microsoft.com/office/drawing/2014/main" id="{00000000-0008-0000-0C00-00003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35</xdr:row>
          <xdr:rowOff>142875</xdr:rowOff>
        </xdr:from>
        <xdr:to>
          <xdr:col>7</xdr:col>
          <xdr:colOff>447675</xdr:colOff>
          <xdr:row>37</xdr:row>
          <xdr:rowOff>0</xdr:rowOff>
        </xdr:to>
        <xdr:sp macro="" textlink="">
          <xdr:nvSpPr>
            <xdr:cNvPr id="13365" name="Check Box 53" hidden="1">
              <a:extLst>
                <a:ext uri="{63B3BB69-23CF-44E3-9099-C40C66FF867C}">
                  <a14:compatExt spid="_x0000_s13365"/>
                </a:ext>
                <a:ext uri="{FF2B5EF4-FFF2-40B4-BE49-F238E27FC236}">
                  <a16:creationId xmlns:a16="http://schemas.microsoft.com/office/drawing/2014/main" id="{00000000-0008-0000-0C00-00003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36</xdr:row>
          <xdr:rowOff>142875</xdr:rowOff>
        </xdr:from>
        <xdr:to>
          <xdr:col>7</xdr:col>
          <xdr:colOff>447675</xdr:colOff>
          <xdr:row>38</xdr:row>
          <xdr:rowOff>0</xdr:rowOff>
        </xdr:to>
        <xdr:sp macro="" textlink="">
          <xdr:nvSpPr>
            <xdr:cNvPr id="13366" name="Check Box 54" hidden="1">
              <a:extLst>
                <a:ext uri="{63B3BB69-23CF-44E3-9099-C40C66FF867C}">
                  <a14:compatExt spid="_x0000_s13366"/>
                </a:ext>
                <a:ext uri="{FF2B5EF4-FFF2-40B4-BE49-F238E27FC236}">
                  <a16:creationId xmlns:a16="http://schemas.microsoft.com/office/drawing/2014/main" id="{00000000-0008-0000-0C00-00003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37</xdr:row>
          <xdr:rowOff>142875</xdr:rowOff>
        </xdr:from>
        <xdr:to>
          <xdr:col>7</xdr:col>
          <xdr:colOff>447675</xdr:colOff>
          <xdr:row>39</xdr:row>
          <xdr:rowOff>0</xdr:rowOff>
        </xdr:to>
        <xdr:sp macro="" textlink="">
          <xdr:nvSpPr>
            <xdr:cNvPr id="13367" name="Check Box 55" hidden="1">
              <a:extLst>
                <a:ext uri="{63B3BB69-23CF-44E3-9099-C40C66FF867C}">
                  <a14:compatExt spid="_x0000_s13367"/>
                </a:ext>
                <a:ext uri="{FF2B5EF4-FFF2-40B4-BE49-F238E27FC236}">
                  <a16:creationId xmlns:a16="http://schemas.microsoft.com/office/drawing/2014/main" id="{00000000-0008-0000-0C00-00003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38</xdr:row>
          <xdr:rowOff>152400</xdr:rowOff>
        </xdr:from>
        <xdr:to>
          <xdr:col>7</xdr:col>
          <xdr:colOff>447675</xdr:colOff>
          <xdr:row>40</xdr:row>
          <xdr:rowOff>9525</xdr:rowOff>
        </xdr:to>
        <xdr:sp macro="" textlink="">
          <xdr:nvSpPr>
            <xdr:cNvPr id="13368" name="Check Box 56" hidden="1">
              <a:extLst>
                <a:ext uri="{63B3BB69-23CF-44E3-9099-C40C66FF867C}">
                  <a14:compatExt spid="_x0000_s13368"/>
                </a:ext>
                <a:ext uri="{FF2B5EF4-FFF2-40B4-BE49-F238E27FC236}">
                  <a16:creationId xmlns:a16="http://schemas.microsoft.com/office/drawing/2014/main" id="{00000000-0008-0000-0C00-00003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39</xdr:row>
          <xdr:rowOff>152400</xdr:rowOff>
        </xdr:from>
        <xdr:to>
          <xdr:col>7</xdr:col>
          <xdr:colOff>447675</xdr:colOff>
          <xdr:row>41</xdr:row>
          <xdr:rowOff>9525</xdr:rowOff>
        </xdr:to>
        <xdr:sp macro="" textlink="">
          <xdr:nvSpPr>
            <xdr:cNvPr id="13369" name="Check Box 57" hidden="1">
              <a:extLst>
                <a:ext uri="{63B3BB69-23CF-44E3-9099-C40C66FF867C}">
                  <a14:compatExt spid="_x0000_s13369"/>
                </a:ext>
                <a:ext uri="{FF2B5EF4-FFF2-40B4-BE49-F238E27FC236}">
                  <a16:creationId xmlns:a16="http://schemas.microsoft.com/office/drawing/2014/main" id="{00000000-0008-0000-0C00-00003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40</xdr:row>
          <xdr:rowOff>152400</xdr:rowOff>
        </xdr:from>
        <xdr:to>
          <xdr:col>7</xdr:col>
          <xdr:colOff>447675</xdr:colOff>
          <xdr:row>42</xdr:row>
          <xdr:rowOff>9525</xdr:rowOff>
        </xdr:to>
        <xdr:sp macro="" textlink="">
          <xdr:nvSpPr>
            <xdr:cNvPr id="13370" name="Check Box 58" hidden="1">
              <a:extLst>
                <a:ext uri="{63B3BB69-23CF-44E3-9099-C40C66FF867C}">
                  <a14:compatExt spid="_x0000_s13370"/>
                </a:ext>
                <a:ext uri="{FF2B5EF4-FFF2-40B4-BE49-F238E27FC236}">
                  <a16:creationId xmlns:a16="http://schemas.microsoft.com/office/drawing/2014/main" id="{00000000-0008-0000-0C00-00003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41</xdr:row>
          <xdr:rowOff>152400</xdr:rowOff>
        </xdr:from>
        <xdr:to>
          <xdr:col>7</xdr:col>
          <xdr:colOff>447675</xdr:colOff>
          <xdr:row>43</xdr:row>
          <xdr:rowOff>9525</xdr:rowOff>
        </xdr:to>
        <xdr:sp macro="" textlink="">
          <xdr:nvSpPr>
            <xdr:cNvPr id="13371" name="Check Box 59" hidden="1">
              <a:extLst>
                <a:ext uri="{63B3BB69-23CF-44E3-9099-C40C66FF867C}">
                  <a14:compatExt spid="_x0000_s13371"/>
                </a:ext>
                <a:ext uri="{FF2B5EF4-FFF2-40B4-BE49-F238E27FC236}">
                  <a16:creationId xmlns:a16="http://schemas.microsoft.com/office/drawing/2014/main" id="{00000000-0008-0000-0C00-00003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42</xdr:row>
          <xdr:rowOff>152400</xdr:rowOff>
        </xdr:from>
        <xdr:to>
          <xdr:col>7</xdr:col>
          <xdr:colOff>447675</xdr:colOff>
          <xdr:row>44</xdr:row>
          <xdr:rowOff>9525</xdr:rowOff>
        </xdr:to>
        <xdr:sp macro="" textlink="">
          <xdr:nvSpPr>
            <xdr:cNvPr id="13372" name="Check Box 60" hidden="1">
              <a:extLst>
                <a:ext uri="{63B3BB69-23CF-44E3-9099-C40C66FF867C}">
                  <a14:compatExt spid="_x0000_s13372"/>
                </a:ext>
                <a:ext uri="{FF2B5EF4-FFF2-40B4-BE49-F238E27FC236}">
                  <a16:creationId xmlns:a16="http://schemas.microsoft.com/office/drawing/2014/main" id="{00000000-0008-0000-0C00-00003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43</xdr:row>
          <xdr:rowOff>152400</xdr:rowOff>
        </xdr:from>
        <xdr:to>
          <xdr:col>7</xdr:col>
          <xdr:colOff>447675</xdr:colOff>
          <xdr:row>45</xdr:row>
          <xdr:rowOff>9525</xdr:rowOff>
        </xdr:to>
        <xdr:sp macro="" textlink="">
          <xdr:nvSpPr>
            <xdr:cNvPr id="13373" name="Check Box 61" hidden="1">
              <a:extLst>
                <a:ext uri="{63B3BB69-23CF-44E3-9099-C40C66FF867C}">
                  <a14:compatExt spid="_x0000_s13373"/>
                </a:ext>
                <a:ext uri="{FF2B5EF4-FFF2-40B4-BE49-F238E27FC236}">
                  <a16:creationId xmlns:a16="http://schemas.microsoft.com/office/drawing/2014/main" id="{00000000-0008-0000-0C00-00003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44</xdr:row>
          <xdr:rowOff>152400</xdr:rowOff>
        </xdr:from>
        <xdr:to>
          <xdr:col>7</xdr:col>
          <xdr:colOff>447675</xdr:colOff>
          <xdr:row>46</xdr:row>
          <xdr:rowOff>9525</xdr:rowOff>
        </xdr:to>
        <xdr:sp macro="" textlink="">
          <xdr:nvSpPr>
            <xdr:cNvPr id="13374" name="Check Box 62" hidden="1">
              <a:extLst>
                <a:ext uri="{63B3BB69-23CF-44E3-9099-C40C66FF867C}">
                  <a14:compatExt spid="_x0000_s13374"/>
                </a:ext>
                <a:ext uri="{FF2B5EF4-FFF2-40B4-BE49-F238E27FC236}">
                  <a16:creationId xmlns:a16="http://schemas.microsoft.com/office/drawing/2014/main" id="{00000000-0008-0000-0C00-00003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45</xdr:row>
          <xdr:rowOff>152400</xdr:rowOff>
        </xdr:from>
        <xdr:to>
          <xdr:col>7</xdr:col>
          <xdr:colOff>447675</xdr:colOff>
          <xdr:row>47</xdr:row>
          <xdr:rowOff>9525</xdr:rowOff>
        </xdr:to>
        <xdr:sp macro="" textlink="">
          <xdr:nvSpPr>
            <xdr:cNvPr id="13375" name="Check Box 63" hidden="1">
              <a:extLst>
                <a:ext uri="{63B3BB69-23CF-44E3-9099-C40C66FF867C}">
                  <a14:compatExt spid="_x0000_s13375"/>
                </a:ext>
                <a:ext uri="{FF2B5EF4-FFF2-40B4-BE49-F238E27FC236}">
                  <a16:creationId xmlns:a16="http://schemas.microsoft.com/office/drawing/2014/main" id="{00000000-0008-0000-0C00-00003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46</xdr:row>
          <xdr:rowOff>152400</xdr:rowOff>
        </xdr:from>
        <xdr:to>
          <xdr:col>7</xdr:col>
          <xdr:colOff>447675</xdr:colOff>
          <xdr:row>48</xdr:row>
          <xdr:rowOff>9525</xdr:rowOff>
        </xdr:to>
        <xdr:sp macro="" textlink="">
          <xdr:nvSpPr>
            <xdr:cNvPr id="13376" name="Check Box 64" hidden="1">
              <a:extLst>
                <a:ext uri="{63B3BB69-23CF-44E3-9099-C40C66FF867C}">
                  <a14:compatExt spid="_x0000_s13376"/>
                </a:ext>
                <a:ext uri="{FF2B5EF4-FFF2-40B4-BE49-F238E27FC236}">
                  <a16:creationId xmlns:a16="http://schemas.microsoft.com/office/drawing/2014/main" id="{00000000-0008-0000-0C00-00004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47</xdr:row>
          <xdr:rowOff>152400</xdr:rowOff>
        </xdr:from>
        <xdr:to>
          <xdr:col>7</xdr:col>
          <xdr:colOff>447675</xdr:colOff>
          <xdr:row>49</xdr:row>
          <xdr:rowOff>9525</xdr:rowOff>
        </xdr:to>
        <xdr:sp macro="" textlink="">
          <xdr:nvSpPr>
            <xdr:cNvPr id="13377" name="Check Box 65" hidden="1">
              <a:extLst>
                <a:ext uri="{63B3BB69-23CF-44E3-9099-C40C66FF867C}">
                  <a14:compatExt spid="_x0000_s13377"/>
                </a:ext>
                <a:ext uri="{FF2B5EF4-FFF2-40B4-BE49-F238E27FC236}">
                  <a16:creationId xmlns:a16="http://schemas.microsoft.com/office/drawing/2014/main" id="{00000000-0008-0000-0C00-00004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48</xdr:row>
          <xdr:rowOff>152400</xdr:rowOff>
        </xdr:from>
        <xdr:to>
          <xdr:col>7</xdr:col>
          <xdr:colOff>447675</xdr:colOff>
          <xdr:row>50</xdr:row>
          <xdr:rowOff>9525</xdr:rowOff>
        </xdr:to>
        <xdr:sp macro="" textlink="">
          <xdr:nvSpPr>
            <xdr:cNvPr id="13378" name="Check Box 66" hidden="1">
              <a:extLst>
                <a:ext uri="{63B3BB69-23CF-44E3-9099-C40C66FF867C}">
                  <a14:compatExt spid="_x0000_s13378"/>
                </a:ext>
                <a:ext uri="{FF2B5EF4-FFF2-40B4-BE49-F238E27FC236}">
                  <a16:creationId xmlns:a16="http://schemas.microsoft.com/office/drawing/2014/main" id="{00000000-0008-0000-0C00-00004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49</xdr:row>
          <xdr:rowOff>152400</xdr:rowOff>
        </xdr:from>
        <xdr:to>
          <xdr:col>7</xdr:col>
          <xdr:colOff>447675</xdr:colOff>
          <xdr:row>51</xdr:row>
          <xdr:rowOff>9525</xdr:rowOff>
        </xdr:to>
        <xdr:sp macro="" textlink="">
          <xdr:nvSpPr>
            <xdr:cNvPr id="13379" name="Check Box 67" hidden="1">
              <a:extLst>
                <a:ext uri="{63B3BB69-23CF-44E3-9099-C40C66FF867C}">
                  <a14:compatExt spid="_x0000_s13379"/>
                </a:ext>
                <a:ext uri="{FF2B5EF4-FFF2-40B4-BE49-F238E27FC236}">
                  <a16:creationId xmlns:a16="http://schemas.microsoft.com/office/drawing/2014/main" id="{00000000-0008-0000-0C00-00004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50</xdr:row>
          <xdr:rowOff>152400</xdr:rowOff>
        </xdr:from>
        <xdr:to>
          <xdr:col>7</xdr:col>
          <xdr:colOff>447675</xdr:colOff>
          <xdr:row>52</xdr:row>
          <xdr:rowOff>9525</xdr:rowOff>
        </xdr:to>
        <xdr:sp macro="" textlink="">
          <xdr:nvSpPr>
            <xdr:cNvPr id="13380" name="Check Box 68" hidden="1">
              <a:extLst>
                <a:ext uri="{63B3BB69-23CF-44E3-9099-C40C66FF867C}">
                  <a14:compatExt spid="_x0000_s13380"/>
                </a:ext>
                <a:ext uri="{FF2B5EF4-FFF2-40B4-BE49-F238E27FC236}">
                  <a16:creationId xmlns:a16="http://schemas.microsoft.com/office/drawing/2014/main" id="{00000000-0008-0000-0C00-00004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51</xdr:row>
          <xdr:rowOff>152400</xdr:rowOff>
        </xdr:from>
        <xdr:to>
          <xdr:col>7</xdr:col>
          <xdr:colOff>447675</xdr:colOff>
          <xdr:row>53</xdr:row>
          <xdr:rowOff>9525</xdr:rowOff>
        </xdr:to>
        <xdr:sp macro="" textlink="">
          <xdr:nvSpPr>
            <xdr:cNvPr id="13381" name="Check Box 69" hidden="1">
              <a:extLst>
                <a:ext uri="{63B3BB69-23CF-44E3-9099-C40C66FF867C}">
                  <a14:compatExt spid="_x0000_s13381"/>
                </a:ext>
                <a:ext uri="{FF2B5EF4-FFF2-40B4-BE49-F238E27FC236}">
                  <a16:creationId xmlns:a16="http://schemas.microsoft.com/office/drawing/2014/main" id="{00000000-0008-0000-0C00-00004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editAs="oneCell">
    <xdr:from>
      <xdr:col>0</xdr:col>
      <xdr:colOff>66675</xdr:colOff>
      <xdr:row>13</xdr:row>
      <xdr:rowOff>19687</xdr:rowOff>
    </xdr:from>
    <xdr:to>
      <xdr:col>4</xdr:col>
      <xdr:colOff>619124</xdr:colOff>
      <xdr:row>59</xdr:row>
      <xdr:rowOff>190500</xdr:rowOff>
    </xdr:to>
    <xdr:pic>
      <xdr:nvPicPr>
        <xdr:cNvPr id="3" name="Grafik 2">
          <a:extLst>
            <a:ext uri="{FF2B5EF4-FFF2-40B4-BE49-F238E27FC236}">
              <a16:creationId xmlns:a16="http://schemas.microsoft.com/office/drawing/2014/main" id="{B9AA9292-AAF6-C63D-F01C-01F6C80839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2867662"/>
          <a:ext cx="6248399" cy="105530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304238</xdr:colOff>
      <xdr:row>49</xdr:row>
      <xdr:rowOff>132342</xdr:rowOff>
    </xdr:to>
    <xdr:pic>
      <xdr:nvPicPr>
        <xdr:cNvPr id="2" name="Grafik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0" y="0"/>
          <a:ext cx="4495238" cy="8066667"/>
        </a:xfrm>
        <a:prstGeom prst="rect">
          <a:avLst/>
        </a:prstGeom>
      </xdr:spPr>
    </xdr:pic>
    <xdr:clientData/>
  </xdr:twoCellAnchor>
  <xdr:twoCellAnchor editAs="oneCell">
    <xdr:from>
      <xdr:col>5</xdr:col>
      <xdr:colOff>390525</xdr:colOff>
      <xdr:row>1</xdr:row>
      <xdr:rowOff>28575</xdr:rowOff>
    </xdr:from>
    <xdr:to>
      <xdr:col>10</xdr:col>
      <xdr:colOff>704287</xdr:colOff>
      <xdr:row>49</xdr:row>
      <xdr:rowOff>122842</xdr:rowOff>
    </xdr:to>
    <xdr:pic>
      <xdr:nvPicPr>
        <xdr:cNvPr id="3" name="Grafik 2">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2"/>
        <a:stretch>
          <a:fillRect/>
        </a:stretch>
      </xdr:blipFill>
      <xdr:spPr>
        <a:xfrm>
          <a:off x="4581525" y="190500"/>
          <a:ext cx="4504762" cy="7866667"/>
        </a:xfrm>
        <a:prstGeom prst="rect">
          <a:avLst/>
        </a:prstGeom>
      </xdr:spPr>
    </xdr:pic>
    <xdr:clientData/>
  </xdr:twoCellAnchor>
  <xdr:twoCellAnchor editAs="oneCell">
    <xdr:from>
      <xdr:col>10</xdr:col>
      <xdr:colOff>800100</xdr:colOff>
      <xdr:row>1</xdr:row>
      <xdr:rowOff>28575</xdr:rowOff>
    </xdr:from>
    <xdr:to>
      <xdr:col>16</xdr:col>
      <xdr:colOff>285186</xdr:colOff>
      <xdr:row>49</xdr:row>
      <xdr:rowOff>122842</xdr:rowOff>
    </xdr:to>
    <xdr:pic>
      <xdr:nvPicPr>
        <xdr:cNvPr id="4" name="Grafik 3">
          <a:extLst>
            <a:ext uri="{FF2B5EF4-FFF2-40B4-BE49-F238E27FC236}">
              <a16:creationId xmlns:a16="http://schemas.microsoft.com/office/drawing/2014/main" id="{00000000-0008-0000-1000-000004000000}"/>
            </a:ext>
          </a:extLst>
        </xdr:cNvPr>
        <xdr:cNvPicPr>
          <a:picLocks noChangeAspect="1"/>
        </xdr:cNvPicPr>
      </xdr:nvPicPr>
      <xdr:blipFill>
        <a:blip xmlns:r="http://schemas.openxmlformats.org/officeDocument/2006/relationships" r:embed="rId3"/>
        <a:stretch>
          <a:fillRect/>
        </a:stretch>
      </xdr:blipFill>
      <xdr:spPr>
        <a:xfrm>
          <a:off x="9182100" y="190500"/>
          <a:ext cx="4514286" cy="7866667"/>
        </a:xfrm>
        <a:prstGeom prst="rect">
          <a:avLst/>
        </a:prstGeom>
      </xdr:spPr>
    </xdr:pic>
    <xdr:clientData/>
  </xdr:twoCellAnchor>
  <xdr:twoCellAnchor editAs="oneCell">
    <xdr:from>
      <xdr:col>16</xdr:col>
      <xdr:colOff>371475</xdr:colOff>
      <xdr:row>1</xdr:row>
      <xdr:rowOff>38100</xdr:rowOff>
    </xdr:from>
    <xdr:to>
      <xdr:col>21</xdr:col>
      <xdr:colOff>694761</xdr:colOff>
      <xdr:row>24</xdr:row>
      <xdr:rowOff>132873</xdr:rowOff>
    </xdr:to>
    <xdr:pic>
      <xdr:nvPicPr>
        <xdr:cNvPr id="5" name="Grafik 4">
          <a:extLst>
            <a:ext uri="{FF2B5EF4-FFF2-40B4-BE49-F238E27FC236}">
              <a16:creationId xmlns:a16="http://schemas.microsoft.com/office/drawing/2014/main" id="{00000000-0008-0000-1000-000005000000}"/>
            </a:ext>
          </a:extLst>
        </xdr:cNvPr>
        <xdr:cNvPicPr>
          <a:picLocks noChangeAspect="1"/>
        </xdr:cNvPicPr>
      </xdr:nvPicPr>
      <xdr:blipFill>
        <a:blip xmlns:r="http://schemas.openxmlformats.org/officeDocument/2006/relationships" r:embed="rId4"/>
        <a:stretch>
          <a:fillRect/>
        </a:stretch>
      </xdr:blipFill>
      <xdr:spPr>
        <a:xfrm>
          <a:off x="13782675" y="200025"/>
          <a:ext cx="4514286" cy="3819048"/>
        </a:xfrm>
        <a:prstGeom prst="rect">
          <a:avLst/>
        </a:prstGeom>
      </xdr:spPr>
    </xdr:pic>
    <xdr:clientData/>
  </xdr:twoCellAnchor>
  <xdr:twoCellAnchor>
    <xdr:from>
      <xdr:col>3</xdr:col>
      <xdr:colOff>549897</xdr:colOff>
      <xdr:row>3</xdr:row>
      <xdr:rowOff>58918</xdr:rowOff>
    </xdr:from>
    <xdr:to>
      <xdr:col>4</xdr:col>
      <xdr:colOff>225850</xdr:colOff>
      <xdr:row>5</xdr:row>
      <xdr:rowOff>108015</xdr:rowOff>
    </xdr:to>
    <xdr:sp macro="" textlink="">
      <xdr:nvSpPr>
        <xdr:cNvPr id="6" name="Rechteck 5">
          <a:extLst>
            <a:ext uri="{FF2B5EF4-FFF2-40B4-BE49-F238E27FC236}">
              <a16:creationId xmlns:a16="http://schemas.microsoft.com/office/drawing/2014/main" id="{00000000-0008-0000-1000-000006000000}"/>
            </a:ext>
          </a:extLst>
        </xdr:cNvPr>
        <xdr:cNvSpPr/>
      </xdr:nvSpPr>
      <xdr:spPr>
        <a:xfrm>
          <a:off x="3053892" y="530258"/>
          <a:ext cx="510618" cy="363324"/>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oneCellAnchor>
    <xdr:from>
      <xdr:col>2</xdr:col>
      <xdr:colOff>628454</xdr:colOff>
      <xdr:row>3</xdr:row>
      <xdr:rowOff>78556</xdr:rowOff>
    </xdr:from>
    <xdr:ext cx="447367" cy="374077"/>
    <xdr:sp macro="" textlink="">
      <xdr:nvSpPr>
        <xdr:cNvPr id="7" name="Textfeld 6">
          <a:extLst>
            <a:ext uri="{FF2B5EF4-FFF2-40B4-BE49-F238E27FC236}">
              <a16:creationId xmlns:a16="http://schemas.microsoft.com/office/drawing/2014/main" id="{00000000-0008-0000-1000-000007000000}"/>
            </a:ext>
          </a:extLst>
        </xdr:cNvPr>
        <xdr:cNvSpPr txBox="1"/>
      </xdr:nvSpPr>
      <xdr:spPr>
        <a:xfrm>
          <a:off x="2297784" y="549896"/>
          <a:ext cx="447367" cy="3740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AT" sz="900"/>
            <a:t>30,00</a:t>
          </a:r>
        </a:p>
        <a:p>
          <a:r>
            <a:rPr lang="de-AT" sz="900"/>
            <a:t>17,00</a:t>
          </a:r>
        </a:p>
      </xdr:txBody>
    </xdr:sp>
    <xdr:clientData/>
  </xdr:oneCellAnchor>
  <xdr:twoCellAnchor>
    <xdr:from>
      <xdr:col>3</xdr:col>
      <xdr:colOff>775747</xdr:colOff>
      <xdr:row>0</xdr:row>
      <xdr:rowOff>19639</xdr:rowOff>
    </xdr:from>
    <xdr:to>
      <xdr:col>5</xdr:col>
      <xdr:colOff>274948</xdr:colOff>
      <xdr:row>0</xdr:row>
      <xdr:rowOff>147294</xdr:rowOff>
    </xdr:to>
    <xdr:sp macro="" textlink="">
      <xdr:nvSpPr>
        <xdr:cNvPr id="8" name="Rechteck 7">
          <a:extLst>
            <a:ext uri="{FF2B5EF4-FFF2-40B4-BE49-F238E27FC236}">
              <a16:creationId xmlns:a16="http://schemas.microsoft.com/office/drawing/2014/main" id="{00000000-0008-0000-1000-000008000000}"/>
            </a:ext>
          </a:extLst>
        </xdr:cNvPr>
        <xdr:cNvSpPr/>
      </xdr:nvSpPr>
      <xdr:spPr>
        <a:xfrm>
          <a:off x="3279742" y="19639"/>
          <a:ext cx="1168531" cy="12765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filminstitut.at/green-filming/haeufig-gestellte-fragen-faq" TargetMode="External"/><Relationship Id="rId2" Type="http://schemas.openxmlformats.org/officeDocument/2006/relationships/hyperlink" Target="https://filminstitut.at/foerderportal/green-filming-foerderung" TargetMode="External"/><Relationship Id="rId1" Type="http://schemas.openxmlformats.org/officeDocument/2006/relationships/hyperlink" Target="mailto:werner.zappe@filminstitut.at"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greenfilming@filminstitut.a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6.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3" Type="http://schemas.openxmlformats.org/officeDocument/2006/relationships/ctrlProp" Target="../ctrlProps/ctrlProp121.xml"/><Relationship Id="rId18" Type="http://schemas.openxmlformats.org/officeDocument/2006/relationships/ctrlProp" Target="../ctrlProps/ctrlProp126.xml"/><Relationship Id="rId26" Type="http://schemas.openxmlformats.org/officeDocument/2006/relationships/ctrlProp" Target="../ctrlProps/ctrlProp134.xml"/><Relationship Id="rId39" Type="http://schemas.openxmlformats.org/officeDocument/2006/relationships/ctrlProp" Target="../ctrlProps/ctrlProp147.xml"/><Relationship Id="rId21" Type="http://schemas.openxmlformats.org/officeDocument/2006/relationships/ctrlProp" Target="../ctrlProps/ctrlProp129.xml"/><Relationship Id="rId34" Type="http://schemas.openxmlformats.org/officeDocument/2006/relationships/ctrlProp" Target="../ctrlProps/ctrlProp142.xml"/><Relationship Id="rId42" Type="http://schemas.openxmlformats.org/officeDocument/2006/relationships/ctrlProp" Target="../ctrlProps/ctrlProp150.xml"/><Relationship Id="rId47" Type="http://schemas.openxmlformats.org/officeDocument/2006/relationships/ctrlProp" Target="../ctrlProps/ctrlProp155.xml"/><Relationship Id="rId50" Type="http://schemas.openxmlformats.org/officeDocument/2006/relationships/ctrlProp" Target="../ctrlProps/ctrlProp158.xml"/><Relationship Id="rId7" Type="http://schemas.openxmlformats.org/officeDocument/2006/relationships/ctrlProp" Target="../ctrlProps/ctrlProp115.xml"/><Relationship Id="rId2" Type="http://schemas.openxmlformats.org/officeDocument/2006/relationships/drawing" Target="../drawings/drawing7.xml"/><Relationship Id="rId16" Type="http://schemas.openxmlformats.org/officeDocument/2006/relationships/ctrlProp" Target="../ctrlProps/ctrlProp124.xml"/><Relationship Id="rId29" Type="http://schemas.openxmlformats.org/officeDocument/2006/relationships/ctrlProp" Target="../ctrlProps/ctrlProp137.xml"/><Relationship Id="rId11" Type="http://schemas.openxmlformats.org/officeDocument/2006/relationships/ctrlProp" Target="../ctrlProps/ctrlProp119.xml"/><Relationship Id="rId24" Type="http://schemas.openxmlformats.org/officeDocument/2006/relationships/ctrlProp" Target="../ctrlProps/ctrlProp132.xml"/><Relationship Id="rId32" Type="http://schemas.openxmlformats.org/officeDocument/2006/relationships/ctrlProp" Target="../ctrlProps/ctrlProp140.xml"/><Relationship Id="rId37" Type="http://schemas.openxmlformats.org/officeDocument/2006/relationships/ctrlProp" Target="../ctrlProps/ctrlProp145.xml"/><Relationship Id="rId40" Type="http://schemas.openxmlformats.org/officeDocument/2006/relationships/ctrlProp" Target="../ctrlProps/ctrlProp148.xml"/><Relationship Id="rId45" Type="http://schemas.openxmlformats.org/officeDocument/2006/relationships/ctrlProp" Target="../ctrlProps/ctrlProp153.xml"/><Relationship Id="rId53" Type="http://schemas.openxmlformats.org/officeDocument/2006/relationships/ctrlProp" Target="../ctrlProps/ctrlProp161.xml"/><Relationship Id="rId5" Type="http://schemas.openxmlformats.org/officeDocument/2006/relationships/ctrlProp" Target="../ctrlProps/ctrlProp113.xml"/><Relationship Id="rId10" Type="http://schemas.openxmlformats.org/officeDocument/2006/relationships/ctrlProp" Target="../ctrlProps/ctrlProp118.xml"/><Relationship Id="rId19" Type="http://schemas.openxmlformats.org/officeDocument/2006/relationships/ctrlProp" Target="../ctrlProps/ctrlProp127.xml"/><Relationship Id="rId31" Type="http://schemas.openxmlformats.org/officeDocument/2006/relationships/ctrlProp" Target="../ctrlProps/ctrlProp139.xml"/><Relationship Id="rId44" Type="http://schemas.openxmlformats.org/officeDocument/2006/relationships/ctrlProp" Target="../ctrlProps/ctrlProp152.xml"/><Relationship Id="rId52" Type="http://schemas.openxmlformats.org/officeDocument/2006/relationships/ctrlProp" Target="../ctrlProps/ctrlProp160.xml"/><Relationship Id="rId4" Type="http://schemas.openxmlformats.org/officeDocument/2006/relationships/ctrlProp" Target="../ctrlProps/ctrlProp112.xml"/><Relationship Id="rId9" Type="http://schemas.openxmlformats.org/officeDocument/2006/relationships/ctrlProp" Target="../ctrlProps/ctrlProp117.xml"/><Relationship Id="rId14" Type="http://schemas.openxmlformats.org/officeDocument/2006/relationships/ctrlProp" Target="../ctrlProps/ctrlProp122.xml"/><Relationship Id="rId22" Type="http://schemas.openxmlformats.org/officeDocument/2006/relationships/ctrlProp" Target="../ctrlProps/ctrlProp130.xml"/><Relationship Id="rId27" Type="http://schemas.openxmlformats.org/officeDocument/2006/relationships/ctrlProp" Target="../ctrlProps/ctrlProp135.xml"/><Relationship Id="rId30" Type="http://schemas.openxmlformats.org/officeDocument/2006/relationships/ctrlProp" Target="../ctrlProps/ctrlProp138.xml"/><Relationship Id="rId35" Type="http://schemas.openxmlformats.org/officeDocument/2006/relationships/ctrlProp" Target="../ctrlProps/ctrlProp143.xml"/><Relationship Id="rId43" Type="http://schemas.openxmlformats.org/officeDocument/2006/relationships/ctrlProp" Target="../ctrlProps/ctrlProp151.xml"/><Relationship Id="rId48" Type="http://schemas.openxmlformats.org/officeDocument/2006/relationships/ctrlProp" Target="../ctrlProps/ctrlProp156.xml"/><Relationship Id="rId8" Type="http://schemas.openxmlformats.org/officeDocument/2006/relationships/ctrlProp" Target="../ctrlProps/ctrlProp116.xml"/><Relationship Id="rId51" Type="http://schemas.openxmlformats.org/officeDocument/2006/relationships/ctrlProp" Target="../ctrlProps/ctrlProp159.xml"/><Relationship Id="rId3" Type="http://schemas.openxmlformats.org/officeDocument/2006/relationships/vmlDrawing" Target="../drawings/vmlDrawing7.vml"/><Relationship Id="rId12" Type="http://schemas.openxmlformats.org/officeDocument/2006/relationships/ctrlProp" Target="../ctrlProps/ctrlProp120.xml"/><Relationship Id="rId17" Type="http://schemas.openxmlformats.org/officeDocument/2006/relationships/ctrlProp" Target="../ctrlProps/ctrlProp125.xml"/><Relationship Id="rId25" Type="http://schemas.openxmlformats.org/officeDocument/2006/relationships/ctrlProp" Target="../ctrlProps/ctrlProp133.xml"/><Relationship Id="rId33" Type="http://schemas.openxmlformats.org/officeDocument/2006/relationships/ctrlProp" Target="../ctrlProps/ctrlProp141.xml"/><Relationship Id="rId38" Type="http://schemas.openxmlformats.org/officeDocument/2006/relationships/ctrlProp" Target="../ctrlProps/ctrlProp146.xml"/><Relationship Id="rId46" Type="http://schemas.openxmlformats.org/officeDocument/2006/relationships/ctrlProp" Target="../ctrlProps/ctrlProp154.xml"/><Relationship Id="rId20" Type="http://schemas.openxmlformats.org/officeDocument/2006/relationships/ctrlProp" Target="../ctrlProps/ctrlProp128.xml"/><Relationship Id="rId41" Type="http://schemas.openxmlformats.org/officeDocument/2006/relationships/ctrlProp" Target="../ctrlProps/ctrlProp149.xml"/><Relationship Id="rId54" Type="http://schemas.openxmlformats.org/officeDocument/2006/relationships/comments" Target="../comments4.xml"/><Relationship Id="rId1" Type="http://schemas.openxmlformats.org/officeDocument/2006/relationships/printerSettings" Target="../printerSettings/printerSettings13.bin"/><Relationship Id="rId6" Type="http://schemas.openxmlformats.org/officeDocument/2006/relationships/ctrlProp" Target="../ctrlProps/ctrlProp114.xml"/><Relationship Id="rId15" Type="http://schemas.openxmlformats.org/officeDocument/2006/relationships/ctrlProp" Target="../ctrlProps/ctrlProp123.xml"/><Relationship Id="rId23" Type="http://schemas.openxmlformats.org/officeDocument/2006/relationships/ctrlProp" Target="../ctrlProps/ctrlProp131.xml"/><Relationship Id="rId28" Type="http://schemas.openxmlformats.org/officeDocument/2006/relationships/ctrlProp" Target="../ctrlProps/ctrlProp136.xml"/><Relationship Id="rId36" Type="http://schemas.openxmlformats.org/officeDocument/2006/relationships/ctrlProp" Target="../ctrlProps/ctrlProp144.xml"/><Relationship Id="rId49" Type="http://schemas.openxmlformats.org/officeDocument/2006/relationships/ctrlProp" Target="../ctrlProps/ctrlProp157.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21.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20.xml"/><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6" Type="http://schemas.openxmlformats.org/officeDocument/2006/relationships/ctrlProp" Target="../ctrlProps/ctrlProp44.xml"/><Relationship Id="rId21" Type="http://schemas.openxmlformats.org/officeDocument/2006/relationships/ctrlProp" Target="../ctrlProps/ctrlProp39.xml"/><Relationship Id="rId42" Type="http://schemas.openxmlformats.org/officeDocument/2006/relationships/ctrlProp" Target="../ctrlProps/ctrlProp60.xml"/><Relationship Id="rId47" Type="http://schemas.openxmlformats.org/officeDocument/2006/relationships/ctrlProp" Target="../ctrlProps/ctrlProp65.xml"/><Relationship Id="rId63" Type="http://schemas.openxmlformats.org/officeDocument/2006/relationships/ctrlProp" Target="../ctrlProps/ctrlProp81.xml"/><Relationship Id="rId68" Type="http://schemas.openxmlformats.org/officeDocument/2006/relationships/ctrlProp" Target="../ctrlProps/ctrlProp86.xml"/><Relationship Id="rId16" Type="http://schemas.openxmlformats.org/officeDocument/2006/relationships/ctrlProp" Target="../ctrlProps/ctrlProp34.xml"/><Relationship Id="rId11" Type="http://schemas.openxmlformats.org/officeDocument/2006/relationships/ctrlProp" Target="../ctrlProps/ctrlProp29.xml"/><Relationship Id="rId32" Type="http://schemas.openxmlformats.org/officeDocument/2006/relationships/ctrlProp" Target="../ctrlProps/ctrlProp50.xml"/><Relationship Id="rId37" Type="http://schemas.openxmlformats.org/officeDocument/2006/relationships/ctrlProp" Target="../ctrlProps/ctrlProp55.xml"/><Relationship Id="rId53" Type="http://schemas.openxmlformats.org/officeDocument/2006/relationships/ctrlProp" Target="../ctrlProps/ctrlProp71.xml"/><Relationship Id="rId58" Type="http://schemas.openxmlformats.org/officeDocument/2006/relationships/ctrlProp" Target="../ctrlProps/ctrlProp76.xml"/><Relationship Id="rId74" Type="http://schemas.openxmlformats.org/officeDocument/2006/relationships/ctrlProp" Target="../ctrlProps/ctrlProp92.xml"/><Relationship Id="rId79" Type="http://schemas.openxmlformats.org/officeDocument/2006/relationships/ctrlProp" Target="../ctrlProps/ctrlProp97.xml"/><Relationship Id="rId5" Type="http://schemas.openxmlformats.org/officeDocument/2006/relationships/ctrlProp" Target="../ctrlProps/ctrlProp23.xml"/><Relationship Id="rId61" Type="http://schemas.openxmlformats.org/officeDocument/2006/relationships/ctrlProp" Target="../ctrlProps/ctrlProp79.xml"/><Relationship Id="rId19" Type="http://schemas.openxmlformats.org/officeDocument/2006/relationships/ctrlProp" Target="../ctrlProps/ctrlProp37.xml"/><Relationship Id="rId14" Type="http://schemas.openxmlformats.org/officeDocument/2006/relationships/ctrlProp" Target="../ctrlProps/ctrlProp32.xml"/><Relationship Id="rId22" Type="http://schemas.openxmlformats.org/officeDocument/2006/relationships/ctrlProp" Target="../ctrlProps/ctrlProp40.xml"/><Relationship Id="rId27" Type="http://schemas.openxmlformats.org/officeDocument/2006/relationships/ctrlProp" Target="../ctrlProps/ctrlProp45.xml"/><Relationship Id="rId30" Type="http://schemas.openxmlformats.org/officeDocument/2006/relationships/ctrlProp" Target="../ctrlProps/ctrlProp48.xml"/><Relationship Id="rId35" Type="http://schemas.openxmlformats.org/officeDocument/2006/relationships/ctrlProp" Target="../ctrlProps/ctrlProp53.xml"/><Relationship Id="rId43" Type="http://schemas.openxmlformats.org/officeDocument/2006/relationships/ctrlProp" Target="../ctrlProps/ctrlProp61.xml"/><Relationship Id="rId48" Type="http://schemas.openxmlformats.org/officeDocument/2006/relationships/ctrlProp" Target="../ctrlProps/ctrlProp66.xml"/><Relationship Id="rId56" Type="http://schemas.openxmlformats.org/officeDocument/2006/relationships/ctrlProp" Target="../ctrlProps/ctrlProp74.xml"/><Relationship Id="rId64" Type="http://schemas.openxmlformats.org/officeDocument/2006/relationships/ctrlProp" Target="../ctrlProps/ctrlProp82.xml"/><Relationship Id="rId69" Type="http://schemas.openxmlformats.org/officeDocument/2006/relationships/ctrlProp" Target="../ctrlProps/ctrlProp87.xml"/><Relationship Id="rId77" Type="http://schemas.openxmlformats.org/officeDocument/2006/relationships/ctrlProp" Target="../ctrlProps/ctrlProp95.xml"/><Relationship Id="rId8" Type="http://schemas.openxmlformats.org/officeDocument/2006/relationships/ctrlProp" Target="../ctrlProps/ctrlProp26.xml"/><Relationship Id="rId51" Type="http://schemas.openxmlformats.org/officeDocument/2006/relationships/ctrlProp" Target="../ctrlProps/ctrlProp69.xml"/><Relationship Id="rId72" Type="http://schemas.openxmlformats.org/officeDocument/2006/relationships/ctrlProp" Target="../ctrlProps/ctrlProp90.xml"/><Relationship Id="rId80" Type="http://schemas.openxmlformats.org/officeDocument/2006/relationships/ctrlProp" Target="../ctrlProps/ctrlProp98.xml"/><Relationship Id="rId3" Type="http://schemas.openxmlformats.org/officeDocument/2006/relationships/vmlDrawing" Target="../drawings/vmlDrawing4.vml"/><Relationship Id="rId12" Type="http://schemas.openxmlformats.org/officeDocument/2006/relationships/ctrlProp" Target="../ctrlProps/ctrlProp30.xml"/><Relationship Id="rId17" Type="http://schemas.openxmlformats.org/officeDocument/2006/relationships/ctrlProp" Target="../ctrlProps/ctrlProp35.xml"/><Relationship Id="rId25" Type="http://schemas.openxmlformats.org/officeDocument/2006/relationships/ctrlProp" Target="../ctrlProps/ctrlProp43.xml"/><Relationship Id="rId33" Type="http://schemas.openxmlformats.org/officeDocument/2006/relationships/ctrlProp" Target="../ctrlProps/ctrlProp51.xml"/><Relationship Id="rId38" Type="http://schemas.openxmlformats.org/officeDocument/2006/relationships/ctrlProp" Target="../ctrlProps/ctrlProp56.xml"/><Relationship Id="rId46" Type="http://schemas.openxmlformats.org/officeDocument/2006/relationships/ctrlProp" Target="../ctrlProps/ctrlProp64.xml"/><Relationship Id="rId59" Type="http://schemas.openxmlformats.org/officeDocument/2006/relationships/ctrlProp" Target="../ctrlProps/ctrlProp77.xml"/><Relationship Id="rId67" Type="http://schemas.openxmlformats.org/officeDocument/2006/relationships/ctrlProp" Target="../ctrlProps/ctrlProp85.xml"/><Relationship Id="rId20" Type="http://schemas.openxmlformats.org/officeDocument/2006/relationships/ctrlProp" Target="../ctrlProps/ctrlProp38.xml"/><Relationship Id="rId41" Type="http://schemas.openxmlformats.org/officeDocument/2006/relationships/ctrlProp" Target="../ctrlProps/ctrlProp59.xml"/><Relationship Id="rId54" Type="http://schemas.openxmlformats.org/officeDocument/2006/relationships/ctrlProp" Target="../ctrlProps/ctrlProp72.xml"/><Relationship Id="rId62" Type="http://schemas.openxmlformats.org/officeDocument/2006/relationships/ctrlProp" Target="../ctrlProps/ctrlProp80.xml"/><Relationship Id="rId70" Type="http://schemas.openxmlformats.org/officeDocument/2006/relationships/ctrlProp" Target="../ctrlProps/ctrlProp88.xml"/><Relationship Id="rId75" Type="http://schemas.openxmlformats.org/officeDocument/2006/relationships/ctrlProp" Target="../ctrlProps/ctrlProp93.xml"/><Relationship Id="rId1" Type="http://schemas.openxmlformats.org/officeDocument/2006/relationships/printerSettings" Target="../printerSettings/printerSettings6.bin"/><Relationship Id="rId6" Type="http://schemas.openxmlformats.org/officeDocument/2006/relationships/ctrlProp" Target="../ctrlProps/ctrlProp24.xml"/><Relationship Id="rId15" Type="http://schemas.openxmlformats.org/officeDocument/2006/relationships/ctrlProp" Target="../ctrlProps/ctrlProp33.xml"/><Relationship Id="rId23" Type="http://schemas.openxmlformats.org/officeDocument/2006/relationships/ctrlProp" Target="../ctrlProps/ctrlProp41.xml"/><Relationship Id="rId28" Type="http://schemas.openxmlformats.org/officeDocument/2006/relationships/ctrlProp" Target="../ctrlProps/ctrlProp46.xml"/><Relationship Id="rId36" Type="http://schemas.openxmlformats.org/officeDocument/2006/relationships/ctrlProp" Target="../ctrlProps/ctrlProp54.xml"/><Relationship Id="rId49" Type="http://schemas.openxmlformats.org/officeDocument/2006/relationships/ctrlProp" Target="../ctrlProps/ctrlProp67.xml"/><Relationship Id="rId57" Type="http://schemas.openxmlformats.org/officeDocument/2006/relationships/ctrlProp" Target="../ctrlProps/ctrlProp75.xml"/><Relationship Id="rId10" Type="http://schemas.openxmlformats.org/officeDocument/2006/relationships/ctrlProp" Target="../ctrlProps/ctrlProp28.xml"/><Relationship Id="rId31" Type="http://schemas.openxmlformats.org/officeDocument/2006/relationships/ctrlProp" Target="../ctrlProps/ctrlProp49.xml"/><Relationship Id="rId44" Type="http://schemas.openxmlformats.org/officeDocument/2006/relationships/ctrlProp" Target="../ctrlProps/ctrlProp62.xml"/><Relationship Id="rId52" Type="http://schemas.openxmlformats.org/officeDocument/2006/relationships/ctrlProp" Target="../ctrlProps/ctrlProp70.xml"/><Relationship Id="rId60" Type="http://schemas.openxmlformats.org/officeDocument/2006/relationships/ctrlProp" Target="../ctrlProps/ctrlProp78.xml"/><Relationship Id="rId65" Type="http://schemas.openxmlformats.org/officeDocument/2006/relationships/ctrlProp" Target="../ctrlProps/ctrlProp83.xml"/><Relationship Id="rId73" Type="http://schemas.openxmlformats.org/officeDocument/2006/relationships/ctrlProp" Target="../ctrlProps/ctrlProp91.xml"/><Relationship Id="rId78" Type="http://schemas.openxmlformats.org/officeDocument/2006/relationships/ctrlProp" Target="../ctrlProps/ctrlProp96.xml"/><Relationship Id="rId81" Type="http://schemas.openxmlformats.org/officeDocument/2006/relationships/comments" Target="../comments2.xml"/><Relationship Id="rId4" Type="http://schemas.openxmlformats.org/officeDocument/2006/relationships/ctrlProp" Target="../ctrlProps/ctrlProp22.xml"/><Relationship Id="rId9" Type="http://schemas.openxmlformats.org/officeDocument/2006/relationships/ctrlProp" Target="../ctrlProps/ctrlProp27.xml"/><Relationship Id="rId13" Type="http://schemas.openxmlformats.org/officeDocument/2006/relationships/ctrlProp" Target="../ctrlProps/ctrlProp31.xml"/><Relationship Id="rId18" Type="http://schemas.openxmlformats.org/officeDocument/2006/relationships/ctrlProp" Target="../ctrlProps/ctrlProp36.xml"/><Relationship Id="rId39" Type="http://schemas.openxmlformats.org/officeDocument/2006/relationships/ctrlProp" Target="../ctrlProps/ctrlProp57.xml"/><Relationship Id="rId34" Type="http://schemas.openxmlformats.org/officeDocument/2006/relationships/ctrlProp" Target="../ctrlProps/ctrlProp52.xml"/><Relationship Id="rId50" Type="http://schemas.openxmlformats.org/officeDocument/2006/relationships/ctrlProp" Target="../ctrlProps/ctrlProp68.xml"/><Relationship Id="rId55" Type="http://schemas.openxmlformats.org/officeDocument/2006/relationships/ctrlProp" Target="../ctrlProps/ctrlProp73.xml"/><Relationship Id="rId76" Type="http://schemas.openxmlformats.org/officeDocument/2006/relationships/ctrlProp" Target="../ctrlProps/ctrlProp94.xml"/><Relationship Id="rId7" Type="http://schemas.openxmlformats.org/officeDocument/2006/relationships/ctrlProp" Target="../ctrlProps/ctrlProp25.xml"/><Relationship Id="rId71" Type="http://schemas.openxmlformats.org/officeDocument/2006/relationships/ctrlProp" Target="../ctrlProps/ctrlProp89.xml"/><Relationship Id="rId2" Type="http://schemas.openxmlformats.org/officeDocument/2006/relationships/drawing" Target="../drawings/drawing4.xml"/><Relationship Id="rId29" Type="http://schemas.openxmlformats.org/officeDocument/2006/relationships/ctrlProp" Target="../ctrlProps/ctrlProp47.xml"/><Relationship Id="rId24" Type="http://schemas.openxmlformats.org/officeDocument/2006/relationships/ctrlProp" Target="../ctrlProps/ctrlProp42.xml"/><Relationship Id="rId40" Type="http://schemas.openxmlformats.org/officeDocument/2006/relationships/ctrlProp" Target="../ctrlProps/ctrlProp58.xml"/><Relationship Id="rId45" Type="http://schemas.openxmlformats.org/officeDocument/2006/relationships/ctrlProp" Target="../ctrlProps/ctrlProp63.xml"/><Relationship Id="rId66" Type="http://schemas.openxmlformats.org/officeDocument/2006/relationships/ctrlProp" Target="../ctrlProps/ctrlProp8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03.xml"/><Relationship Id="rId13" Type="http://schemas.openxmlformats.org/officeDocument/2006/relationships/ctrlProp" Target="../ctrlProps/ctrlProp108.xml"/><Relationship Id="rId3" Type="http://schemas.openxmlformats.org/officeDocument/2006/relationships/vmlDrawing" Target="../drawings/vmlDrawing5.vml"/><Relationship Id="rId7" Type="http://schemas.openxmlformats.org/officeDocument/2006/relationships/ctrlProp" Target="../ctrlProps/ctrlProp102.xml"/><Relationship Id="rId12" Type="http://schemas.openxmlformats.org/officeDocument/2006/relationships/ctrlProp" Target="../ctrlProps/ctrlProp107.xml"/><Relationship Id="rId2" Type="http://schemas.openxmlformats.org/officeDocument/2006/relationships/drawing" Target="../drawings/drawing5.xml"/><Relationship Id="rId16" Type="http://schemas.openxmlformats.org/officeDocument/2006/relationships/ctrlProp" Target="../ctrlProps/ctrlProp111.xml"/><Relationship Id="rId1" Type="http://schemas.openxmlformats.org/officeDocument/2006/relationships/printerSettings" Target="../printerSettings/printerSettings9.bin"/><Relationship Id="rId6" Type="http://schemas.openxmlformats.org/officeDocument/2006/relationships/ctrlProp" Target="../ctrlProps/ctrlProp101.xml"/><Relationship Id="rId11" Type="http://schemas.openxmlformats.org/officeDocument/2006/relationships/ctrlProp" Target="../ctrlProps/ctrlProp106.xml"/><Relationship Id="rId5" Type="http://schemas.openxmlformats.org/officeDocument/2006/relationships/ctrlProp" Target="../ctrlProps/ctrlProp100.xml"/><Relationship Id="rId15" Type="http://schemas.openxmlformats.org/officeDocument/2006/relationships/ctrlProp" Target="../ctrlProps/ctrlProp110.xml"/><Relationship Id="rId10" Type="http://schemas.openxmlformats.org/officeDocument/2006/relationships/ctrlProp" Target="../ctrlProps/ctrlProp105.xml"/><Relationship Id="rId4" Type="http://schemas.openxmlformats.org/officeDocument/2006/relationships/ctrlProp" Target="../ctrlProps/ctrlProp99.xml"/><Relationship Id="rId9" Type="http://schemas.openxmlformats.org/officeDocument/2006/relationships/ctrlProp" Target="../ctrlProps/ctrlProp104.xml"/><Relationship Id="rId14" Type="http://schemas.openxmlformats.org/officeDocument/2006/relationships/ctrlProp" Target="../ctrlProps/ctrlProp10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4">
    <pageSetUpPr fitToPage="1"/>
  </sheetPr>
  <dimension ref="A1:W36"/>
  <sheetViews>
    <sheetView showGridLines="0" tabSelected="1" zoomScaleNormal="100" workbookViewId="0">
      <selection activeCell="B36" sqref="B36"/>
    </sheetView>
  </sheetViews>
  <sheetFormatPr baseColWidth="10" defaultRowHeight="12.75" x14ac:dyDescent="0.2"/>
  <cols>
    <col min="1" max="1" width="3.625" style="112" customWidth="1"/>
    <col min="2" max="2" width="174.625" style="112" customWidth="1"/>
    <col min="3" max="12" width="11" style="112"/>
    <col min="13" max="13" width="8" style="112" customWidth="1"/>
    <col min="14" max="23" width="11" style="112"/>
  </cols>
  <sheetData>
    <row r="1" spans="2:3" ht="74.25" customHeight="1" x14ac:dyDescent="0.2">
      <c r="B1" s="671" t="s">
        <v>1179</v>
      </c>
      <c r="C1"/>
    </row>
    <row r="2" spans="2:3" ht="30" customHeight="1" x14ac:dyDescent="0.2">
      <c r="B2" s="1246" t="s">
        <v>909</v>
      </c>
      <c r="C2"/>
    </row>
    <row r="3" spans="2:3" ht="24" customHeight="1" x14ac:dyDescent="0.2">
      <c r="B3" s="1247" t="s">
        <v>1200</v>
      </c>
      <c r="C3"/>
    </row>
    <row r="4" spans="2:3" ht="42" customHeight="1" x14ac:dyDescent="0.2">
      <c r="B4" s="1248" t="s">
        <v>1202</v>
      </c>
      <c r="C4"/>
    </row>
    <row r="5" spans="2:3" ht="36" customHeight="1" x14ac:dyDescent="0.2">
      <c r="B5" s="658" t="s">
        <v>1180</v>
      </c>
      <c r="C5"/>
    </row>
    <row r="6" spans="2:3" ht="67.5" customHeight="1" x14ac:dyDescent="0.2">
      <c r="B6" s="1248" t="s">
        <v>1192</v>
      </c>
      <c r="C6"/>
    </row>
    <row r="7" spans="2:3" ht="48" customHeight="1" x14ac:dyDescent="0.25">
      <c r="B7" s="1020" t="s">
        <v>1181</v>
      </c>
      <c r="C7" s="657"/>
    </row>
    <row r="8" spans="2:3" ht="54" customHeight="1" x14ac:dyDescent="0.2">
      <c r="B8" s="656" t="s">
        <v>1189</v>
      </c>
      <c r="C8"/>
    </row>
    <row r="9" spans="2:3" ht="54" customHeight="1" x14ac:dyDescent="0.2">
      <c r="B9" s="656" t="s">
        <v>1188</v>
      </c>
      <c r="C9"/>
    </row>
    <row r="10" spans="2:3" ht="38.1" customHeight="1" x14ac:dyDescent="0.25">
      <c r="B10" s="660" t="s">
        <v>901</v>
      </c>
      <c r="C10"/>
    </row>
    <row r="11" spans="2:3" ht="33" customHeight="1" x14ac:dyDescent="0.2">
      <c r="B11" s="661" t="s">
        <v>1251</v>
      </c>
      <c r="C11"/>
    </row>
    <row r="12" spans="2:3" ht="21" customHeight="1" x14ac:dyDescent="0.2">
      <c r="B12" s="1359" t="s">
        <v>1255</v>
      </c>
      <c r="C12"/>
    </row>
    <row r="13" spans="2:3" ht="21" customHeight="1" x14ac:dyDescent="0.2">
      <c r="B13" s="1366" t="s">
        <v>1252</v>
      </c>
      <c r="C13"/>
    </row>
    <row r="14" spans="2:3" ht="27" customHeight="1" x14ac:dyDescent="0.2">
      <c r="B14" s="661" t="s">
        <v>1253</v>
      </c>
      <c r="C14"/>
    </row>
    <row r="15" spans="2:3" ht="21" customHeight="1" x14ac:dyDescent="0.2">
      <c r="B15" s="1366" t="s">
        <v>1254</v>
      </c>
      <c r="C15"/>
    </row>
    <row r="16" spans="2:3" ht="94.5" customHeight="1" x14ac:dyDescent="0.2">
      <c r="B16" s="656" t="s">
        <v>1203</v>
      </c>
      <c r="C16"/>
    </row>
    <row r="17" spans="1:23" ht="27" customHeight="1" x14ac:dyDescent="0.2">
      <c r="B17" s="1360" t="s">
        <v>1256</v>
      </c>
      <c r="C17"/>
    </row>
    <row r="18" spans="1:23" ht="24" customHeight="1" x14ac:dyDescent="0.2">
      <c r="B18" s="1359" t="s">
        <v>1257</v>
      </c>
      <c r="C18"/>
    </row>
    <row r="19" spans="1:23" ht="27" customHeight="1" x14ac:dyDescent="0.2">
      <c r="B19" s="1361" t="s">
        <v>1258</v>
      </c>
      <c r="C19"/>
    </row>
    <row r="20" spans="1:23" s="1363" customFormat="1" ht="94.5" customHeight="1" x14ac:dyDescent="0.2">
      <c r="A20" s="1362"/>
      <c r="B20" s="1364" t="s">
        <v>1259</v>
      </c>
      <c r="D20" s="1362"/>
      <c r="E20" s="1362"/>
      <c r="F20" s="1362"/>
      <c r="G20" s="1362"/>
      <c r="H20" s="1362"/>
      <c r="I20" s="1362"/>
      <c r="J20" s="1362"/>
      <c r="K20" s="1362"/>
      <c r="L20" s="1362"/>
      <c r="M20" s="1362"/>
      <c r="N20" s="1362"/>
      <c r="O20" s="1362"/>
      <c r="P20" s="1362"/>
      <c r="Q20" s="1362"/>
      <c r="R20" s="1362"/>
      <c r="S20" s="1362"/>
      <c r="T20" s="1362"/>
      <c r="U20" s="1362"/>
      <c r="V20" s="1362"/>
      <c r="W20" s="1362"/>
    </row>
    <row r="21" spans="1:23" s="1358" customFormat="1" ht="27" customHeight="1" x14ac:dyDescent="0.2">
      <c r="A21" s="1365"/>
      <c r="B21" s="1359" t="s">
        <v>1260</v>
      </c>
      <c r="D21" s="1365"/>
      <c r="E21" s="1365"/>
      <c r="F21" s="1365"/>
      <c r="G21" s="1365"/>
      <c r="H21" s="1365"/>
      <c r="I21" s="1365"/>
      <c r="J21" s="1365"/>
      <c r="K21" s="1365"/>
      <c r="L21" s="1365"/>
      <c r="M21" s="1365"/>
      <c r="N21" s="1365"/>
      <c r="O21" s="1365"/>
      <c r="P21" s="1365"/>
      <c r="Q21" s="1365"/>
      <c r="R21" s="1365"/>
      <c r="S21" s="1365"/>
      <c r="T21" s="1365"/>
      <c r="U21" s="1365"/>
      <c r="V21" s="1365"/>
      <c r="W21" s="1365"/>
    </row>
    <row r="22" spans="1:23" s="1358" customFormat="1" ht="24" customHeight="1" x14ac:dyDescent="0.2">
      <c r="A22" s="1365"/>
      <c r="B22" s="1366" t="s">
        <v>1261</v>
      </c>
      <c r="D22" s="1365"/>
      <c r="E22" s="1365"/>
      <c r="F22" s="1365"/>
      <c r="G22" s="1365"/>
      <c r="H22" s="1365"/>
      <c r="I22" s="1365"/>
      <c r="J22" s="1365"/>
      <c r="K22" s="1365"/>
      <c r="L22" s="1365"/>
      <c r="M22" s="1365"/>
      <c r="N22" s="1365"/>
      <c r="O22" s="1365"/>
      <c r="P22" s="1365"/>
      <c r="Q22" s="1365"/>
      <c r="R22" s="1365"/>
      <c r="S22" s="1365"/>
      <c r="T22" s="1365"/>
      <c r="U22" s="1365"/>
      <c r="V22" s="1365"/>
      <c r="W22" s="1365"/>
    </row>
    <row r="23" spans="1:23" ht="37.5" customHeight="1" x14ac:dyDescent="0.25">
      <c r="B23" s="660" t="s">
        <v>904</v>
      </c>
      <c r="C23"/>
    </row>
    <row r="24" spans="1:23" ht="55.5" customHeight="1" x14ac:dyDescent="0.2">
      <c r="B24" s="656" t="s">
        <v>1162</v>
      </c>
      <c r="C24"/>
    </row>
    <row r="25" spans="1:23" ht="37.5" customHeight="1" x14ac:dyDescent="0.25">
      <c r="B25" s="660" t="s">
        <v>902</v>
      </c>
      <c r="C25"/>
    </row>
    <row r="26" spans="1:23" ht="63.75" customHeight="1" x14ac:dyDescent="0.2">
      <c r="B26" s="656" t="s">
        <v>1193</v>
      </c>
      <c r="C26"/>
    </row>
    <row r="27" spans="1:23" ht="37.5" customHeight="1" x14ac:dyDescent="0.2">
      <c r="B27" s="656" t="s">
        <v>903</v>
      </c>
      <c r="C27"/>
    </row>
    <row r="28" spans="1:23" ht="55.5" customHeight="1" x14ac:dyDescent="0.2">
      <c r="B28" s="656" t="s">
        <v>1194</v>
      </c>
      <c r="C28"/>
    </row>
    <row r="29" spans="1:23" ht="37.5" customHeight="1" x14ac:dyDescent="0.25">
      <c r="B29" s="660" t="s">
        <v>905</v>
      </c>
      <c r="C29"/>
    </row>
    <row r="30" spans="1:23" ht="56.25" customHeight="1" x14ac:dyDescent="0.2">
      <c r="B30" s="656" t="s">
        <v>1190</v>
      </c>
      <c r="C30"/>
    </row>
    <row r="31" spans="1:23" ht="71.25" customHeight="1" x14ac:dyDescent="0.2">
      <c r="B31" s="658" t="s">
        <v>1191</v>
      </c>
      <c r="C31"/>
    </row>
    <row r="32" spans="1:23" ht="46.5" customHeight="1" thickBot="1" x14ac:dyDescent="0.25">
      <c r="B32" s="658" t="s">
        <v>1068</v>
      </c>
      <c r="C32"/>
    </row>
    <row r="33" spans="2:3" ht="81" customHeight="1" thickBot="1" x14ac:dyDescent="0.25">
      <c r="B33" s="1263" t="s">
        <v>1227</v>
      </c>
      <c r="C33"/>
    </row>
    <row r="34" spans="2:3" ht="27" customHeight="1" x14ac:dyDescent="0.2">
      <c r="B34" s="661" t="s">
        <v>906</v>
      </c>
      <c r="C34"/>
    </row>
    <row r="35" spans="2:3" ht="48" customHeight="1" x14ac:dyDescent="0.2">
      <c r="B35" s="1366" t="s">
        <v>907</v>
      </c>
      <c r="C35"/>
    </row>
    <row r="36" spans="2:3" ht="14.25" x14ac:dyDescent="0.2">
      <c r="B36" s="659" t="s">
        <v>1201</v>
      </c>
    </row>
  </sheetData>
  <sheetProtection algorithmName="SHA-512" hashValue="e1b41PjPGUdaNc2kbhXlFuLTd4XWe5V6XWnoW/0PiDD1fpIlmXodONni+TQkyuXwyRmEGXWOXhe2clBQqvEAVQ==" saltValue="Q45eufNqizCqbY8XdJ53vQ==" spinCount="100000" sheet="1" objects="1" scenarios="1"/>
  <dataValidations count="1">
    <dataValidation operator="lessThan" allowBlank="1" showInputMessage="1" showErrorMessage="1" sqref="B1:B10 B13 B16:B17 B23:B36 A1:A35" xr:uid="{65DCF7EA-51B0-4509-B9C4-6612E6F15A64}"/>
  </dataValidations>
  <hyperlinks>
    <hyperlink ref="B35" r:id="rId1" display="mailto:werner.zappe@filminstitut.at" xr:uid="{527269DA-F0CF-439F-BBB2-B04E00A30CFC}"/>
    <hyperlink ref="B13" r:id="rId2" display="https://filminstitut.at/foerderportal/green-filming-foerderung" xr:uid="{8AA12BE3-2A8F-43C5-B275-4F8302631813}"/>
    <hyperlink ref="B15" r:id="rId3" display="https://filminstitut.at/green-filming/haeufig-gestellte-fragen-faq" xr:uid="{C15F060C-49D8-4CAF-9067-8EF5639B051C}"/>
    <hyperlink ref="B22" r:id="rId4" display="mailto:greenfilming@filminstitut.at" xr:uid="{0203B9B1-A1E6-4284-AB22-FA9D1F065859}"/>
  </hyperlinks>
  <printOptions horizontalCentered="1"/>
  <pageMargins left="0.59055118110236227" right="0.59055118110236227" top="0.59055118110236227" bottom="0.59055118110236227" header="0.31496062992125984" footer="0.31496062992125984"/>
  <pageSetup paperSize="9" scale="64" fitToHeight="0" orientation="landscape"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10">
    <pageSetUpPr fitToPage="1"/>
  </sheetPr>
  <dimension ref="A1:BA266"/>
  <sheetViews>
    <sheetView showZeros="0" zoomScaleNormal="100" workbookViewId="0">
      <pane xSplit="1" ySplit="4" topLeftCell="B5" activePane="bottomRight" state="frozen"/>
      <selection pane="topRight"/>
      <selection pane="bottomLeft"/>
      <selection pane="bottomRight" activeCell="H5" sqref="H5"/>
    </sheetView>
  </sheetViews>
  <sheetFormatPr baseColWidth="10" defaultRowHeight="12.75" outlineLevelCol="2" x14ac:dyDescent="0.2"/>
  <cols>
    <col min="1" max="1" width="33.375" customWidth="1"/>
    <col min="2" max="2" width="31.75" customWidth="1" outlineLevel="1"/>
    <col min="3" max="3" width="9.625" customWidth="1" outlineLevel="1"/>
    <col min="4" max="8" width="11.5" customWidth="1" outlineLevel="2"/>
    <col min="9" max="9" width="5.625" customWidth="1" outlineLevel="1"/>
    <col min="10" max="10" width="12.375" customWidth="1"/>
    <col min="11" max="11" width="10" customWidth="1"/>
    <col min="12" max="12" width="10.75" customWidth="1"/>
    <col min="13" max="13" width="12.375" customWidth="1"/>
    <col min="14" max="15" width="10" customWidth="1"/>
    <col min="16" max="16" width="9.375" customWidth="1"/>
    <col min="17" max="18" width="8.875" customWidth="1"/>
    <col min="19" max="19" width="10" customWidth="1"/>
    <col min="20" max="20" width="8.875" customWidth="1"/>
    <col min="21" max="21" width="10" customWidth="1"/>
    <col min="22" max="22" width="7.125" customWidth="1"/>
    <col min="23" max="24" width="12.375" customWidth="1"/>
    <col min="25" max="26" width="5.625" customWidth="1"/>
  </cols>
  <sheetData>
    <row r="1" spans="1:53" ht="18" customHeight="1" x14ac:dyDescent="0.2">
      <c r="A1" s="222" t="str">
        <f>Stammblatt!A1</f>
        <v>Test</v>
      </c>
      <c r="B1" s="448"/>
      <c r="C1" s="448"/>
      <c r="D1" s="448"/>
      <c r="E1" s="448"/>
      <c r="F1" s="448"/>
      <c r="G1" s="448"/>
      <c r="H1" s="448"/>
      <c r="I1" s="448"/>
      <c r="J1" s="212"/>
      <c r="K1" s="212"/>
      <c r="L1" s="212"/>
      <c r="M1" s="453"/>
      <c r="N1" s="1482" t="str">
        <f>IF(Stammblatt!$L$4=1,"L     O     H     N     N     E     B     E     N     K     O     S     T     E     N","N  O  N  -  W  A  G  E      L  A  B  O  U  R    C  O  S  T  S")</f>
        <v>L     O     H     N     N     E     B     E     N     K     O     S     T     E     N</v>
      </c>
      <c r="O1" s="1482"/>
      <c r="P1" s="1482"/>
      <c r="Q1" s="1482"/>
      <c r="R1" s="1482"/>
      <c r="S1" s="1482"/>
      <c r="T1" s="1482"/>
      <c r="U1" s="1482"/>
      <c r="V1" s="1482"/>
      <c r="W1" s="212"/>
      <c r="X1" s="212"/>
      <c r="Y1" s="448"/>
      <c r="Z1" s="448"/>
      <c r="AA1" s="448"/>
      <c r="AB1" s="448"/>
      <c r="AC1" s="448"/>
      <c r="AD1" s="448"/>
      <c r="AE1" s="448"/>
      <c r="AF1" s="448"/>
      <c r="AG1" s="448"/>
      <c r="AH1" s="448"/>
      <c r="AI1" s="448"/>
      <c r="AJ1" s="448"/>
      <c r="AK1" s="448"/>
      <c r="AL1" s="448"/>
      <c r="AM1" s="448"/>
      <c r="AN1" s="448"/>
      <c r="AO1" s="448"/>
      <c r="AP1" s="448"/>
      <c r="AQ1" s="448"/>
      <c r="AR1" s="448"/>
      <c r="AS1" s="448"/>
      <c r="AT1" s="448"/>
      <c r="AU1" s="448"/>
      <c r="AV1" s="448"/>
      <c r="AW1" s="448"/>
      <c r="AX1" s="448"/>
      <c r="AY1" s="448"/>
      <c r="AZ1" s="448"/>
      <c r="BA1" s="448"/>
    </row>
    <row r="2" spans="1:53" x14ac:dyDescent="0.2">
      <c r="A2" s="214"/>
      <c r="B2" s="474"/>
      <c r="C2" s="453"/>
      <c r="D2" s="464"/>
      <c r="E2" s="448"/>
      <c r="F2" s="448"/>
      <c r="G2" s="448"/>
      <c r="H2" s="448"/>
      <c r="I2" s="448"/>
      <c r="J2" s="1479" t="str">
        <f>IF(Stammblatt!$L$4=1,"BRUTTO-GEHALT","salary (gross)")</f>
        <v>BRUTTO-GEHALT</v>
      </c>
      <c r="K2" s="1467" t="str">
        <f>IF(Stammblatt!$L$4=1,"Sonder-zahlung       (SZ)","extra payment (SZ)")</f>
        <v>Sonder-zahlung       (SZ)</v>
      </c>
      <c r="L2" s="1467" t="str">
        <f>IF(Stammblatt!$L$4=1,"Urlaubs-ersatzleistung (UEL)","vacational compensation (UEL)")</f>
        <v>Urlaubs-ersatzleistung (UEL)</v>
      </c>
      <c r="M2" s="1464" t="str">
        <f>IF(Stammblatt!$L$4=1,"BRUTTO-GEHALT     inkl. SZ, UEL","salary (gross) incl. SZ &amp; UEL")</f>
        <v>BRUTTO-GEHALT     inkl. SZ, UEL</v>
      </c>
      <c r="N2" s="1476" t="str">
        <f>IF(Stammblatt!$L$4=1,"SV-DGA","social security")</f>
        <v>SV-DGA</v>
      </c>
      <c r="O2" s="1477"/>
      <c r="P2" s="1477"/>
      <c r="Q2" s="1478"/>
      <c r="R2" s="1467" t="str">
        <f>IF(Stammblatt!$L$4=1,"MV-Beitrag","provision for employee")</f>
        <v>MV-Beitrag</v>
      </c>
      <c r="S2" s="672"/>
      <c r="T2" s="672"/>
      <c r="U2" s="1467" t="str">
        <f>IF(Stammblatt!$L$4=1,"Kommunal-steuer","municipal tax")</f>
        <v>Kommunal-steuer</v>
      </c>
      <c r="V2" s="1467" t="str">
        <f>IF(Stammblatt!$L$4=1,"U-Bahn Abgabe","subway toll")</f>
        <v>U-Bahn Abgabe</v>
      </c>
      <c r="W2" s="1470" t="str">
        <f>IF(Stammblatt!$L$4=1,"SUMME Lohnneben-kosten","T O T A L   non-wage labour costs")</f>
        <v>SUMME Lohnneben-kosten</v>
      </c>
      <c r="X2" s="1464" t="str">
        <f>IF(Stammblatt!$L$4=1,"GESAMT-KOSTEN","TOTAL LABOUR COSTS")</f>
        <v>GESAMT-KOSTEN</v>
      </c>
      <c r="Y2" s="448"/>
      <c r="Z2" s="464"/>
      <c r="AA2" s="448"/>
      <c r="AB2" s="448"/>
      <c r="AC2" s="448"/>
      <c r="AD2" s="448"/>
      <c r="AE2" s="448"/>
      <c r="AF2" s="448"/>
      <c r="AG2" s="448"/>
      <c r="AH2" s="448"/>
      <c r="AI2" s="448"/>
      <c r="AJ2" s="448"/>
      <c r="AK2" s="448"/>
      <c r="AL2" s="448"/>
      <c r="AM2" s="448"/>
      <c r="AN2" s="448"/>
      <c r="AO2" s="448"/>
      <c r="AP2" s="448"/>
      <c r="AQ2" s="448"/>
      <c r="AR2" s="448"/>
      <c r="AS2" s="448"/>
      <c r="AT2" s="448"/>
      <c r="AU2" s="448"/>
      <c r="AV2" s="448"/>
      <c r="AW2" s="448"/>
      <c r="AX2" s="448"/>
      <c r="AY2" s="448"/>
      <c r="AZ2" s="448"/>
      <c r="BA2" s="448"/>
    </row>
    <row r="3" spans="1:53" ht="15" x14ac:dyDescent="0.2">
      <c r="A3" s="446"/>
      <c r="B3" s="446"/>
      <c r="C3" s="1473" t="s">
        <v>240</v>
      </c>
      <c r="D3" s="1474"/>
      <c r="E3" s="1474"/>
      <c r="F3" s="1474"/>
      <c r="G3" s="1474"/>
      <c r="H3" s="1475"/>
      <c r="I3" s="476"/>
      <c r="J3" s="1480"/>
      <c r="K3" s="1468"/>
      <c r="L3" s="1468"/>
      <c r="M3" s="1465"/>
      <c r="N3" s="673" t="s">
        <v>1069</v>
      </c>
      <c r="O3" s="673" t="s">
        <v>1070</v>
      </c>
      <c r="P3" s="455"/>
      <c r="Q3" s="455"/>
      <c r="R3" s="1468"/>
      <c r="S3" s="673" t="s">
        <v>131</v>
      </c>
      <c r="T3" s="673" t="s">
        <v>132</v>
      </c>
      <c r="U3" s="1468"/>
      <c r="V3" s="1468"/>
      <c r="W3" s="1471"/>
      <c r="X3" s="1465"/>
      <c r="Y3" s="448"/>
      <c r="Z3" s="448"/>
      <c r="AA3" s="448"/>
      <c r="AB3" s="448"/>
      <c r="AC3" s="448"/>
      <c r="AD3" s="448"/>
      <c r="AE3" s="448"/>
      <c r="AF3" s="448"/>
      <c r="AG3" s="448"/>
      <c r="AH3" s="448"/>
      <c r="AI3" s="448"/>
      <c r="AJ3" s="448"/>
      <c r="AK3" s="448"/>
      <c r="AL3" s="448"/>
      <c r="AM3" s="448"/>
      <c r="AN3" s="448"/>
      <c r="AO3" s="448"/>
      <c r="AP3" s="448"/>
      <c r="AQ3" s="448"/>
      <c r="AR3" s="448"/>
      <c r="AS3" s="448"/>
      <c r="AT3" s="448"/>
      <c r="AU3" s="448"/>
      <c r="AV3" s="448"/>
      <c r="AW3" s="448"/>
      <c r="AX3" s="448"/>
      <c r="AY3" s="448"/>
      <c r="AZ3" s="448"/>
      <c r="BA3" s="448"/>
    </row>
    <row r="4" spans="1:53" ht="24" customHeight="1" x14ac:dyDescent="0.2">
      <c r="A4" s="483" t="str">
        <f>IF(Stammblatt!$L$4=1,"S T A B  -  F U N K T I O N","S T A F F  -  F U N C T I O N")</f>
        <v>S T A B  -  F U N K T I O N</v>
      </c>
      <c r="B4" s="466" t="s">
        <v>490</v>
      </c>
      <c r="C4" s="761" t="s">
        <v>1065</v>
      </c>
      <c r="D4" s="475" t="s">
        <v>491</v>
      </c>
      <c r="E4" s="475" t="s">
        <v>492</v>
      </c>
      <c r="F4" s="475" t="s">
        <v>493</v>
      </c>
      <c r="G4" s="475" t="s">
        <v>494</v>
      </c>
      <c r="H4" s="475" t="s">
        <v>147</v>
      </c>
      <c r="I4" s="447"/>
      <c r="J4" s="1481"/>
      <c r="K4" s="1469"/>
      <c r="L4" s="1469"/>
      <c r="M4" s="1466"/>
      <c r="N4" s="724" t="s">
        <v>1071</v>
      </c>
      <c r="O4" s="724" t="s">
        <v>1072</v>
      </c>
      <c r="P4" s="454" t="s">
        <v>171</v>
      </c>
      <c r="Q4" s="454" t="s">
        <v>172</v>
      </c>
      <c r="R4" s="1469"/>
      <c r="S4" s="673"/>
      <c r="T4" s="673"/>
      <c r="U4" s="1469" t="s">
        <v>157</v>
      </c>
      <c r="V4" s="1469"/>
      <c r="W4" s="1472"/>
      <c r="X4" s="1466"/>
      <c r="Y4" s="448"/>
      <c r="Z4" s="448"/>
      <c r="AA4" s="448"/>
      <c r="AB4" s="448"/>
      <c r="AC4" s="448"/>
      <c r="AD4" s="448"/>
      <c r="AE4" s="448"/>
      <c r="AF4" s="448"/>
      <c r="AG4" s="448"/>
      <c r="AH4" s="448"/>
      <c r="AI4" s="448"/>
      <c r="AJ4" s="448"/>
      <c r="AK4" s="448"/>
      <c r="AL4" s="448"/>
      <c r="AM4" s="448"/>
      <c r="AN4" s="448"/>
      <c r="AO4" s="448"/>
      <c r="AP4" s="448"/>
      <c r="AQ4" s="448"/>
      <c r="AR4" s="448"/>
      <c r="AS4" s="448"/>
      <c r="AT4" s="448"/>
      <c r="AU4" s="448"/>
      <c r="AV4" s="448"/>
      <c r="AW4" s="448"/>
      <c r="AX4" s="448"/>
      <c r="AY4" s="448"/>
      <c r="AZ4" s="448"/>
      <c r="BA4" s="448"/>
    </row>
    <row r="5" spans="1:53" ht="12.75" customHeight="1" x14ac:dyDescent="0.2">
      <c r="A5" s="484" t="str">
        <f>'Kalkulation Herstellungskosten'!B32</f>
        <v>Herstellungsleitung</v>
      </c>
      <c r="B5" s="711"/>
      <c r="C5" s="897" t="s">
        <v>1066</v>
      </c>
      <c r="D5" s="713"/>
      <c r="E5" s="713"/>
      <c r="F5" s="481">
        <f>NETWORKDAYS(D5,E5)/5</f>
        <v>0</v>
      </c>
      <c r="G5" s="898"/>
      <c r="H5" s="479">
        <f>F5*G5</f>
        <v>0</v>
      </c>
      <c r="I5" s="477"/>
      <c r="J5" s="456">
        <f>'Kalkulation Herstellungskosten'!F32/((1+1/6)*1.1041)</f>
        <v>0</v>
      </c>
      <c r="K5" s="457">
        <f>J5/6</f>
        <v>0</v>
      </c>
      <c r="L5" s="457">
        <f>(J5+K5)*10.41%</f>
        <v>0</v>
      </c>
      <c r="M5" s="449">
        <f>SUM(J5:L5)</f>
        <v>0</v>
      </c>
      <c r="N5" s="457">
        <f>IF(AND('Kalkulation Herstellungskosten'!C32=0,'Kalkulation Herstellungskosten'!C33=0),0,IF(J5/('Kalkulation Herstellungskosten'!C32+'Kalkulation Herstellungskosten'!C33)&gt;SVGrund_lfd_wö,('Kalkulation Herstellungskosten'!C32+'Kalkulation Herstellungskosten'!C33)*Höchst_Woche,J5*SV_lfd))</f>
        <v>0</v>
      </c>
      <c r="O5" s="457">
        <f t="shared" ref="O5" si="0">IF(K5&gt;SVGrund_SZ, Höchst_Mo_SZ,K5*SV_SZ)</f>
        <v>0</v>
      </c>
      <c r="P5" s="457">
        <f>IF(J5*10.41%&gt;(0.5833*('Kalkulation Herstellungskosten'!C33+'Kalkulation Herstellungskosten'!C32)*SVGrund_lfd_tä),(0.5833*('Kalkulation Herstellungskosten'!C33+'Kalkulation Herstellungskosten'!C32)*Höchst_Tag),J5*10.41%*SV_lfd)</f>
        <v>0</v>
      </c>
      <c r="Q5" s="457">
        <f t="shared" ref="Q5" si="1">IF(K5&gt;SVGrund_SZ,0,IF(K5*10.41%&gt;(SVGrund_SZ-K5),(SVGrund_SZ-K5)*SV_SZ,K5*10.41%*SV_SZ))</f>
        <v>0</v>
      </c>
      <c r="R5" s="457">
        <f t="shared" ref="R5" si="2">M5*MV</f>
        <v>0</v>
      </c>
      <c r="S5" s="457">
        <f t="shared" ref="S5" si="3">M5*DB</f>
        <v>0</v>
      </c>
      <c r="T5" s="457">
        <f t="shared" ref="T5" si="4">M5*DZ</f>
        <v>0</v>
      </c>
      <c r="U5" s="457">
        <f t="shared" ref="U5" si="5">M5*KommSt</f>
        <v>0</v>
      </c>
      <c r="V5" s="457">
        <f>('Kalkulation Herstellungskosten'!C32+'Kalkulation Herstellungskosten'!C33)*U_Bahn</f>
        <v>0</v>
      </c>
      <c r="W5" s="449">
        <f t="shared" ref="W5" si="6">SUM(N5:V5)</f>
        <v>0</v>
      </c>
      <c r="X5" s="449">
        <f>SUM(M5,W5)</f>
        <v>0</v>
      </c>
      <c r="Y5" s="448"/>
      <c r="Z5" s="469"/>
      <c r="AA5" s="448"/>
      <c r="AB5" s="448"/>
      <c r="AC5" s="448"/>
      <c r="AD5" s="448"/>
      <c r="AE5" s="448"/>
      <c r="AF5" s="448"/>
      <c r="AG5" s="448"/>
      <c r="AH5" s="448"/>
      <c r="AI5" s="448"/>
      <c r="AJ5" s="448"/>
      <c r="AK5" s="448"/>
      <c r="AL5" s="448"/>
      <c r="AM5" s="448"/>
      <c r="AN5" s="448"/>
      <c r="AO5" s="448"/>
      <c r="AP5" s="448"/>
      <c r="AQ5" s="448"/>
      <c r="AR5" s="448"/>
      <c r="AS5" s="448"/>
      <c r="AT5" s="448"/>
      <c r="AU5" s="448"/>
      <c r="AV5" s="448"/>
      <c r="AW5" s="448"/>
      <c r="AX5" s="448"/>
      <c r="AY5" s="448"/>
      <c r="AZ5" s="448"/>
      <c r="BA5" s="448"/>
    </row>
    <row r="6" spans="1:53" ht="12.75" customHeight="1" x14ac:dyDescent="0.2">
      <c r="A6" s="484" t="str">
        <f>'Kalkulation Herstellungskosten'!B34</f>
        <v>Produktionsleitung</v>
      </c>
      <c r="B6" s="711"/>
      <c r="C6" s="897"/>
      <c r="D6" s="713"/>
      <c r="E6" s="713"/>
      <c r="F6" s="481">
        <f>NETWORKDAYS(D6,E6)/5</f>
        <v>0</v>
      </c>
      <c r="G6" s="898"/>
      <c r="H6" s="479">
        <f t="shared" ref="H6:H70" si="7">F6*G6</f>
        <v>0</v>
      </c>
      <c r="I6" s="477"/>
      <c r="J6" s="456">
        <f>'Kalkulation Herstellungskosten'!F34/((1+1/6)*1.1041)</f>
        <v>0</v>
      </c>
      <c r="K6" s="457">
        <f t="shared" ref="K6:K48" si="8">J6/6</f>
        <v>0</v>
      </c>
      <c r="L6" s="457">
        <f t="shared" ref="L6:L48" si="9">(J6+K6)*10.41%</f>
        <v>0</v>
      </c>
      <c r="M6" s="449">
        <f t="shared" ref="M6:M48" si="10">SUM(J6:L6)</f>
        <v>0</v>
      </c>
      <c r="N6" s="457">
        <f>IF(AND('Kalkulation Herstellungskosten'!C34=0,'Kalkulation Herstellungskosten'!C35=0),0,IF(J6/('Kalkulation Herstellungskosten'!C34+'Kalkulation Herstellungskosten'!C35)&gt;SVGrund_lfd_wö,('Kalkulation Herstellungskosten'!C34+'Kalkulation Herstellungskosten'!C35)*Höchst_Woche,J6*SV_lfd))</f>
        <v>0</v>
      </c>
      <c r="O6" s="457">
        <f t="shared" ref="O6:O20" si="11">IF(K6&gt;SVGrund_SZ, Höchst_Mo_SZ,K6*SV_SZ)</f>
        <v>0</v>
      </c>
      <c r="P6" s="457">
        <f>IF(J6*10.41%&gt;(0.5833*('Kalkulation Herstellungskosten'!C35+'Kalkulation Herstellungskosten'!C34)*SVGrund_lfd_tä),(0.5833*('Kalkulation Herstellungskosten'!C35+'Kalkulation Herstellungskosten'!C34)*Höchst_Tag),J6*10.41%*SV_lfd)</f>
        <v>0</v>
      </c>
      <c r="Q6" s="457">
        <f t="shared" ref="Q6:Q20" si="12">IF(K6&gt;SVGrund_SZ,0,IF(K6*10.41%&gt;(SVGrund_SZ-K6),(SVGrund_SZ-K6)*SV_SZ,K6*10.41%*SV_SZ))</f>
        <v>0</v>
      </c>
      <c r="R6" s="457">
        <f t="shared" ref="R6:R50" si="13">M6*MV</f>
        <v>0</v>
      </c>
      <c r="S6" s="457">
        <f t="shared" ref="S6:S50" si="14">M6*DB</f>
        <v>0</v>
      </c>
      <c r="T6" s="457">
        <f t="shared" ref="T6:T50" si="15">M6*DZ</f>
        <v>0</v>
      </c>
      <c r="U6" s="457">
        <f t="shared" ref="U6:U50" si="16">M6*KommSt</f>
        <v>0</v>
      </c>
      <c r="V6" s="457">
        <f>('Kalkulation Herstellungskosten'!C34+'Kalkulation Herstellungskosten'!C35)*U_Bahn</f>
        <v>0</v>
      </c>
      <c r="W6" s="449">
        <f t="shared" ref="W6:W20" si="17">SUM(N6:V6)</f>
        <v>0</v>
      </c>
      <c r="X6" s="449">
        <f>SUM(M6,W6)</f>
        <v>0</v>
      </c>
      <c r="Y6" s="448"/>
      <c r="Z6" s="448"/>
      <c r="AA6" s="448"/>
      <c r="AB6" s="448"/>
      <c r="AC6" s="448"/>
      <c r="AD6" s="448"/>
      <c r="AE6" s="448"/>
      <c r="AF6" s="448"/>
      <c r="AG6" s="448"/>
      <c r="AH6" s="448"/>
      <c r="AI6" s="448"/>
      <c r="AJ6" s="448"/>
      <c r="AK6" s="448"/>
      <c r="AL6" s="448"/>
      <c r="AM6" s="448"/>
      <c r="AN6" s="448"/>
      <c r="AO6" s="448"/>
      <c r="AP6" s="448"/>
      <c r="AQ6" s="448"/>
      <c r="AR6" s="448"/>
      <c r="AS6" s="448"/>
      <c r="AT6" s="448"/>
      <c r="AU6" s="448"/>
      <c r="AV6" s="448"/>
      <c r="AW6" s="448"/>
      <c r="AX6" s="448"/>
      <c r="AY6" s="448"/>
      <c r="AZ6" s="448"/>
      <c r="BA6" s="448"/>
    </row>
    <row r="7" spans="1:53" ht="12.75" customHeight="1" x14ac:dyDescent="0.2">
      <c r="A7" s="484" t="str">
        <f>'Kalkulation Herstellungskosten'!B36</f>
        <v>1. Aufnahmeleitung</v>
      </c>
      <c r="B7" s="711"/>
      <c r="C7" s="897"/>
      <c r="D7" s="714"/>
      <c r="E7" s="714"/>
      <c r="F7" s="481">
        <f t="shared" ref="F7:F69" si="18">NETWORKDAYS(D7,E7)/5</f>
        <v>0</v>
      </c>
      <c r="G7" s="899"/>
      <c r="H7" s="479">
        <f t="shared" si="7"/>
        <v>0</v>
      </c>
      <c r="I7" s="477"/>
      <c r="J7" s="456">
        <f>'Kalkulation Herstellungskosten'!F36/((1+1/6)*1.1041)</f>
        <v>0</v>
      </c>
      <c r="K7" s="457">
        <f t="shared" si="8"/>
        <v>0</v>
      </c>
      <c r="L7" s="457">
        <f t="shared" si="9"/>
        <v>0</v>
      </c>
      <c r="M7" s="449">
        <f t="shared" si="10"/>
        <v>0</v>
      </c>
      <c r="N7" s="457">
        <f>IF(AND('Kalkulation Herstellungskosten'!C36=0,'Kalkulation Herstellungskosten'!C37=0),0,IF(J7/('Kalkulation Herstellungskosten'!C36+'Kalkulation Herstellungskosten'!C37)&gt;SVGrund_lfd_wö,('Kalkulation Herstellungskosten'!C36+'Kalkulation Herstellungskosten'!C37)*Höchst_Woche,J7*SV_lfd))</f>
        <v>0</v>
      </c>
      <c r="O7" s="457">
        <f t="shared" si="11"/>
        <v>0</v>
      </c>
      <c r="P7" s="457">
        <f>IF(J7*10.41%&gt;(0.5833*('Kalkulation Herstellungskosten'!C37+'Kalkulation Herstellungskosten'!C36)*SVGrund_lfd_tä),(0.5833*('Kalkulation Herstellungskosten'!C37+'Kalkulation Herstellungskosten'!C36)*Höchst_Tag),J7*10.41%*SV_lfd)</f>
        <v>0</v>
      </c>
      <c r="Q7" s="457">
        <f t="shared" si="12"/>
        <v>0</v>
      </c>
      <c r="R7" s="457">
        <f t="shared" si="13"/>
        <v>0</v>
      </c>
      <c r="S7" s="457">
        <f t="shared" si="14"/>
        <v>0</v>
      </c>
      <c r="T7" s="457">
        <f t="shared" si="15"/>
        <v>0</v>
      </c>
      <c r="U7" s="457">
        <f t="shared" si="16"/>
        <v>0</v>
      </c>
      <c r="V7" s="457">
        <f>('Kalkulation Herstellungskosten'!C36+'Kalkulation Herstellungskosten'!C37)*U_Bahn</f>
        <v>0</v>
      </c>
      <c r="W7" s="449">
        <f t="shared" si="17"/>
        <v>0</v>
      </c>
      <c r="X7" s="449">
        <f t="shared" ref="X7:X20" si="19">SUM(M7,W7)</f>
        <v>0</v>
      </c>
      <c r="Y7" s="448"/>
      <c r="Z7" s="448"/>
      <c r="AA7" s="448"/>
      <c r="AB7" s="448"/>
      <c r="AC7" s="448"/>
      <c r="AD7" s="448"/>
      <c r="AE7" s="448"/>
      <c r="AF7" s="448"/>
      <c r="AG7" s="448"/>
      <c r="AH7" s="448"/>
      <c r="AI7" s="448"/>
      <c r="AJ7" s="448"/>
      <c r="AK7" s="448"/>
      <c r="AL7" s="448"/>
      <c r="AM7" s="448"/>
      <c r="AN7" s="448"/>
      <c r="AO7" s="448"/>
      <c r="AP7" s="448"/>
      <c r="AQ7" s="448"/>
      <c r="AR7" s="448"/>
      <c r="AS7" s="448"/>
      <c r="AT7" s="448"/>
      <c r="AU7" s="448"/>
      <c r="AV7" s="448"/>
      <c r="AW7" s="448"/>
      <c r="AX7" s="448"/>
      <c r="AY7" s="448"/>
      <c r="AZ7" s="448"/>
      <c r="BA7" s="448"/>
    </row>
    <row r="8" spans="1:53" ht="12.75" customHeight="1" x14ac:dyDescent="0.2">
      <c r="A8" s="484" t="str">
        <f>'Kalkulation Herstellungskosten'!B38</f>
        <v>Set-Aufnahmeleitung (2. AL)</v>
      </c>
      <c r="B8" s="711"/>
      <c r="C8" s="897"/>
      <c r="D8" s="714"/>
      <c r="E8" s="714"/>
      <c r="F8" s="481">
        <f t="shared" si="18"/>
        <v>0</v>
      </c>
      <c r="G8" s="899"/>
      <c r="H8" s="479">
        <f t="shared" si="7"/>
        <v>0</v>
      </c>
      <c r="I8" s="477"/>
      <c r="J8" s="456">
        <f>'Kalkulation Herstellungskosten'!F38/((1+1/6)*1.1041)</f>
        <v>0</v>
      </c>
      <c r="K8" s="457">
        <f t="shared" si="8"/>
        <v>0</v>
      </c>
      <c r="L8" s="457">
        <f t="shared" si="9"/>
        <v>0</v>
      </c>
      <c r="M8" s="449">
        <f t="shared" si="10"/>
        <v>0</v>
      </c>
      <c r="N8" s="457">
        <f>IF(AND('Kalkulation Herstellungskosten'!C38=0,'Kalkulation Herstellungskosten'!C39=0),0,IF(J8/('Kalkulation Herstellungskosten'!C38+'Kalkulation Herstellungskosten'!C39)&gt;SVGrund_lfd_wö,('Kalkulation Herstellungskosten'!C38+'Kalkulation Herstellungskosten'!C39)*Höchst_Woche,J8*SV_lfd))</f>
        <v>0</v>
      </c>
      <c r="O8" s="457">
        <f t="shared" si="11"/>
        <v>0</v>
      </c>
      <c r="P8" s="457">
        <f>IF(J8*10.41%&gt;(0.5833*('Kalkulation Herstellungskosten'!C39+'Kalkulation Herstellungskosten'!C38)*SVGrund_lfd_tä),(0.5833*('Kalkulation Herstellungskosten'!C39+'Kalkulation Herstellungskosten'!C38)*Höchst_Tag),J8*10.41%*SV_lfd)</f>
        <v>0</v>
      </c>
      <c r="Q8" s="457">
        <f t="shared" si="12"/>
        <v>0</v>
      </c>
      <c r="R8" s="457">
        <f t="shared" si="13"/>
        <v>0</v>
      </c>
      <c r="S8" s="457">
        <f t="shared" si="14"/>
        <v>0</v>
      </c>
      <c r="T8" s="457">
        <f t="shared" si="15"/>
        <v>0</v>
      </c>
      <c r="U8" s="457">
        <f t="shared" si="16"/>
        <v>0</v>
      </c>
      <c r="V8" s="457">
        <f>('Kalkulation Herstellungskosten'!C38+'Kalkulation Herstellungskosten'!C39)*U_Bahn</f>
        <v>0</v>
      </c>
      <c r="W8" s="449">
        <f t="shared" si="17"/>
        <v>0</v>
      </c>
      <c r="X8" s="449">
        <f t="shared" si="19"/>
        <v>0</v>
      </c>
      <c r="Y8" s="448"/>
      <c r="Z8" s="448"/>
      <c r="AA8" s="448"/>
      <c r="AB8" s="448"/>
      <c r="AC8" s="448"/>
      <c r="AD8" s="448"/>
      <c r="AE8" s="448"/>
      <c r="AF8" s="448"/>
      <c r="AG8" s="448"/>
      <c r="AH8" s="448"/>
      <c r="AI8" s="448"/>
      <c r="AJ8" s="448"/>
      <c r="AK8" s="448"/>
      <c r="AL8" s="448"/>
      <c r="AM8" s="448"/>
      <c r="AN8" s="448"/>
      <c r="AO8" s="448"/>
      <c r="AP8" s="448"/>
      <c r="AQ8" s="448"/>
      <c r="AR8" s="448"/>
      <c r="AS8" s="448"/>
      <c r="AT8" s="448"/>
      <c r="AU8" s="448"/>
      <c r="AV8" s="448"/>
      <c r="AW8" s="448"/>
      <c r="AX8" s="448"/>
      <c r="AY8" s="448"/>
      <c r="AZ8" s="448"/>
      <c r="BA8" s="448"/>
    </row>
    <row r="9" spans="1:53" ht="12.75" customHeight="1" x14ac:dyDescent="0.2">
      <c r="A9" s="484" t="str">
        <f>'Kalkulation Herstellungskosten'!B40</f>
        <v>Setassistenz</v>
      </c>
      <c r="B9" s="711"/>
      <c r="C9" s="897"/>
      <c r="D9" s="714"/>
      <c r="E9" s="714"/>
      <c r="F9" s="481">
        <f t="shared" si="18"/>
        <v>0</v>
      </c>
      <c r="G9" s="899"/>
      <c r="H9" s="479">
        <f t="shared" si="7"/>
        <v>0</v>
      </c>
      <c r="I9" s="477"/>
      <c r="J9" s="456">
        <f>'Kalkulation Herstellungskosten'!F40/((1+1/6)*1.1041)</f>
        <v>0</v>
      </c>
      <c r="K9" s="457">
        <f t="shared" ref="K9:K11" si="20">J9/6</f>
        <v>0</v>
      </c>
      <c r="L9" s="457">
        <f t="shared" ref="L9:L11" si="21">(J9+K9)*10.41%</f>
        <v>0</v>
      </c>
      <c r="M9" s="449">
        <f t="shared" ref="M9:M11" si="22">SUM(J9:L9)</f>
        <v>0</v>
      </c>
      <c r="N9" s="457">
        <f>IF(AND('Kalkulation Herstellungskosten'!C40=0,'Kalkulation Herstellungskosten'!C41=0),0,IF(J9/('Kalkulation Herstellungskosten'!C40+'Kalkulation Herstellungskosten'!C41)&gt;SVGrund_lfd_wö,('Kalkulation Herstellungskosten'!C40+'Kalkulation Herstellungskosten'!C41)*Höchst_Woche,J9*SV_lfd))</f>
        <v>0</v>
      </c>
      <c r="O9" s="457">
        <f t="shared" ref="O9:O11" si="23">IF(K9&gt;SVGrund_SZ, Höchst_Mo_SZ,K9*SV_SZ)</f>
        <v>0</v>
      </c>
      <c r="P9" s="457">
        <f>IF(J9*10.41%&gt;(0.5833*('Kalkulation Herstellungskosten'!C41+'Kalkulation Herstellungskosten'!C40)*SVGrund_lfd_tä),(0.5833*('Kalkulation Herstellungskosten'!C41+'Kalkulation Herstellungskosten'!C40)*Höchst_Tag),J9*10.41%*SV_lfd)</f>
        <v>0</v>
      </c>
      <c r="Q9" s="457">
        <f t="shared" ref="Q9:Q11" si="24">IF(K9&gt;SVGrund_SZ,0,IF(K9*10.41%&gt;(SVGrund_SZ-K9),(SVGrund_SZ-K9)*SV_SZ,K9*10.41%*SV_SZ))</f>
        <v>0</v>
      </c>
      <c r="R9" s="457">
        <f t="shared" ref="R9:R11" si="25">M9*MV</f>
        <v>0</v>
      </c>
      <c r="S9" s="457">
        <f t="shared" ref="S9:S11" si="26">M9*DB</f>
        <v>0</v>
      </c>
      <c r="T9" s="457">
        <f t="shared" ref="T9:T11" si="27">M9*DZ</f>
        <v>0</v>
      </c>
      <c r="U9" s="457">
        <f t="shared" ref="U9:U11" si="28">M9*KommSt</f>
        <v>0</v>
      </c>
      <c r="V9" s="457">
        <f>('Kalkulation Herstellungskosten'!C40+'Kalkulation Herstellungskosten'!C41)*U_Bahn</f>
        <v>0</v>
      </c>
      <c r="W9" s="449">
        <f t="shared" ref="W9:W11" si="29">SUM(N9:V9)</f>
        <v>0</v>
      </c>
      <c r="X9" s="449">
        <f t="shared" ref="X9:X11" si="30">SUM(M9,W9)</f>
        <v>0</v>
      </c>
      <c r="Y9" s="448"/>
      <c r="Z9" s="448"/>
      <c r="AA9" s="448"/>
      <c r="AB9" s="448"/>
      <c r="AC9" s="448"/>
      <c r="AD9" s="448"/>
      <c r="AE9" s="448"/>
      <c r="AF9" s="448"/>
      <c r="AG9" s="448"/>
      <c r="AH9" s="448"/>
      <c r="AI9" s="448"/>
      <c r="AJ9" s="448"/>
      <c r="AK9" s="448"/>
      <c r="AL9" s="448"/>
      <c r="AM9" s="448"/>
      <c r="AN9" s="448"/>
      <c r="AO9" s="448"/>
      <c r="AP9" s="448"/>
      <c r="AQ9" s="448"/>
      <c r="AR9" s="448"/>
      <c r="AS9" s="448"/>
      <c r="AT9" s="448"/>
      <c r="AU9" s="448"/>
      <c r="AV9" s="448"/>
      <c r="AW9" s="448"/>
      <c r="AX9" s="448"/>
      <c r="AY9" s="448"/>
      <c r="AZ9" s="448"/>
      <c r="BA9" s="448"/>
    </row>
    <row r="10" spans="1:53" ht="12.75" customHeight="1" x14ac:dyDescent="0.2">
      <c r="A10" s="484" t="str">
        <f>'Kalkulation Herstellungskosten'!B42</f>
        <v>Motivaufnahmeleitung</v>
      </c>
      <c r="B10" s="711"/>
      <c r="C10" s="897"/>
      <c r="D10" s="714"/>
      <c r="E10" s="714"/>
      <c r="F10" s="481">
        <f t="shared" si="18"/>
        <v>0</v>
      </c>
      <c r="G10" s="899"/>
      <c r="H10" s="479">
        <f t="shared" si="7"/>
        <v>0</v>
      </c>
      <c r="I10" s="477"/>
      <c r="J10" s="456">
        <f>'Kalkulation Herstellungskosten'!F42/((1+1/6)*1.1041)</f>
        <v>0</v>
      </c>
      <c r="K10" s="457">
        <f t="shared" si="20"/>
        <v>0</v>
      </c>
      <c r="L10" s="457">
        <f t="shared" si="21"/>
        <v>0</v>
      </c>
      <c r="M10" s="449">
        <f t="shared" si="22"/>
        <v>0</v>
      </c>
      <c r="N10" s="457">
        <f>IF(AND('Kalkulation Herstellungskosten'!C42=0,'Kalkulation Herstellungskosten'!C43=0),0,IF(J10/('Kalkulation Herstellungskosten'!C42+'Kalkulation Herstellungskosten'!C43)&gt;SVGrund_lfd_wö,('Kalkulation Herstellungskosten'!C42+'Kalkulation Herstellungskosten'!C43)*Höchst_Woche,J10*SV_lfd))</f>
        <v>0</v>
      </c>
      <c r="O10" s="457">
        <f t="shared" si="23"/>
        <v>0</v>
      </c>
      <c r="P10" s="457">
        <f>IF(J10*10.41%&gt;(0.5833*('Kalkulation Herstellungskosten'!C43+'Kalkulation Herstellungskosten'!C42)*SVGrund_lfd_tä),(0.5833*('Kalkulation Herstellungskosten'!C43+'Kalkulation Herstellungskosten'!C42)*Höchst_Tag),J10*10.41%*SV_lfd)</f>
        <v>0</v>
      </c>
      <c r="Q10" s="457">
        <f t="shared" si="24"/>
        <v>0</v>
      </c>
      <c r="R10" s="457">
        <f t="shared" si="25"/>
        <v>0</v>
      </c>
      <c r="S10" s="457">
        <f t="shared" si="26"/>
        <v>0</v>
      </c>
      <c r="T10" s="457">
        <f t="shared" si="27"/>
        <v>0</v>
      </c>
      <c r="U10" s="457">
        <f t="shared" si="28"/>
        <v>0</v>
      </c>
      <c r="V10" s="457">
        <f>('Kalkulation Herstellungskosten'!C42+'Kalkulation Herstellungskosten'!C43)*U_Bahn</f>
        <v>0</v>
      </c>
      <c r="W10" s="449">
        <f t="shared" si="29"/>
        <v>0</v>
      </c>
      <c r="X10" s="449">
        <f t="shared" si="30"/>
        <v>0</v>
      </c>
      <c r="Y10" s="448"/>
      <c r="Z10" s="448"/>
      <c r="AA10" s="448"/>
      <c r="AB10" s="448"/>
      <c r="AC10" s="448"/>
      <c r="AD10" s="448"/>
      <c r="AE10" s="448"/>
      <c r="AF10" s="448"/>
      <c r="AG10" s="448"/>
      <c r="AH10" s="448"/>
      <c r="AI10" s="448"/>
      <c r="AJ10" s="448"/>
      <c r="AK10" s="448"/>
      <c r="AL10" s="448"/>
      <c r="AM10" s="448"/>
      <c r="AN10" s="448"/>
      <c r="AO10" s="448"/>
      <c r="AP10" s="448"/>
      <c r="AQ10" s="448"/>
      <c r="AR10" s="448"/>
      <c r="AS10" s="448"/>
      <c r="AT10" s="448"/>
      <c r="AU10" s="448"/>
      <c r="AV10" s="448"/>
      <c r="AW10" s="448"/>
      <c r="AX10" s="448"/>
      <c r="AY10" s="448"/>
      <c r="AZ10" s="448"/>
      <c r="BA10" s="448"/>
    </row>
    <row r="11" spans="1:53" ht="12.75" customHeight="1" x14ac:dyDescent="0.2">
      <c r="A11" s="484" t="str">
        <f>'Kalkulation Herstellungskosten'!B44</f>
        <v>Motivaufnahmeleitung Assi</v>
      </c>
      <c r="B11" s="711"/>
      <c r="C11" s="897"/>
      <c r="D11" s="714"/>
      <c r="E11" s="714"/>
      <c r="F11" s="481">
        <f t="shared" si="18"/>
        <v>0</v>
      </c>
      <c r="G11" s="899"/>
      <c r="H11" s="479">
        <f t="shared" si="7"/>
        <v>0</v>
      </c>
      <c r="I11" s="477"/>
      <c r="J11" s="456">
        <f>'Kalkulation Herstellungskosten'!F44/((1+1/6)*1.1041)</f>
        <v>0</v>
      </c>
      <c r="K11" s="457">
        <f t="shared" si="20"/>
        <v>0</v>
      </c>
      <c r="L11" s="457">
        <f t="shared" si="21"/>
        <v>0</v>
      </c>
      <c r="M11" s="449">
        <f t="shared" si="22"/>
        <v>0</v>
      </c>
      <c r="N11" s="457">
        <f>IF(AND('Kalkulation Herstellungskosten'!C44=0,'Kalkulation Herstellungskosten'!C45=0),0,IF(J11/('Kalkulation Herstellungskosten'!C44+'Kalkulation Herstellungskosten'!C45)&gt;SVGrund_lfd_wö,('Kalkulation Herstellungskosten'!C44+'Kalkulation Herstellungskosten'!C45)*Höchst_Woche,J11*SV_lfd))</f>
        <v>0</v>
      </c>
      <c r="O11" s="457">
        <f t="shared" si="23"/>
        <v>0</v>
      </c>
      <c r="P11" s="457">
        <f>IF(J11*10.41%&gt;(0.5833*('Kalkulation Herstellungskosten'!C45+'Kalkulation Herstellungskosten'!C44)*SVGrund_lfd_tä),(0.5833*('Kalkulation Herstellungskosten'!C45+'Kalkulation Herstellungskosten'!C44)*Höchst_Tag),J11*10.41%*SV_lfd)</f>
        <v>0</v>
      </c>
      <c r="Q11" s="457">
        <f t="shared" si="24"/>
        <v>0</v>
      </c>
      <c r="R11" s="457">
        <f t="shared" si="25"/>
        <v>0</v>
      </c>
      <c r="S11" s="457">
        <f t="shared" si="26"/>
        <v>0</v>
      </c>
      <c r="T11" s="457">
        <f t="shared" si="27"/>
        <v>0</v>
      </c>
      <c r="U11" s="457">
        <f t="shared" si="28"/>
        <v>0</v>
      </c>
      <c r="V11" s="457">
        <f>('Kalkulation Herstellungskosten'!C44+'Kalkulation Herstellungskosten'!C45)*U_Bahn</f>
        <v>0</v>
      </c>
      <c r="W11" s="449">
        <f t="shared" si="29"/>
        <v>0</v>
      </c>
      <c r="X11" s="449">
        <f t="shared" si="30"/>
        <v>0</v>
      </c>
      <c r="Y11" s="448"/>
      <c r="Z11" s="448"/>
      <c r="AA11" s="448"/>
      <c r="AB11" s="448"/>
      <c r="AC11" s="448"/>
      <c r="AD11" s="448"/>
      <c r="AE11" s="448"/>
      <c r="AF11" s="448"/>
      <c r="AG11" s="448"/>
      <c r="AH11" s="448"/>
      <c r="AI11" s="448"/>
      <c r="AJ11" s="448"/>
      <c r="AK11" s="448"/>
      <c r="AL11" s="448"/>
      <c r="AM11" s="448"/>
      <c r="AN11" s="448"/>
      <c r="AO11" s="448"/>
      <c r="AP11" s="448"/>
      <c r="AQ11" s="448"/>
      <c r="AR11" s="448"/>
      <c r="AS11" s="448"/>
      <c r="AT11" s="448"/>
      <c r="AU11" s="448"/>
      <c r="AV11" s="448"/>
      <c r="AW11" s="448"/>
      <c r="AX11" s="448"/>
      <c r="AY11" s="448"/>
      <c r="AZ11" s="448"/>
      <c r="BA11" s="448"/>
    </row>
    <row r="12" spans="1:53" ht="12.75" customHeight="1" x14ac:dyDescent="0.2">
      <c r="A12" s="484" t="str">
        <f>'Kalkulation Herstellungskosten'!B46</f>
        <v>Produktionskoordination</v>
      </c>
      <c r="B12" s="711"/>
      <c r="C12" s="897"/>
      <c r="D12" s="714"/>
      <c r="E12" s="714"/>
      <c r="F12" s="481">
        <f t="shared" si="18"/>
        <v>0</v>
      </c>
      <c r="G12" s="899"/>
      <c r="H12" s="479">
        <f t="shared" si="7"/>
        <v>0</v>
      </c>
      <c r="I12" s="477"/>
      <c r="J12" s="456">
        <f>'Kalkulation Herstellungskosten'!F46/((1+1/6)*1.1041)</f>
        <v>0</v>
      </c>
      <c r="K12" s="457">
        <f t="shared" ref="K12" si="31">J12/6</f>
        <v>0</v>
      </c>
      <c r="L12" s="457">
        <f t="shared" ref="L12" si="32">(J12+K12)*10.41%</f>
        <v>0</v>
      </c>
      <c r="M12" s="449">
        <f t="shared" ref="M12" si="33">SUM(J12:L12)</f>
        <v>0</v>
      </c>
      <c r="N12" s="457">
        <f>IF(AND('Kalkulation Herstellungskosten'!C46=0,'Kalkulation Herstellungskosten'!C47=0),0,IF(J12/('Kalkulation Herstellungskosten'!C46+'Kalkulation Herstellungskosten'!C47)&gt;SVGrund_lfd_wö,('Kalkulation Herstellungskosten'!C46+'Kalkulation Herstellungskosten'!C47)*Höchst_Woche,J12*SV_lfd))</f>
        <v>0</v>
      </c>
      <c r="O12" s="457">
        <f t="shared" ref="O12" si="34">IF(K12&gt;SVGrund_SZ, Höchst_Mo_SZ,K12*SV_SZ)</f>
        <v>0</v>
      </c>
      <c r="P12" s="457">
        <f>IF(J12*10.41%&gt;(0.5833*('Kalkulation Herstellungskosten'!C47+'Kalkulation Herstellungskosten'!C46)*SVGrund_lfd_tä),(0.5833*('Kalkulation Herstellungskosten'!C47+'Kalkulation Herstellungskosten'!C46)*Höchst_Tag),J12*10.41%*SV_lfd)</f>
        <v>0</v>
      </c>
      <c r="Q12" s="457">
        <f t="shared" ref="Q12" si="35">IF(K12&gt;SVGrund_SZ,0,IF(K12*10.41%&gt;(SVGrund_SZ-K12),(SVGrund_SZ-K12)*SV_SZ,K12*10.41%*SV_SZ))</f>
        <v>0</v>
      </c>
      <c r="R12" s="457">
        <f t="shared" ref="R12" si="36">M12*MV</f>
        <v>0</v>
      </c>
      <c r="S12" s="457">
        <f t="shared" ref="S12" si="37">M12*DB</f>
        <v>0</v>
      </c>
      <c r="T12" s="457">
        <f t="shared" ref="T12" si="38">M12*DZ</f>
        <v>0</v>
      </c>
      <c r="U12" s="457">
        <f t="shared" ref="U12" si="39">M12*KommSt</f>
        <v>0</v>
      </c>
      <c r="V12" s="457">
        <f>('Kalkulation Herstellungskosten'!C46+'Kalkulation Herstellungskosten'!C47)*U_Bahn</f>
        <v>0</v>
      </c>
      <c r="W12" s="449">
        <f t="shared" ref="W12" si="40">SUM(N12:V12)</f>
        <v>0</v>
      </c>
      <c r="X12" s="449">
        <f t="shared" ref="X12" si="41">SUM(M12,W12)</f>
        <v>0</v>
      </c>
      <c r="Y12" s="448"/>
      <c r="Z12" s="448"/>
      <c r="AA12" s="448"/>
      <c r="AB12" s="448"/>
      <c r="AC12" s="448"/>
      <c r="AD12" s="448"/>
      <c r="AE12" s="448"/>
      <c r="AF12" s="448"/>
      <c r="AG12" s="448"/>
      <c r="AH12" s="448"/>
      <c r="AI12" s="448"/>
      <c r="AJ12" s="448"/>
      <c r="AK12" s="448"/>
      <c r="AL12" s="448"/>
      <c r="AM12" s="448"/>
      <c r="AN12" s="448"/>
      <c r="AO12" s="448"/>
      <c r="AP12" s="448"/>
      <c r="AQ12" s="448"/>
      <c r="AR12" s="448"/>
      <c r="AS12" s="448"/>
      <c r="AT12" s="448"/>
      <c r="AU12" s="448"/>
      <c r="AV12" s="448"/>
      <c r="AW12" s="448"/>
      <c r="AX12" s="448"/>
      <c r="AY12" s="448"/>
      <c r="AZ12" s="448"/>
      <c r="BA12" s="448"/>
    </row>
    <row r="13" spans="1:53" ht="12.75" customHeight="1" x14ac:dyDescent="0.2">
      <c r="A13" s="484" t="str">
        <f>'Kalkulation Herstellungskosten'!B48</f>
        <v>Postproduktionskoordination</v>
      </c>
      <c r="B13" s="711"/>
      <c r="C13" s="897"/>
      <c r="D13" s="714"/>
      <c r="E13" s="714"/>
      <c r="F13" s="481">
        <f t="shared" si="18"/>
        <v>0</v>
      </c>
      <c r="G13" s="899"/>
      <c r="H13" s="479">
        <f t="shared" si="7"/>
        <v>0</v>
      </c>
      <c r="I13" s="477"/>
      <c r="J13" s="456">
        <f>'Kalkulation Herstellungskosten'!F48/((1+1/6)*1.1041)</f>
        <v>0</v>
      </c>
      <c r="K13" s="457">
        <f t="shared" si="8"/>
        <v>0</v>
      </c>
      <c r="L13" s="457">
        <f t="shared" si="9"/>
        <v>0</v>
      </c>
      <c r="M13" s="449">
        <f t="shared" si="10"/>
        <v>0</v>
      </c>
      <c r="N13" s="457">
        <f>IF(AND('Kalkulation Herstellungskosten'!C48=0,'Kalkulation Herstellungskosten'!C49=0),0,IF(J13/('Kalkulation Herstellungskosten'!C48+'Kalkulation Herstellungskosten'!C49)&gt;SVGrund_lfd_wö,('Kalkulation Herstellungskosten'!C48+'Kalkulation Herstellungskosten'!C49)*Höchst_Woche,J13*SV_lfd))</f>
        <v>0</v>
      </c>
      <c r="O13" s="457">
        <f t="shared" si="11"/>
        <v>0</v>
      </c>
      <c r="P13" s="457">
        <f>IF(J13*10.41%&gt;(0.5833*('Kalkulation Herstellungskosten'!C49+'Kalkulation Herstellungskosten'!C48)*SVGrund_lfd_tä),(0.5833*('Kalkulation Herstellungskosten'!C49+'Kalkulation Herstellungskosten'!C48)*Höchst_Tag),J13*10.41%*SV_lfd)</f>
        <v>0</v>
      </c>
      <c r="Q13" s="457">
        <f t="shared" si="12"/>
        <v>0</v>
      </c>
      <c r="R13" s="457">
        <f t="shared" si="13"/>
        <v>0</v>
      </c>
      <c r="S13" s="457">
        <f t="shared" si="14"/>
        <v>0</v>
      </c>
      <c r="T13" s="457">
        <f t="shared" si="15"/>
        <v>0</v>
      </c>
      <c r="U13" s="457">
        <f t="shared" si="16"/>
        <v>0</v>
      </c>
      <c r="V13" s="457">
        <f>('Kalkulation Herstellungskosten'!C48+'Kalkulation Herstellungskosten'!C49)*U_Bahn</f>
        <v>0</v>
      </c>
      <c r="W13" s="449">
        <f t="shared" si="17"/>
        <v>0</v>
      </c>
      <c r="X13" s="449">
        <f t="shared" si="19"/>
        <v>0</v>
      </c>
      <c r="Y13" s="448"/>
      <c r="Z13" s="448"/>
      <c r="AA13" s="448"/>
      <c r="AB13" s="448"/>
      <c r="AC13" s="448"/>
      <c r="AD13" s="448"/>
      <c r="AE13" s="448"/>
      <c r="AF13" s="448"/>
      <c r="AG13" s="448"/>
      <c r="AH13" s="448"/>
      <c r="AI13" s="448"/>
      <c r="AJ13" s="448"/>
      <c r="AK13" s="448"/>
      <c r="AL13" s="448"/>
      <c r="AM13" s="448"/>
      <c r="AN13" s="448"/>
      <c r="AO13" s="448"/>
      <c r="AP13" s="448"/>
      <c r="AQ13" s="448"/>
      <c r="AR13" s="448"/>
      <c r="AS13" s="448"/>
      <c r="AT13" s="448"/>
      <c r="AU13" s="448"/>
      <c r="AV13" s="448"/>
      <c r="AW13" s="448"/>
      <c r="AX13" s="448"/>
      <c r="AY13" s="448"/>
      <c r="AZ13" s="448"/>
      <c r="BA13" s="448"/>
    </row>
    <row r="14" spans="1:53" ht="12.75" customHeight="1" x14ac:dyDescent="0.2">
      <c r="A14" s="484" t="str">
        <f>'Kalkulation Herstellungskosten'!B50</f>
        <v>Produktionsassistenz</v>
      </c>
      <c r="B14" s="711"/>
      <c r="C14" s="897"/>
      <c r="D14" s="714"/>
      <c r="E14" s="714"/>
      <c r="F14" s="481">
        <f t="shared" si="18"/>
        <v>0</v>
      </c>
      <c r="G14" s="899"/>
      <c r="H14" s="479">
        <f t="shared" si="7"/>
        <v>0</v>
      </c>
      <c r="I14" s="477"/>
      <c r="J14" s="456">
        <f>'Kalkulation Herstellungskosten'!F50/((1+1/6)*1.1041)</f>
        <v>0</v>
      </c>
      <c r="K14" s="457">
        <f t="shared" si="8"/>
        <v>0</v>
      </c>
      <c r="L14" s="457">
        <f t="shared" si="9"/>
        <v>0</v>
      </c>
      <c r="M14" s="449">
        <f t="shared" si="10"/>
        <v>0</v>
      </c>
      <c r="N14" s="457">
        <f>IF(AND('Kalkulation Herstellungskosten'!C50=0,'Kalkulation Herstellungskosten'!C51=0),0,IF(J14/('Kalkulation Herstellungskosten'!C50+'Kalkulation Herstellungskosten'!C51)&gt;SVGrund_lfd_wö,('Kalkulation Herstellungskosten'!C50+'Kalkulation Herstellungskosten'!C51)*Höchst_Woche,J14*SV_lfd))</f>
        <v>0</v>
      </c>
      <c r="O14" s="457">
        <f t="shared" si="11"/>
        <v>0</v>
      </c>
      <c r="P14" s="457">
        <f>IF(J14*10.41%&gt;(0.5833*('Kalkulation Herstellungskosten'!C51+'Kalkulation Herstellungskosten'!C50)*SVGrund_lfd_tä),(0.5833*('Kalkulation Herstellungskosten'!C51+'Kalkulation Herstellungskosten'!C50)*Höchst_Tag),J14*10.41%*SV_lfd)</f>
        <v>0</v>
      </c>
      <c r="Q14" s="457">
        <f t="shared" si="12"/>
        <v>0</v>
      </c>
      <c r="R14" s="457">
        <f t="shared" si="13"/>
        <v>0</v>
      </c>
      <c r="S14" s="457">
        <f t="shared" si="14"/>
        <v>0</v>
      </c>
      <c r="T14" s="457">
        <f t="shared" si="15"/>
        <v>0</v>
      </c>
      <c r="U14" s="457">
        <f t="shared" si="16"/>
        <v>0</v>
      </c>
      <c r="V14" s="457">
        <f>('Kalkulation Herstellungskosten'!C50+'Kalkulation Herstellungskosten'!C51)*U_Bahn</f>
        <v>0</v>
      </c>
      <c r="W14" s="449">
        <f t="shared" si="17"/>
        <v>0</v>
      </c>
      <c r="X14" s="449">
        <f t="shared" si="19"/>
        <v>0</v>
      </c>
      <c r="Y14" s="448"/>
      <c r="Z14" s="470"/>
      <c r="AA14" s="448"/>
      <c r="AB14" s="448"/>
      <c r="AC14" s="448"/>
      <c r="AD14" s="448"/>
      <c r="AE14" s="448"/>
      <c r="AF14" s="448"/>
      <c r="AG14" s="448"/>
      <c r="AH14" s="448"/>
      <c r="AI14" s="448"/>
      <c r="AJ14" s="448"/>
      <c r="AK14" s="448"/>
      <c r="AL14" s="448"/>
      <c r="AM14" s="448"/>
      <c r="AN14" s="448"/>
      <c r="AO14" s="448"/>
      <c r="AP14" s="448"/>
      <c r="AQ14" s="448"/>
      <c r="AR14" s="448"/>
      <c r="AS14" s="448"/>
      <c r="AT14" s="448"/>
      <c r="AU14" s="448"/>
      <c r="AV14" s="448"/>
      <c r="AW14" s="448"/>
      <c r="AX14" s="448"/>
      <c r="AY14" s="448"/>
      <c r="AZ14" s="448"/>
      <c r="BA14" s="448"/>
    </row>
    <row r="15" spans="1:53" ht="12.75" customHeight="1" x14ac:dyDescent="0.2">
      <c r="A15" s="484" t="str">
        <f>'Kalkulation Herstellungskosten'!B52</f>
        <v>Filmgeschäftsführung</v>
      </c>
      <c r="B15" s="711"/>
      <c r="C15" s="897"/>
      <c r="D15" s="714"/>
      <c r="E15" s="714"/>
      <c r="F15" s="481">
        <f t="shared" si="18"/>
        <v>0</v>
      </c>
      <c r="G15" s="899"/>
      <c r="H15" s="479">
        <f t="shared" si="7"/>
        <v>0</v>
      </c>
      <c r="I15" s="477"/>
      <c r="J15" s="456">
        <f>'Kalkulation Herstellungskosten'!F52/((1+1/6)*1.1041)</f>
        <v>0</v>
      </c>
      <c r="K15" s="457">
        <f t="shared" si="8"/>
        <v>0</v>
      </c>
      <c r="L15" s="457">
        <f t="shared" si="9"/>
        <v>0</v>
      </c>
      <c r="M15" s="449">
        <f t="shared" si="10"/>
        <v>0</v>
      </c>
      <c r="N15" s="457">
        <f>IF(AND('Kalkulation Herstellungskosten'!C52=0,'Kalkulation Herstellungskosten'!C53=0),0,IF(J15/('Kalkulation Herstellungskosten'!C52+'Kalkulation Herstellungskosten'!C53)&gt;SVGrund_lfd_wö,('Kalkulation Herstellungskosten'!C52+'Kalkulation Herstellungskosten'!C53)*Höchst_Woche,J15*SV_lfd))</f>
        <v>0</v>
      </c>
      <c r="O15" s="457">
        <f t="shared" si="11"/>
        <v>0</v>
      </c>
      <c r="P15" s="457">
        <f>IF(J15*10.41%&gt;(0.5833*('Kalkulation Herstellungskosten'!C53+'Kalkulation Herstellungskosten'!C52)*SVGrund_lfd_tä),(0.5833*('Kalkulation Herstellungskosten'!C53+'Kalkulation Herstellungskosten'!C52)*Höchst_Tag),J15*10.41%*SV_lfd)</f>
        <v>0</v>
      </c>
      <c r="Q15" s="457">
        <f t="shared" si="12"/>
        <v>0</v>
      </c>
      <c r="R15" s="457">
        <f t="shared" si="13"/>
        <v>0</v>
      </c>
      <c r="S15" s="457">
        <f t="shared" si="14"/>
        <v>0</v>
      </c>
      <c r="T15" s="457">
        <f t="shared" si="15"/>
        <v>0</v>
      </c>
      <c r="U15" s="457">
        <f t="shared" si="16"/>
        <v>0</v>
      </c>
      <c r="V15" s="457">
        <f>('Kalkulation Herstellungskosten'!C52+'Kalkulation Herstellungskosten'!C53)*U_Bahn</f>
        <v>0</v>
      </c>
      <c r="W15" s="449">
        <f t="shared" si="17"/>
        <v>0</v>
      </c>
      <c r="X15" s="449">
        <f t="shared" si="19"/>
        <v>0</v>
      </c>
      <c r="Y15" s="448"/>
      <c r="Z15" s="470"/>
      <c r="AA15" s="448"/>
      <c r="AB15" s="448"/>
      <c r="AC15" s="448"/>
      <c r="AD15" s="448"/>
      <c r="AE15" s="448"/>
      <c r="AF15" s="448"/>
      <c r="AG15" s="448"/>
      <c r="AH15" s="448"/>
      <c r="AI15" s="448"/>
      <c r="AJ15" s="448"/>
      <c r="AK15" s="448"/>
      <c r="AL15" s="448"/>
      <c r="AM15" s="448"/>
      <c r="AN15" s="448"/>
      <c r="AO15" s="448"/>
      <c r="AP15" s="448"/>
      <c r="AQ15" s="448"/>
      <c r="AR15" s="448"/>
      <c r="AS15" s="448"/>
      <c r="AT15" s="448"/>
      <c r="AU15" s="448"/>
      <c r="AV15" s="448"/>
      <c r="AW15" s="448"/>
      <c r="AX15" s="448"/>
      <c r="AY15" s="448"/>
      <c r="AZ15" s="448"/>
      <c r="BA15" s="448"/>
    </row>
    <row r="16" spans="1:53" ht="12.75" customHeight="1" x14ac:dyDescent="0.2">
      <c r="A16" s="484" t="str">
        <f>'Kalkulation Herstellungskosten'!B54</f>
        <v>Regie</v>
      </c>
      <c r="B16" s="712"/>
      <c r="C16" s="897"/>
      <c r="D16" s="714"/>
      <c r="E16" s="714"/>
      <c r="F16" s="481">
        <f t="shared" si="18"/>
        <v>0</v>
      </c>
      <c r="G16" s="899"/>
      <c r="H16" s="479">
        <f t="shared" si="7"/>
        <v>0</v>
      </c>
      <c r="I16" s="477"/>
      <c r="J16" s="456">
        <f>'Kalkulation Herstellungskosten'!F55/((1+1/6)*1.1041)</f>
        <v>0</v>
      </c>
      <c r="K16" s="457">
        <f t="shared" si="8"/>
        <v>0</v>
      </c>
      <c r="L16" s="457">
        <f t="shared" si="9"/>
        <v>0</v>
      </c>
      <c r="M16" s="449">
        <f t="shared" si="10"/>
        <v>0</v>
      </c>
      <c r="N16" s="457">
        <f>IF('Kalkulation Herstellungskosten'!C55=0,0,IF(J16/('Kalkulation Herstellungskosten'!C55)&gt;SVGrund_lfd_wö,('Kalkulation Herstellungskosten'!C55)*Höchst_Woche,J16*SV_lfd))</f>
        <v>0</v>
      </c>
      <c r="O16" s="457">
        <f t="shared" si="11"/>
        <v>0</v>
      </c>
      <c r="P16" s="457">
        <f>IF(J16*10.41%&gt;(0.5833*'Kalkulation Herstellungskosten'!C55*SVGrund_lfd_tä),(0.5833*'Kalkulation Herstellungskosten'!C55*Höchst_Tag),J16*10.41%*SV_lfd)</f>
        <v>0</v>
      </c>
      <c r="Q16" s="457">
        <f t="shared" si="12"/>
        <v>0</v>
      </c>
      <c r="R16" s="457">
        <f t="shared" si="13"/>
        <v>0</v>
      </c>
      <c r="S16" s="457">
        <f t="shared" si="14"/>
        <v>0</v>
      </c>
      <c r="T16" s="457">
        <f t="shared" si="15"/>
        <v>0</v>
      </c>
      <c r="U16" s="457">
        <f t="shared" si="16"/>
        <v>0</v>
      </c>
      <c r="V16" s="457">
        <f>'Kalkulation Herstellungskosten'!C55*U_Bahn</f>
        <v>0</v>
      </c>
      <c r="W16" s="449">
        <f t="shared" si="17"/>
        <v>0</v>
      </c>
      <c r="X16" s="449">
        <f t="shared" si="19"/>
        <v>0</v>
      </c>
      <c r="Y16" s="448"/>
      <c r="Z16" s="470"/>
      <c r="AA16" s="448"/>
      <c r="AB16" s="448"/>
      <c r="AC16" s="448"/>
      <c r="AD16" s="448"/>
      <c r="AE16" s="448"/>
      <c r="AF16" s="448"/>
      <c r="AG16" s="448"/>
      <c r="AH16" s="448"/>
      <c r="AI16" s="448"/>
      <c r="AJ16" s="448"/>
      <c r="AK16" s="448"/>
      <c r="AL16" s="448"/>
      <c r="AM16" s="448"/>
      <c r="AN16" s="448"/>
      <c r="AO16" s="448"/>
      <c r="AP16" s="448"/>
      <c r="AQ16" s="448"/>
      <c r="AR16" s="448"/>
      <c r="AS16" s="448"/>
      <c r="AT16" s="448"/>
      <c r="AU16" s="448"/>
      <c r="AV16" s="448"/>
      <c r="AW16" s="448"/>
      <c r="AX16" s="448"/>
      <c r="AY16" s="448"/>
      <c r="AZ16" s="448"/>
      <c r="BA16" s="448"/>
    </row>
    <row r="17" spans="1:53" ht="12.75" customHeight="1" x14ac:dyDescent="0.2">
      <c r="A17" s="484" t="str">
        <f>'Kalkulation Herstellungskosten'!B56</f>
        <v>Regieassistenz</v>
      </c>
      <c r="B17" s="711"/>
      <c r="C17" s="897"/>
      <c r="D17" s="714"/>
      <c r="E17" s="714"/>
      <c r="F17" s="481">
        <f t="shared" si="18"/>
        <v>0</v>
      </c>
      <c r="G17" s="899"/>
      <c r="H17" s="479">
        <f t="shared" si="7"/>
        <v>0</v>
      </c>
      <c r="I17" s="477"/>
      <c r="J17" s="456">
        <f>'Kalkulation Herstellungskosten'!F56/((1+1/6)*1.1041)</f>
        <v>0</v>
      </c>
      <c r="K17" s="457">
        <f t="shared" si="8"/>
        <v>0</v>
      </c>
      <c r="L17" s="457">
        <f t="shared" si="9"/>
        <v>0</v>
      </c>
      <c r="M17" s="449">
        <f t="shared" si="10"/>
        <v>0</v>
      </c>
      <c r="N17" s="457">
        <f>IF(AND('Kalkulation Herstellungskosten'!C56=0,'Kalkulation Herstellungskosten'!C57=0),0,IF(J17/('Kalkulation Herstellungskosten'!C56+'Kalkulation Herstellungskosten'!C57)&gt;SVGrund_lfd_wö,('Kalkulation Herstellungskosten'!C56+'Kalkulation Herstellungskosten'!C57)*Höchst_Woche,J17*SV_lfd))</f>
        <v>0</v>
      </c>
      <c r="O17" s="457">
        <f t="shared" si="11"/>
        <v>0</v>
      </c>
      <c r="P17" s="457">
        <f>IF(J17*10.41%&gt;(0.5833*('Kalkulation Herstellungskosten'!C57+'Kalkulation Herstellungskosten'!C56)*SVGrund_lfd_tä),(0.5833*('Kalkulation Herstellungskosten'!C57+'Kalkulation Herstellungskosten'!C56)*Höchst_Tag),J17*10.41%*SV_lfd)</f>
        <v>0</v>
      </c>
      <c r="Q17" s="457">
        <f t="shared" si="12"/>
        <v>0</v>
      </c>
      <c r="R17" s="457">
        <f t="shared" si="13"/>
        <v>0</v>
      </c>
      <c r="S17" s="457">
        <f t="shared" si="14"/>
        <v>0</v>
      </c>
      <c r="T17" s="457">
        <f t="shared" si="15"/>
        <v>0</v>
      </c>
      <c r="U17" s="457">
        <f t="shared" si="16"/>
        <v>0</v>
      </c>
      <c r="V17" s="457">
        <f>('Kalkulation Herstellungskosten'!C56+'Kalkulation Herstellungskosten'!C57)*U_Bahn</f>
        <v>0</v>
      </c>
      <c r="W17" s="449">
        <f t="shared" si="17"/>
        <v>0</v>
      </c>
      <c r="X17" s="449">
        <f t="shared" si="19"/>
        <v>0</v>
      </c>
      <c r="Y17" s="448"/>
      <c r="Z17" s="470"/>
      <c r="AA17" s="448"/>
      <c r="AB17" s="448"/>
      <c r="AC17" s="448"/>
      <c r="AD17" s="448"/>
      <c r="AE17" s="448"/>
      <c r="AF17" s="448"/>
      <c r="AG17" s="448"/>
      <c r="AH17" s="448"/>
      <c r="AI17" s="448"/>
      <c r="AJ17" s="448"/>
      <c r="AK17" s="448"/>
      <c r="AL17" s="448"/>
      <c r="AM17" s="448"/>
      <c r="AN17" s="448"/>
      <c r="AO17" s="448"/>
      <c r="AP17" s="448"/>
      <c r="AQ17" s="448"/>
      <c r="AR17" s="448"/>
      <c r="AS17" s="448"/>
      <c r="AT17" s="448"/>
      <c r="AU17" s="448"/>
      <c r="AV17" s="448"/>
      <c r="AW17" s="448"/>
      <c r="AX17" s="448"/>
      <c r="AY17" s="448"/>
      <c r="AZ17" s="448"/>
      <c r="BA17" s="448"/>
    </row>
    <row r="18" spans="1:53" ht="12.75" customHeight="1" x14ac:dyDescent="0.2">
      <c r="A18" s="484" t="str">
        <f>'Kalkulation Herstellungskosten'!B58</f>
        <v>2. Regieassistenz</v>
      </c>
      <c r="B18" s="711"/>
      <c r="C18" s="897"/>
      <c r="D18" s="714"/>
      <c r="E18" s="714"/>
      <c r="F18" s="481">
        <f t="shared" si="18"/>
        <v>0</v>
      </c>
      <c r="G18" s="899"/>
      <c r="H18" s="479">
        <f t="shared" si="7"/>
        <v>0</v>
      </c>
      <c r="I18" s="477"/>
      <c r="J18" s="456">
        <f>'Kalkulation Herstellungskosten'!F58/((1+1/6)*1.1041)</f>
        <v>0</v>
      </c>
      <c r="K18" s="457">
        <f t="shared" ref="K18" si="42">J18/6</f>
        <v>0</v>
      </c>
      <c r="L18" s="457">
        <f t="shared" ref="L18" si="43">(J18+K18)*10.41%</f>
        <v>0</v>
      </c>
      <c r="M18" s="449">
        <f t="shared" ref="M18" si="44">SUM(J18:L18)</f>
        <v>0</v>
      </c>
      <c r="N18" s="457">
        <f>IF(AND('Kalkulation Herstellungskosten'!C58=0,'Kalkulation Herstellungskosten'!C59=0),0,IF(J18/('Kalkulation Herstellungskosten'!C58+'Kalkulation Herstellungskosten'!C59)&gt;SVGrund_lfd_wö,('Kalkulation Herstellungskosten'!C58+'Kalkulation Herstellungskosten'!C59)*Höchst_Woche,J18*SV_lfd))</f>
        <v>0</v>
      </c>
      <c r="O18" s="457">
        <f t="shared" ref="O18" si="45">IF(K18&gt;SVGrund_SZ, Höchst_Mo_SZ,K18*SV_SZ)</f>
        <v>0</v>
      </c>
      <c r="P18" s="457">
        <f>IF(J18*10.41%&gt;(0.5833*('Kalkulation Herstellungskosten'!C59+'Kalkulation Herstellungskosten'!C58)*SVGrund_lfd_tä),(0.5833*('Kalkulation Herstellungskosten'!C59+'Kalkulation Herstellungskosten'!C58)*Höchst_Tag),J18*10.41%*SV_lfd)</f>
        <v>0</v>
      </c>
      <c r="Q18" s="457">
        <f t="shared" ref="Q18" si="46">IF(K18&gt;SVGrund_SZ,0,IF(K18*10.41%&gt;(SVGrund_SZ-K18),(SVGrund_SZ-K18)*SV_SZ,K18*10.41%*SV_SZ))</f>
        <v>0</v>
      </c>
      <c r="R18" s="457">
        <f t="shared" ref="R18" si="47">M18*MV</f>
        <v>0</v>
      </c>
      <c r="S18" s="457">
        <f t="shared" ref="S18" si="48">M18*DB</f>
        <v>0</v>
      </c>
      <c r="T18" s="457">
        <f t="shared" ref="T18" si="49">M18*DZ</f>
        <v>0</v>
      </c>
      <c r="U18" s="457">
        <f t="shared" ref="U18" si="50">M18*KommSt</f>
        <v>0</v>
      </c>
      <c r="V18" s="457">
        <f>('Kalkulation Herstellungskosten'!C58+'Kalkulation Herstellungskosten'!C59)*U_Bahn</f>
        <v>0</v>
      </c>
      <c r="W18" s="449">
        <f t="shared" ref="W18" si="51">SUM(N18:V18)</f>
        <v>0</v>
      </c>
      <c r="X18" s="449">
        <f t="shared" ref="X18" si="52">SUM(M18,W18)</f>
        <v>0</v>
      </c>
      <c r="Y18" s="448"/>
      <c r="Z18" s="470"/>
      <c r="AA18" s="448"/>
      <c r="AB18" s="448"/>
      <c r="AC18" s="448"/>
      <c r="AD18" s="448"/>
      <c r="AE18" s="448"/>
      <c r="AF18" s="448"/>
      <c r="AG18" s="448"/>
      <c r="AH18" s="448"/>
      <c r="AI18" s="448"/>
      <c r="AJ18" s="448"/>
      <c r="AK18" s="448"/>
      <c r="AL18" s="448"/>
      <c r="AM18" s="448"/>
      <c r="AN18" s="448"/>
      <c r="AO18" s="448"/>
      <c r="AP18" s="448"/>
      <c r="AQ18" s="448"/>
      <c r="AR18" s="448"/>
      <c r="AS18" s="448"/>
      <c r="AT18" s="448"/>
      <c r="AU18" s="448"/>
      <c r="AV18" s="448"/>
      <c r="AW18" s="448"/>
      <c r="AX18" s="448"/>
      <c r="AY18" s="448"/>
      <c r="AZ18" s="448"/>
      <c r="BA18" s="448"/>
    </row>
    <row r="19" spans="1:53" ht="12.75" customHeight="1" x14ac:dyDescent="0.2">
      <c r="A19" s="484" t="str">
        <f>'Kalkulation Herstellungskosten'!B60</f>
        <v>Continuity/Skript</v>
      </c>
      <c r="B19" s="711"/>
      <c r="C19" s="897"/>
      <c r="D19" s="714"/>
      <c r="E19" s="714"/>
      <c r="F19" s="481">
        <f t="shared" si="18"/>
        <v>0</v>
      </c>
      <c r="G19" s="899"/>
      <c r="H19" s="479">
        <f t="shared" si="7"/>
        <v>0</v>
      </c>
      <c r="I19" s="477"/>
      <c r="J19" s="456">
        <f>'Kalkulation Herstellungskosten'!F60/((1+1/6)*1.1041)</f>
        <v>0</v>
      </c>
      <c r="K19" s="457">
        <f t="shared" si="8"/>
        <v>0</v>
      </c>
      <c r="L19" s="457">
        <f t="shared" si="9"/>
        <v>0</v>
      </c>
      <c r="M19" s="449">
        <f t="shared" si="10"/>
        <v>0</v>
      </c>
      <c r="N19" s="457">
        <f>IF(AND('Kalkulation Herstellungskosten'!C60=0,'Kalkulation Herstellungskosten'!C61=0),0,IF(J19/('Kalkulation Herstellungskosten'!C60+'Kalkulation Herstellungskosten'!C61)&gt;SVGrund_lfd_wö,('Kalkulation Herstellungskosten'!C60+'Kalkulation Herstellungskosten'!C61)*Höchst_Woche,J19*SV_lfd))</f>
        <v>0</v>
      </c>
      <c r="O19" s="457">
        <f t="shared" si="11"/>
        <v>0</v>
      </c>
      <c r="P19" s="457">
        <f>IF(J19*10.41%&gt;(0.5833*('Kalkulation Herstellungskosten'!C61+'Kalkulation Herstellungskosten'!C60)*SVGrund_lfd_tä),(0.5833*('Kalkulation Herstellungskosten'!C61+'Kalkulation Herstellungskosten'!C60)*Höchst_Tag),J19*10.41%*SV_lfd)</f>
        <v>0</v>
      </c>
      <c r="Q19" s="457">
        <f t="shared" si="12"/>
        <v>0</v>
      </c>
      <c r="R19" s="457">
        <f t="shared" si="13"/>
        <v>0</v>
      </c>
      <c r="S19" s="457">
        <f t="shared" si="14"/>
        <v>0</v>
      </c>
      <c r="T19" s="457">
        <f t="shared" si="15"/>
        <v>0</v>
      </c>
      <c r="U19" s="457">
        <f t="shared" si="16"/>
        <v>0</v>
      </c>
      <c r="V19" s="457">
        <f>('Kalkulation Herstellungskosten'!C60+'Kalkulation Herstellungskosten'!C61)*U_Bahn</f>
        <v>0</v>
      </c>
      <c r="W19" s="449">
        <f t="shared" si="17"/>
        <v>0</v>
      </c>
      <c r="X19" s="449">
        <f t="shared" si="19"/>
        <v>0</v>
      </c>
      <c r="Y19" s="448"/>
      <c r="Z19" s="470"/>
      <c r="AA19" s="448"/>
      <c r="AB19" s="448"/>
      <c r="AC19" s="448"/>
      <c r="AD19" s="448"/>
      <c r="AE19" s="448"/>
      <c r="AF19" s="448"/>
      <c r="AG19" s="448"/>
      <c r="AH19" s="448"/>
      <c r="AI19" s="448"/>
      <c r="AJ19" s="448"/>
      <c r="AK19" s="448"/>
      <c r="AL19" s="448"/>
      <c r="AM19" s="448"/>
      <c r="AN19" s="448"/>
      <c r="AO19" s="448"/>
      <c r="AP19" s="448"/>
      <c r="AQ19" s="448"/>
      <c r="AR19" s="448"/>
      <c r="AS19" s="448"/>
      <c r="AT19" s="448"/>
      <c r="AU19" s="448"/>
      <c r="AV19" s="448"/>
      <c r="AW19" s="448"/>
      <c r="AX19" s="448"/>
      <c r="AY19" s="448"/>
      <c r="AZ19" s="448"/>
      <c r="BA19" s="448"/>
    </row>
    <row r="20" spans="1:53" ht="12.75" customHeight="1" x14ac:dyDescent="0.2">
      <c r="A20" s="484" t="str">
        <f>'Kalkulation Herstellungskosten'!B62</f>
        <v>Kamera</v>
      </c>
      <c r="B20" s="711"/>
      <c r="C20" s="897"/>
      <c r="D20" s="714"/>
      <c r="E20" s="714"/>
      <c r="F20" s="481">
        <f t="shared" si="18"/>
        <v>0</v>
      </c>
      <c r="G20" s="899"/>
      <c r="H20" s="479">
        <f t="shared" si="7"/>
        <v>0</v>
      </c>
      <c r="I20" s="477"/>
      <c r="J20" s="456">
        <f>'Kalkulation Herstellungskosten'!F62/((1+1/6)*1.1041)</f>
        <v>0</v>
      </c>
      <c r="K20" s="457">
        <f t="shared" si="8"/>
        <v>0</v>
      </c>
      <c r="L20" s="457">
        <f t="shared" si="9"/>
        <v>0</v>
      </c>
      <c r="M20" s="449">
        <f t="shared" si="10"/>
        <v>0</v>
      </c>
      <c r="N20" s="457">
        <f>IF(AND('Kalkulation Herstellungskosten'!C62=0,'Kalkulation Herstellungskosten'!C63=0),0,IF(J20/('Kalkulation Herstellungskosten'!C62+'Kalkulation Herstellungskosten'!C63)&gt;SVGrund_lfd_wö,('Kalkulation Herstellungskosten'!C62+'Kalkulation Herstellungskosten'!C63)*Höchst_Woche,J20*SV_lfd))</f>
        <v>0</v>
      </c>
      <c r="O20" s="457">
        <f t="shared" si="11"/>
        <v>0</v>
      </c>
      <c r="P20" s="457">
        <f>IF(J20*10.41%&gt;(0.5833*('Kalkulation Herstellungskosten'!C63+'Kalkulation Herstellungskosten'!C62)*SVGrund_lfd_tä),(0.5833*('Kalkulation Herstellungskosten'!C63+'Kalkulation Herstellungskosten'!C62)*Höchst_Tag),J20*10.41%*SV_lfd)</f>
        <v>0</v>
      </c>
      <c r="Q20" s="457">
        <f t="shared" si="12"/>
        <v>0</v>
      </c>
      <c r="R20" s="457">
        <f t="shared" si="13"/>
        <v>0</v>
      </c>
      <c r="S20" s="457">
        <f t="shared" si="14"/>
        <v>0</v>
      </c>
      <c r="T20" s="457">
        <f t="shared" si="15"/>
        <v>0</v>
      </c>
      <c r="U20" s="457">
        <f t="shared" si="16"/>
        <v>0</v>
      </c>
      <c r="V20" s="457">
        <f>('Kalkulation Herstellungskosten'!C62+'Kalkulation Herstellungskosten'!C63)*U_Bahn</f>
        <v>0</v>
      </c>
      <c r="W20" s="449">
        <f t="shared" si="17"/>
        <v>0</v>
      </c>
      <c r="X20" s="449">
        <f t="shared" si="19"/>
        <v>0</v>
      </c>
      <c r="Y20" s="448"/>
      <c r="Z20" s="448"/>
      <c r="AA20" s="448"/>
      <c r="AB20" s="448"/>
      <c r="AC20" s="448"/>
      <c r="AD20" s="448"/>
      <c r="AE20" s="448"/>
      <c r="AF20" s="448"/>
      <c r="AG20" s="448"/>
      <c r="AH20" s="448"/>
      <c r="AI20" s="448"/>
      <c r="AJ20" s="448"/>
      <c r="AK20" s="448"/>
      <c r="AL20" s="448"/>
      <c r="AM20" s="448"/>
      <c r="AN20" s="448"/>
      <c r="AO20" s="448"/>
      <c r="AP20" s="448"/>
      <c r="AQ20" s="448"/>
      <c r="AR20" s="448"/>
      <c r="AS20" s="448"/>
      <c r="AT20" s="448"/>
      <c r="AU20" s="448"/>
      <c r="AV20" s="448"/>
      <c r="AW20" s="448"/>
      <c r="AX20" s="448"/>
      <c r="AY20" s="448"/>
      <c r="AZ20" s="448"/>
      <c r="BA20" s="448"/>
    </row>
    <row r="21" spans="1:53" ht="12.75" customHeight="1" x14ac:dyDescent="0.2">
      <c r="A21" s="484" t="str">
        <f>'Kalkulation Herstellungskosten'!B64</f>
        <v>1. Kameraassistenz</v>
      </c>
      <c r="B21" s="711"/>
      <c r="C21" s="897"/>
      <c r="D21" s="714"/>
      <c r="E21" s="714"/>
      <c r="F21" s="481">
        <f t="shared" si="18"/>
        <v>0</v>
      </c>
      <c r="G21" s="899"/>
      <c r="H21" s="479">
        <f t="shared" si="7"/>
        <v>0</v>
      </c>
      <c r="I21" s="477"/>
      <c r="J21" s="456">
        <f>'Kalkulation Herstellungskosten'!F64/((1+1/6)*1.1041)</f>
        <v>0</v>
      </c>
      <c r="K21" s="457">
        <f t="shared" si="8"/>
        <v>0</v>
      </c>
      <c r="L21" s="457">
        <f t="shared" si="9"/>
        <v>0</v>
      </c>
      <c r="M21" s="449">
        <f t="shared" si="10"/>
        <v>0</v>
      </c>
      <c r="N21" s="457">
        <f>IF(AND('Kalkulation Herstellungskosten'!C64=0,'Kalkulation Herstellungskosten'!C65=0),0,IF(J21/('Kalkulation Herstellungskosten'!C64+'Kalkulation Herstellungskosten'!C65)&gt;SVGrund_lfd_wö,('Kalkulation Herstellungskosten'!C64+'Kalkulation Herstellungskosten'!C65)*Höchst_Woche,J21*SV_lfd))</f>
        <v>0</v>
      </c>
      <c r="O21" s="457">
        <f t="shared" ref="O21:O72" si="53">IF(K21&gt;SVGrund_SZ, Höchst_Mo_SZ,K21*SV_SZ)</f>
        <v>0</v>
      </c>
      <c r="P21" s="457">
        <f>IF(J21*10.41%&gt;(0.5833*('Kalkulation Herstellungskosten'!C65+'Kalkulation Herstellungskosten'!C64)*SVGrund_lfd_tä),(0.5833*('Kalkulation Herstellungskosten'!C65+'Kalkulation Herstellungskosten'!C64)*Höchst_Tag),J21*10.41%*SV_lfd)</f>
        <v>0</v>
      </c>
      <c r="Q21" s="457">
        <f t="shared" ref="Q21:Q56" si="54">IF(K21&gt;SVGrund_SZ,0,IF(K21*10.41%&gt;(SVGrund_SZ-K21),(SVGrund_SZ-K21)*SV_SZ,K21*10.41%*SV_SZ))</f>
        <v>0</v>
      </c>
      <c r="R21" s="457">
        <f t="shared" si="13"/>
        <v>0</v>
      </c>
      <c r="S21" s="457">
        <f t="shared" si="14"/>
        <v>0</v>
      </c>
      <c r="T21" s="457">
        <f t="shared" si="15"/>
        <v>0</v>
      </c>
      <c r="U21" s="457">
        <f t="shared" si="16"/>
        <v>0</v>
      </c>
      <c r="V21" s="457">
        <f>('Kalkulation Herstellungskosten'!C64+'Kalkulation Herstellungskosten'!C65)*U_Bahn</f>
        <v>0</v>
      </c>
      <c r="W21" s="449">
        <f t="shared" ref="W21:W72" si="55">SUM(N21:V21)</f>
        <v>0</v>
      </c>
      <c r="X21" s="449">
        <f t="shared" ref="X21:X56" si="56">SUM(M21,W21)</f>
        <v>0</v>
      </c>
      <c r="Y21" s="448"/>
      <c r="Z21" s="448"/>
      <c r="AA21" s="448"/>
      <c r="AB21" s="448"/>
      <c r="AC21" s="448"/>
      <c r="AD21" s="448"/>
      <c r="AE21" s="448"/>
      <c r="AF21" s="448"/>
      <c r="AG21" s="448"/>
      <c r="AH21" s="448"/>
      <c r="AI21" s="448"/>
      <c r="AJ21" s="448"/>
      <c r="AK21" s="448"/>
      <c r="AL21" s="448"/>
      <c r="AM21" s="448"/>
      <c r="AN21" s="448"/>
      <c r="AO21" s="448"/>
      <c r="AP21" s="448"/>
      <c r="AQ21" s="448"/>
      <c r="AR21" s="448"/>
      <c r="AS21" s="448"/>
      <c r="AT21" s="448"/>
      <c r="AU21" s="448"/>
      <c r="AV21" s="448"/>
      <c r="AW21" s="448"/>
      <c r="AX21" s="448"/>
      <c r="AY21" s="448"/>
      <c r="AZ21" s="448"/>
      <c r="BA21" s="448"/>
    </row>
    <row r="22" spans="1:53" ht="12.75" customHeight="1" x14ac:dyDescent="0.2">
      <c r="A22" s="484" t="str">
        <f>'Kalkulation Herstellungskosten'!B66</f>
        <v>2. Kameraassistenz</v>
      </c>
      <c r="B22" s="711"/>
      <c r="C22" s="897"/>
      <c r="D22" s="714"/>
      <c r="E22" s="714"/>
      <c r="F22" s="481">
        <f t="shared" si="18"/>
        <v>0</v>
      </c>
      <c r="G22" s="899"/>
      <c r="H22" s="479">
        <f t="shared" si="7"/>
        <v>0</v>
      </c>
      <c r="I22" s="477"/>
      <c r="J22" s="456">
        <f>'Kalkulation Herstellungskosten'!F66/((1+1/6)*1.1041)</f>
        <v>0</v>
      </c>
      <c r="K22" s="457">
        <f t="shared" si="8"/>
        <v>0</v>
      </c>
      <c r="L22" s="457">
        <f t="shared" si="9"/>
        <v>0</v>
      </c>
      <c r="M22" s="449">
        <f t="shared" si="10"/>
        <v>0</v>
      </c>
      <c r="N22" s="457">
        <f>IF(AND('Kalkulation Herstellungskosten'!C66=0,'Kalkulation Herstellungskosten'!C67=0),0,IF(J22/('Kalkulation Herstellungskosten'!C66+'Kalkulation Herstellungskosten'!C67)&gt;SVGrund_lfd_wö,('Kalkulation Herstellungskosten'!C66+'Kalkulation Herstellungskosten'!C67)*Höchst_Woche,J22*SV_lfd))</f>
        <v>0</v>
      </c>
      <c r="O22" s="457">
        <f t="shared" si="53"/>
        <v>0</v>
      </c>
      <c r="P22" s="457">
        <f>IF(J22*10.41%&gt;(0.5833*('Kalkulation Herstellungskosten'!C67+'Kalkulation Herstellungskosten'!C66)*SVGrund_lfd_tä),(0.5833*('Kalkulation Herstellungskosten'!C67+'Kalkulation Herstellungskosten'!C66)*Höchst_Tag),J22*10.41%*SV_lfd)</f>
        <v>0</v>
      </c>
      <c r="Q22" s="457">
        <f t="shared" si="54"/>
        <v>0</v>
      </c>
      <c r="R22" s="457">
        <f t="shared" si="13"/>
        <v>0</v>
      </c>
      <c r="S22" s="457">
        <f t="shared" si="14"/>
        <v>0</v>
      </c>
      <c r="T22" s="457">
        <f t="shared" si="15"/>
        <v>0</v>
      </c>
      <c r="U22" s="457">
        <f t="shared" si="16"/>
        <v>0</v>
      </c>
      <c r="V22" s="457">
        <f>('Kalkulation Herstellungskosten'!C66+'Kalkulation Herstellungskosten'!C67)*U_Bahn</f>
        <v>0</v>
      </c>
      <c r="W22" s="449">
        <f t="shared" si="55"/>
        <v>0</v>
      </c>
      <c r="X22" s="449">
        <f t="shared" si="56"/>
        <v>0</v>
      </c>
      <c r="Y22" s="448"/>
      <c r="Z22" s="448"/>
      <c r="AA22" s="448"/>
      <c r="AB22" s="448"/>
      <c r="AC22" s="448"/>
      <c r="AD22" s="448"/>
      <c r="AE22" s="448"/>
      <c r="AF22" s="448"/>
      <c r="AG22" s="448"/>
      <c r="AH22" s="448"/>
      <c r="AI22" s="448"/>
      <c r="AJ22" s="448"/>
      <c r="AK22" s="448"/>
      <c r="AL22" s="448"/>
      <c r="AM22" s="448"/>
      <c r="AN22" s="448"/>
      <c r="AO22" s="448"/>
      <c r="AP22" s="448"/>
      <c r="AQ22" s="448"/>
      <c r="AR22" s="448"/>
      <c r="AS22" s="448"/>
      <c r="AT22" s="448"/>
      <c r="AU22" s="448"/>
      <c r="AV22" s="448"/>
      <c r="AW22" s="448"/>
      <c r="AX22" s="448"/>
      <c r="AY22" s="448"/>
      <c r="AZ22" s="448"/>
      <c r="BA22" s="448"/>
    </row>
    <row r="23" spans="1:53" ht="12.75" customHeight="1" x14ac:dyDescent="0.2">
      <c r="A23" s="484" t="str">
        <f>'Kalkulation Herstellungskosten'!B68</f>
        <v>Kamera im Verbund, Schwenker*in</v>
      </c>
      <c r="B23" s="711"/>
      <c r="C23" s="897"/>
      <c r="D23" s="714"/>
      <c r="E23" s="714"/>
      <c r="F23" s="481">
        <f t="shared" si="18"/>
        <v>0</v>
      </c>
      <c r="G23" s="899"/>
      <c r="H23" s="479">
        <f t="shared" si="7"/>
        <v>0</v>
      </c>
      <c r="I23" s="477"/>
      <c r="J23" s="456">
        <f>'Kalkulation Herstellungskosten'!F68/((1+1/6)*1.1041)</f>
        <v>0</v>
      </c>
      <c r="K23" s="457">
        <f t="shared" si="8"/>
        <v>0</v>
      </c>
      <c r="L23" s="457">
        <f t="shared" si="9"/>
        <v>0</v>
      </c>
      <c r="M23" s="449">
        <f t="shared" si="10"/>
        <v>0</v>
      </c>
      <c r="N23" s="457">
        <f>IF(AND('Kalkulation Herstellungskosten'!C68=0,'Kalkulation Herstellungskosten'!C69=0),0,IF(J23/('Kalkulation Herstellungskosten'!C68+'Kalkulation Herstellungskosten'!C69)&gt;SVGrund_lfd_wö,('Kalkulation Herstellungskosten'!C68+'Kalkulation Herstellungskosten'!C69)*Höchst_Woche,J23*SV_lfd))</f>
        <v>0</v>
      </c>
      <c r="O23" s="457">
        <f t="shared" si="53"/>
        <v>0</v>
      </c>
      <c r="P23" s="457">
        <f>IF(J23*10.41%&gt;(0.5833*('Kalkulation Herstellungskosten'!C69+'Kalkulation Herstellungskosten'!C68)*SVGrund_lfd_tä),(0.5833*('Kalkulation Herstellungskosten'!C69+'Kalkulation Herstellungskosten'!C68)*Höchst_Tag),J23*10.41%*SV_lfd)</f>
        <v>0</v>
      </c>
      <c r="Q23" s="457">
        <f t="shared" si="54"/>
        <v>0</v>
      </c>
      <c r="R23" s="457">
        <f t="shared" si="13"/>
        <v>0</v>
      </c>
      <c r="S23" s="457">
        <f t="shared" si="14"/>
        <v>0</v>
      </c>
      <c r="T23" s="457">
        <f t="shared" si="15"/>
        <v>0</v>
      </c>
      <c r="U23" s="457">
        <f t="shared" si="16"/>
        <v>0</v>
      </c>
      <c r="V23" s="457">
        <f>('Kalkulation Herstellungskosten'!C68+'Kalkulation Herstellungskosten'!C69)*U_Bahn</f>
        <v>0</v>
      </c>
      <c r="W23" s="449">
        <f t="shared" si="55"/>
        <v>0</v>
      </c>
      <c r="X23" s="449">
        <f t="shared" si="56"/>
        <v>0</v>
      </c>
      <c r="Y23" s="448"/>
      <c r="Z23" s="448"/>
      <c r="AA23" s="448"/>
      <c r="AB23" s="448"/>
      <c r="AC23" s="448"/>
      <c r="AD23" s="448"/>
      <c r="AE23" s="448"/>
      <c r="AF23" s="448"/>
      <c r="AG23" s="448"/>
      <c r="AH23" s="448"/>
      <c r="AI23" s="448"/>
      <c r="AJ23" s="448"/>
      <c r="AK23" s="448"/>
      <c r="AL23" s="448"/>
      <c r="AM23" s="448"/>
      <c r="AN23" s="448"/>
      <c r="AO23" s="448"/>
      <c r="AP23" s="448"/>
      <c r="AQ23" s="448"/>
      <c r="AR23" s="448"/>
      <c r="AS23" s="448"/>
      <c r="AT23" s="448"/>
      <c r="AU23" s="448"/>
      <c r="AV23" s="448"/>
      <c r="AW23" s="448"/>
      <c r="AX23" s="448"/>
      <c r="AY23" s="448"/>
      <c r="AZ23" s="448"/>
      <c r="BA23" s="448"/>
    </row>
    <row r="24" spans="1:53" ht="12.75" customHeight="1" x14ac:dyDescent="0.2">
      <c r="A24" s="484" t="str">
        <f>'Kalkulation Herstellungskosten'!B70</f>
        <v>1. Kamerabühne</v>
      </c>
      <c r="B24" s="711"/>
      <c r="C24" s="897"/>
      <c r="D24" s="714"/>
      <c r="E24" s="714"/>
      <c r="F24" s="481">
        <f t="shared" si="18"/>
        <v>0</v>
      </c>
      <c r="G24" s="899"/>
      <c r="H24" s="479">
        <f t="shared" si="7"/>
        <v>0</v>
      </c>
      <c r="I24" s="477"/>
      <c r="J24" s="456">
        <f>'Kalkulation Herstellungskosten'!F70/((1+1/6)*1.1041)</f>
        <v>0</v>
      </c>
      <c r="K24" s="457">
        <f t="shared" ref="K24:K27" si="57">J24/6</f>
        <v>0</v>
      </c>
      <c r="L24" s="457">
        <f t="shared" ref="L24:L27" si="58">(J24+K24)*10.41%</f>
        <v>0</v>
      </c>
      <c r="M24" s="449">
        <f t="shared" ref="M24:M27" si="59">SUM(J24:L24)</f>
        <v>0</v>
      </c>
      <c r="N24" s="457">
        <f>IF(AND('Kalkulation Herstellungskosten'!C70=0,'Kalkulation Herstellungskosten'!C71=0),0,IF(J24/('Kalkulation Herstellungskosten'!C70+'Kalkulation Herstellungskosten'!C71)&gt;SVGrund_lfd_wö,('Kalkulation Herstellungskosten'!C70+'Kalkulation Herstellungskosten'!C71)*Höchst_Woche,J24*SV_lfd))</f>
        <v>0</v>
      </c>
      <c r="O24" s="457">
        <f t="shared" ref="O24:O27" si="60">IF(K24&gt;SVGrund_SZ, Höchst_Mo_SZ,K24*SV_SZ)</f>
        <v>0</v>
      </c>
      <c r="P24" s="457">
        <f>IF(J24*10.41%&gt;(0.5833*('Kalkulation Herstellungskosten'!C71+'Kalkulation Herstellungskosten'!C70)*SVGrund_lfd_tä),(0.5833*('Kalkulation Herstellungskosten'!C71+'Kalkulation Herstellungskosten'!C70)*Höchst_Tag),J24*10.41%*SV_lfd)</f>
        <v>0</v>
      </c>
      <c r="Q24" s="457">
        <f t="shared" ref="Q24:Q27" si="61">IF(K24&gt;SVGrund_SZ,0,IF(K24*10.41%&gt;(SVGrund_SZ-K24),(SVGrund_SZ-K24)*SV_SZ,K24*10.41%*SV_SZ))</f>
        <v>0</v>
      </c>
      <c r="R24" s="457">
        <f t="shared" ref="R24:R27" si="62">M24*MV</f>
        <v>0</v>
      </c>
      <c r="S24" s="457">
        <f t="shared" ref="S24:S27" si="63">M24*DB</f>
        <v>0</v>
      </c>
      <c r="T24" s="457">
        <f t="shared" ref="T24:T27" si="64">M24*DZ</f>
        <v>0</v>
      </c>
      <c r="U24" s="457">
        <f t="shared" ref="U24:U27" si="65">M24*KommSt</f>
        <v>0</v>
      </c>
      <c r="V24" s="457">
        <f>('Kalkulation Herstellungskosten'!C70+'Kalkulation Herstellungskosten'!C71)*U_Bahn</f>
        <v>0</v>
      </c>
      <c r="W24" s="449">
        <f t="shared" ref="W24:W27" si="66">SUM(N24:V24)</f>
        <v>0</v>
      </c>
      <c r="X24" s="449">
        <f t="shared" ref="X24:X27" si="67">SUM(M24,W24)</f>
        <v>0</v>
      </c>
      <c r="Y24" s="448"/>
      <c r="Z24" s="448"/>
      <c r="AA24" s="448"/>
      <c r="AB24" s="448"/>
      <c r="AC24" s="448"/>
      <c r="AD24" s="448"/>
      <c r="AE24" s="448"/>
      <c r="AF24" s="448"/>
      <c r="AG24" s="448"/>
      <c r="AH24" s="448"/>
      <c r="AI24" s="448"/>
      <c r="AJ24" s="448"/>
      <c r="AK24" s="448"/>
      <c r="AL24" s="448"/>
      <c r="AM24" s="448"/>
      <c r="AN24" s="448"/>
      <c r="AO24" s="448"/>
      <c r="AP24" s="448"/>
      <c r="AQ24" s="448"/>
      <c r="AR24" s="448"/>
      <c r="AS24" s="448"/>
      <c r="AT24" s="448"/>
      <c r="AU24" s="448"/>
      <c r="AV24" s="448"/>
      <c r="AW24" s="448"/>
      <c r="AX24" s="448"/>
      <c r="AY24" s="448"/>
      <c r="AZ24" s="448"/>
      <c r="BA24" s="448"/>
    </row>
    <row r="25" spans="1:53" ht="12.75" customHeight="1" x14ac:dyDescent="0.2">
      <c r="A25" s="484" t="str">
        <f>'Kalkulation Herstellungskosten'!B72</f>
        <v>2. Kamerabühne</v>
      </c>
      <c r="B25" s="711"/>
      <c r="C25" s="897"/>
      <c r="D25" s="714"/>
      <c r="E25" s="714"/>
      <c r="F25" s="481">
        <f t="shared" si="18"/>
        <v>0</v>
      </c>
      <c r="G25" s="899"/>
      <c r="H25" s="479">
        <f t="shared" si="7"/>
        <v>0</v>
      </c>
      <c r="I25" s="477"/>
      <c r="J25" s="456">
        <f>'Kalkulation Herstellungskosten'!F72/((1+1/6)*1.1041)</f>
        <v>0</v>
      </c>
      <c r="K25" s="457">
        <f t="shared" si="57"/>
        <v>0</v>
      </c>
      <c r="L25" s="457">
        <f t="shared" si="58"/>
        <v>0</v>
      </c>
      <c r="M25" s="449">
        <f t="shared" si="59"/>
        <v>0</v>
      </c>
      <c r="N25" s="457">
        <f>IF(AND('Kalkulation Herstellungskosten'!C72=0,'Kalkulation Herstellungskosten'!C73=0),0,IF(J25/('Kalkulation Herstellungskosten'!C72+'Kalkulation Herstellungskosten'!C73)&gt;SVGrund_lfd_wö,('Kalkulation Herstellungskosten'!C72+'Kalkulation Herstellungskosten'!C73)*Höchst_Woche,J25*SV_lfd))</f>
        <v>0</v>
      </c>
      <c r="O25" s="457">
        <f t="shared" si="60"/>
        <v>0</v>
      </c>
      <c r="P25" s="457">
        <f>IF(J25*10.41%&gt;(0.5833*('Kalkulation Herstellungskosten'!C73+'Kalkulation Herstellungskosten'!C72)*SVGrund_lfd_tä),(0.5833*('Kalkulation Herstellungskosten'!C73+'Kalkulation Herstellungskosten'!C72)*Höchst_Tag),J25*10.41%*SV_lfd)</f>
        <v>0</v>
      </c>
      <c r="Q25" s="457">
        <f t="shared" si="61"/>
        <v>0</v>
      </c>
      <c r="R25" s="457">
        <f t="shared" si="62"/>
        <v>0</v>
      </c>
      <c r="S25" s="457">
        <f t="shared" si="63"/>
        <v>0</v>
      </c>
      <c r="T25" s="457">
        <f t="shared" si="64"/>
        <v>0</v>
      </c>
      <c r="U25" s="457">
        <f t="shared" si="65"/>
        <v>0</v>
      </c>
      <c r="V25" s="457">
        <f>('Kalkulation Herstellungskosten'!C72+'Kalkulation Herstellungskosten'!C73)*U_Bahn</f>
        <v>0</v>
      </c>
      <c r="W25" s="449">
        <f t="shared" si="66"/>
        <v>0</v>
      </c>
      <c r="X25" s="449">
        <f t="shared" si="67"/>
        <v>0</v>
      </c>
      <c r="Y25" s="448"/>
      <c r="Z25" s="448"/>
      <c r="AA25" s="448"/>
      <c r="AB25" s="448"/>
      <c r="AC25" s="448"/>
      <c r="AD25" s="448"/>
      <c r="AE25" s="448"/>
      <c r="AF25" s="448"/>
      <c r="AG25" s="448"/>
      <c r="AH25" s="448"/>
      <c r="AI25" s="448"/>
      <c r="AJ25" s="448"/>
      <c r="AK25" s="448"/>
      <c r="AL25" s="448"/>
      <c r="AM25" s="448"/>
      <c r="AN25" s="448"/>
      <c r="AO25" s="448"/>
      <c r="AP25" s="448"/>
      <c r="AQ25" s="448"/>
      <c r="AR25" s="448"/>
      <c r="AS25" s="448"/>
      <c r="AT25" s="448"/>
      <c r="AU25" s="448"/>
      <c r="AV25" s="448"/>
      <c r="AW25" s="448"/>
      <c r="AX25" s="448"/>
      <c r="AY25" s="448"/>
      <c r="AZ25" s="448"/>
      <c r="BA25" s="448"/>
    </row>
    <row r="26" spans="1:53" ht="12.75" customHeight="1" x14ac:dyDescent="0.2">
      <c r="A26" s="484" t="str">
        <f>'Kalkulation Herstellungskosten'!B74</f>
        <v>Kamerabühne Helfer*in</v>
      </c>
      <c r="B26" s="711"/>
      <c r="C26" s="897"/>
      <c r="D26" s="714"/>
      <c r="E26" s="714"/>
      <c r="F26" s="481">
        <f t="shared" si="18"/>
        <v>0</v>
      </c>
      <c r="G26" s="899"/>
      <c r="H26" s="479">
        <f t="shared" si="7"/>
        <v>0</v>
      </c>
      <c r="I26" s="477"/>
      <c r="J26" s="456">
        <f>'Kalkulation Herstellungskosten'!F74/((1+1/6)*1.1041)</f>
        <v>0</v>
      </c>
      <c r="K26" s="457">
        <f t="shared" si="57"/>
        <v>0</v>
      </c>
      <c r="L26" s="457">
        <f t="shared" si="58"/>
        <v>0</v>
      </c>
      <c r="M26" s="449">
        <f t="shared" si="59"/>
        <v>0</v>
      </c>
      <c r="N26" s="457">
        <f>IF(AND('Kalkulation Herstellungskosten'!C74=0,'Kalkulation Herstellungskosten'!C75=0),0,IF(J26/('Kalkulation Herstellungskosten'!C74+'Kalkulation Herstellungskosten'!C75)&gt;SVGrund_lfd_wö,('Kalkulation Herstellungskosten'!C74+'Kalkulation Herstellungskosten'!C75)*Höchst_Woche,J26*SV_lfd))</f>
        <v>0</v>
      </c>
      <c r="O26" s="457">
        <f t="shared" si="60"/>
        <v>0</v>
      </c>
      <c r="P26" s="457">
        <f>IF(J26*10.41%&gt;(0.5833*('Kalkulation Herstellungskosten'!C75+'Kalkulation Herstellungskosten'!C74)*SVGrund_lfd_tä),(0.5833*('Kalkulation Herstellungskosten'!C75+'Kalkulation Herstellungskosten'!C74)*Höchst_Tag),J26*10.41%*SV_lfd)</f>
        <v>0</v>
      </c>
      <c r="Q26" s="457">
        <f t="shared" si="61"/>
        <v>0</v>
      </c>
      <c r="R26" s="457">
        <f t="shared" si="62"/>
        <v>0</v>
      </c>
      <c r="S26" s="457">
        <f t="shared" si="63"/>
        <v>0</v>
      </c>
      <c r="T26" s="457">
        <f t="shared" si="64"/>
        <v>0</v>
      </c>
      <c r="U26" s="457">
        <f t="shared" si="65"/>
        <v>0</v>
      </c>
      <c r="V26" s="457">
        <f>('Kalkulation Herstellungskosten'!C74+'Kalkulation Herstellungskosten'!C75)*U_Bahn</f>
        <v>0</v>
      </c>
      <c r="W26" s="449">
        <f t="shared" si="66"/>
        <v>0</v>
      </c>
      <c r="X26" s="449">
        <f t="shared" si="67"/>
        <v>0</v>
      </c>
      <c r="Y26" s="448"/>
      <c r="Z26" s="448"/>
      <c r="AA26" s="448"/>
      <c r="AB26" s="448"/>
      <c r="AC26" s="448"/>
      <c r="AD26" s="448"/>
      <c r="AE26" s="448"/>
      <c r="AF26" s="448"/>
      <c r="AG26" s="448"/>
      <c r="AH26" s="448"/>
      <c r="AI26" s="448"/>
      <c r="AJ26" s="448"/>
      <c r="AK26" s="448"/>
      <c r="AL26" s="448"/>
      <c r="AM26" s="448"/>
      <c r="AN26" s="448"/>
      <c r="AO26" s="448"/>
      <c r="AP26" s="448"/>
      <c r="AQ26" s="448"/>
      <c r="AR26" s="448"/>
      <c r="AS26" s="448"/>
      <c r="AT26" s="448"/>
      <c r="AU26" s="448"/>
      <c r="AV26" s="448"/>
      <c r="AW26" s="448"/>
      <c r="AX26" s="448"/>
      <c r="AY26" s="448"/>
      <c r="AZ26" s="448"/>
      <c r="BA26" s="448"/>
    </row>
    <row r="27" spans="1:53" ht="12.75" customHeight="1" x14ac:dyDescent="0.2">
      <c r="A27" s="484" t="str">
        <f>'Kalkulation Herstellungskosten'!B76</f>
        <v>Videotechnik</v>
      </c>
      <c r="B27" s="711"/>
      <c r="C27" s="897"/>
      <c r="D27" s="714"/>
      <c r="E27" s="714"/>
      <c r="F27" s="481">
        <f t="shared" si="18"/>
        <v>0</v>
      </c>
      <c r="G27" s="899"/>
      <c r="H27" s="479">
        <f t="shared" si="7"/>
        <v>0</v>
      </c>
      <c r="I27" s="477"/>
      <c r="J27" s="456">
        <f>'Kalkulation Herstellungskosten'!F76/((1+1/6)*1.1041)</f>
        <v>0</v>
      </c>
      <c r="K27" s="457">
        <f t="shared" si="57"/>
        <v>0</v>
      </c>
      <c r="L27" s="457">
        <f t="shared" si="58"/>
        <v>0</v>
      </c>
      <c r="M27" s="449">
        <f t="shared" si="59"/>
        <v>0</v>
      </c>
      <c r="N27" s="457">
        <f>IF(AND('Kalkulation Herstellungskosten'!C76=0,'Kalkulation Herstellungskosten'!C77=0),0,IF(J27/('Kalkulation Herstellungskosten'!C76+'Kalkulation Herstellungskosten'!C77)&gt;SVGrund_lfd_wö,('Kalkulation Herstellungskosten'!C76+'Kalkulation Herstellungskosten'!C77)*Höchst_Woche,J27*SV_lfd))</f>
        <v>0</v>
      </c>
      <c r="O27" s="457">
        <f t="shared" si="60"/>
        <v>0</v>
      </c>
      <c r="P27" s="457">
        <f>IF(J27*10.41%&gt;(0.5833*('Kalkulation Herstellungskosten'!C76+'Kalkulation Herstellungskosten'!C77)*SVGrund_lfd_tä),(0.5833*('Kalkulation Herstellungskosten'!C76+'Kalkulation Herstellungskosten'!C77)*Höchst_Tag),J27*10.41%*SV_lfd)</f>
        <v>0</v>
      </c>
      <c r="Q27" s="457">
        <f t="shared" si="61"/>
        <v>0</v>
      </c>
      <c r="R27" s="457">
        <f t="shared" si="62"/>
        <v>0</v>
      </c>
      <c r="S27" s="457">
        <f t="shared" si="63"/>
        <v>0</v>
      </c>
      <c r="T27" s="457">
        <f t="shared" si="64"/>
        <v>0</v>
      </c>
      <c r="U27" s="457">
        <f t="shared" si="65"/>
        <v>0</v>
      </c>
      <c r="V27" s="457">
        <f>('Kalkulation Herstellungskosten'!C76+'Kalkulation Herstellungskosten'!C77)*U_Bahn</f>
        <v>0</v>
      </c>
      <c r="W27" s="449">
        <f t="shared" si="66"/>
        <v>0</v>
      </c>
      <c r="X27" s="449">
        <f t="shared" si="67"/>
        <v>0</v>
      </c>
      <c r="Y27" s="448"/>
      <c r="Z27" s="448"/>
      <c r="AA27" s="448"/>
      <c r="AB27" s="448"/>
      <c r="AC27" s="448"/>
      <c r="AD27" s="448"/>
      <c r="AE27" s="448"/>
      <c r="AF27" s="448"/>
      <c r="AG27" s="448"/>
      <c r="AH27" s="448"/>
      <c r="AI27" s="448"/>
      <c r="AJ27" s="448"/>
      <c r="AK27" s="448"/>
      <c r="AL27" s="448"/>
      <c r="AM27" s="448"/>
      <c r="AN27" s="448"/>
      <c r="AO27" s="448"/>
      <c r="AP27" s="448"/>
      <c r="AQ27" s="448"/>
      <c r="AR27" s="448"/>
      <c r="AS27" s="448"/>
      <c r="AT27" s="448"/>
      <c r="AU27" s="448"/>
      <c r="AV27" s="448"/>
      <c r="AW27" s="448"/>
      <c r="AX27" s="448"/>
      <c r="AY27" s="448"/>
      <c r="AZ27" s="448"/>
      <c r="BA27" s="448"/>
    </row>
    <row r="28" spans="1:53" ht="12.75" customHeight="1" x14ac:dyDescent="0.2">
      <c r="A28" s="484" t="str">
        <f>'Kalkulation Herstellungskosten'!B78</f>
        <v>Digital Image Technician (DIT)</v>
      </c>
      <c r="B28" s="711"/>
      <c r="C28" s="897"/>
      <c r="D28" s="714"/>
      <c r="E28" s="714"/>
      <c r="F28" s="481">
        <f t="shared" si="18"/>
        <v>0</v>
      </c>
      <c r="G28" s="899"/>
      <c r="H28" s="479">
        <f t="shared" si="7"/>
        <v>0</v>
      </c>
      <c r="I28" s="477"/>
      <c r="J28" s="456">
        <f>'Kalkulation Herstellungskosten'!F78/((1+1/6)*1.1041)</f>
        <v>0</v>
      </c>
      <c r="K28" s="457">
        <f t="shared" ref="K28" si="68">J28/6</f>
        <v>0</v>
      </c>
      <c r="L28" s="457">
        <f t="shared" ref="L28" si="69">(J28+K28)*10.41%</f>
        <v>0</v>
      </c>
      <c r="M28" s="449">
        <f t="shared" ref="M28" si="70">SUM(J28:L28)</f>
        <v>0</v>
      </c>
      <c r="N28" s="457">
        <f>IF(AND('Kalkulation Herstellungskosten'!C78=0,'Kalkulation Herstellungskosten'!C79=0),0,IF(J28/('Kalkulation Herstellungskosten'!C78+'Kalkulation Herstellungskosten'!C79)&gt;SVGrund_lfd_wö,('Kalkulation Herstellungskosten'!C78+'Kalkulation Herstellungskosten'!C79)*Höchst_Woche,J28*SV_lfd))</f>
        <v>0</v>
      </c>
      <c r="O28" s="457">
        <f t="shared" ref="O28" si="71">IF(K28&gt;SVGrund_SZ, Höchst_Mo_SZ,K28*SV_SZ)</f>
        <v>0</v>
      </c>
      <c r="P28" s="457">
        <f>IF(J28*10.41%&gt;(0.5833*('Kalkulation Herstellungskosten'!C78+'Kalkulation Herstellungskosten'!C79)*SVGrund_lfd_tä),(0.5833*('Kalkulation Herstellungskosten'!C78+'Kalkulation Herstellungskosten'!C79)*Höchst_Tag),J28*10.41%*SV_lfd)</f>
        <v>0</v>
      </c>
      <c r="Q28" s="457">
        <f t="shared" ref="Q28" si="72">IF(K28&gt;SVGrund_SZ,0,IF(K28*10.41%&gt;(SVGrund_SZ-K28),(SVGrund_SZ-K28)*SV_SZ,K28*10.41%*SV_SZ))</f>
        <v>0</v>
      </c>
      <c r="R28" s="457">
        <f t="shared" ref="R28" si="73">M28*MV</f>
        <v>0</v>
      </c>
      <c r="S28" s="457">
        <f t="shared" ref="S28" si="74">M28*DB</f>
        <v>0</v>
      </c>
      <c r="T28" s="457">
        <f t="shared" ref="T28" si="75">M28*DZ</f>
        <v>0</v>
      </c>
      <c r="U28" s="457">
        <f t="shared" ref="U28" si="76">M28*KommSt</f>
        <v>0</v>
      </c>
      <c r="V28" s="457">
        <f>('Kalkulation Herstellungskosten'!C78+'Kalkulation Herstellungskosten'!C79)*U_Bahn</f>
        <v>0</v>
      </c>
      <c r="W28" s="449">
        <f t="shared" ref="W28" si="77">SUM(N28:V28)</f>
        <v>0</v>
      </c>
      <c r="X28" s="449">
        <f t="shared" ref="X28" si="78">SUM(M28,W28)</f>
        <v>0</v>
      </c>
      <c r="Y28" s="448"/>
      <c r="Z28" s="448"/>
      <c r="AA28" s="448"/>
      <c r="AB28" s="448"/>
      <c r="AC28" s="448"/>
      <c r="AD28" s="448"/>
      <c r="AE28" s="448"/>
      <c r="AF28" s="448"/>
      <c r="AG28" s="448"/>
      <c r="AH28" s="448"/>
      <c r="AI28" s="448"/>
      <c r="AJ28" s="448"/>
      <c r="AK28" s="448"/>
      <c r="AL28" s="448"/>
      <c r="AM28" s="448"/>
      <c r="AN28" s="448"/>
      <c r="AO28" s="448"/>
      <c r="AP28" s="448"/>
      <c r="AQ28" s="448"/>
      <c r="AR28" s="448"/>
      <c r="AS28" s="448"/>
      <c r="AT28" s="448"/>
      <c r="AU28" s="448"/>
      <c r="AV28" s="448"/>
      <c r="AW28" s="448"/>
      <c r="AX28" s="448"/>
      <c r="AY28" s="448"/>
      <c r="AZ28" s="448"/>
      <c r="BA28" s="448"/>
    </row>
    <row r="29" spans="1:53" ht="12.75" customHeight="1" x14ac:dyDescent="0.2">
      <c r="A29" s="484" t="str">
        <f>'Kalkulation Herstellungskosten'!B80</f>
        <v>Data Wrangler</v>
      </c>
      <c r="B29" s="711"/>
      <c r="C29" s="897"/>
      <c r="D29" s="714"/>
      <c r="E29" s="714"/>
      <c r="F29" s="481">
        <f t="shared" si="18"/>
        <v>0</v>
      </c>
      <c r="G29" s="899"/>
      <c r="H29" s="479">
        <f t="shared" si="7"/>
        <v>0</v>
      </c>
      <c r="I29" s="477"/>
      <c r="J29" s="456">
        <f>'Kalkulation Herstellungskosten'!F80/((1+1/6)*1.1041)</f>
        <v>0</v>
      </c>
      <c r="K29" s="457">
        <f t="shared" ref="K29" si="79">J29/6</f>
        <v>0</v>
      </c>
      <c r="L29" s="457">
        <f t="shared" ref="L29" si="80">(J29+K29)*10.41%</f>
        <v>0</v>
      </c>
      <c r="M29" s="449">
        <f t="shared" ref="M29" si="81">SUM(J29:L29)</f>
        <v>0</v>
      </c>
      <c r="N29" s="457">
        <f>IF(AND('Kalkulation Herstellungskosten'!C80=0,'Kalkulation Herstellungskosten'!C81=0),0,IF(J29/('Kalkulation Herstellungskosten'!C80+'Kalkulation Herstellungskosten'!C81)&gt;SVGrund_lfd_wö,('Kalkulation Herstellungskosten'!C80+'Kalkulation Herstellungskosten'!C81)*Höchst_Woche,J29*SV_lfd))</f>
        <v>0</v>
      </c>
      <c r="O29" s="457">
        <f t="shared" ref="O29" si="82">IF(K29&gt;SVGrund_SZ, Höchst_Mo_SZ,K29*SV_SZ)</f>
        <v>0</v>
      </c>
      <c r="P29" s="457">
        <f>IF(J29*10.41%&gt;(0.5833*('Kalkulation Herstellungskosten'!C80+'Kalkulation Herstellungskosten'!C81)*SVGrund_lfd_tä),(0.5833*('Kalkulation Herstellungskosten'!C80+'Kalkulation Herstellungskosten'!C81)*Höchst_Tag),J29*10.41%*SV_lfd)</f>
        <v>0</v>
      </c>
      <c r="Q29" s="457">
        <f t="shared" ref="Q29" si="83">IF(K29&gt;SVGrund_SZ,0,IF(K29*10.41%&gt;(SVGrund_SZ-K29),(SVGrund_SZ-K29)*SV_SZ,K29*10.41%*SV_SZ))</f>
        <v>0</v>
      </c>
      <c r="R29" s="457">
        <f t="shared" ref="R29" si="84">M29*MV</f>
        <v>0</v>
      </c>
      <c r="S29" s="457">
        <f t="shared" ref="S29" si="85">M29*DB</f>
        <v>0</v>
      </c>
      <c r="T29" s="457">
        <f t="shared" ref="T29" si="86">M29*DZ</f>
        <v>0</v>
      </c>
      <c r="U29" s="457">
        <f t="shared" ref="U29" si="87">M29*KommSt</f>
        <v>0</v>
      </c>
      <c r="V29" s="457">
        <f>('Kalkulation Herstellungskosten'!C80+'Kalkulation Herstellungskosten'!C81)*U_Bahn</f>
        <v>0</v>
      </c>
      <c r="W29" s="449">
        <f t="shared" ref="W29" si="88">SUM(N29:V29)</f>
        <v>0</v>
      </c>
      <c r="X29" s="449">
        <f t="shared" ref="X29" si="89">SUM(M29,W29)</f>
        <v>0</v>
      </c>
      <c r="Y29" s="448"/>
      <c r="Z29" s="448"/>
      <c r="AA29" s="448"/>
      <c r="AB29" s="448"/>
      <c r="AC29" s="448"/>
      <c r="AD29" s="448"/>
      <c r="AE29" s="448"/>
      <c r="AF29" s="448"/>
      <c r="AG29" s="448"/>
      <c r="AH29" s="448"/>
      <c r="AI29" s="448"/>
      <c r="AJ29" s="448"/>
      <c r="AK29" s="448"/>
      <c r="AL29" s="448"/>
      <c r="AM29" s="448"/>
      <c r="AN29" s="448"/>
      <c r="AO29" s="448"/>
      <c r="AP29" s="448"/>
      <c r="AQ29" s="448"/>
      <c r="AR29" s="448"/>
      <c r="AS29" s="448"/>
      <c r="AT29" s="448"/>
      <c r="AU29" s="448"/>
      <c r="AV29" s="448"/>
      <c r="AW29" s="448"/>
      <c r="AX29" s="448"/>
      <c r="AY29" s="448"/>
      <c r="AZ29" s="448"/>
      <c r="BA29" s="448"/>
    </row>
    <row r="30" spans="1:53" ht="12.75" customHeight="1" x14ac:dyDescent="0.2">
      <c r="A30" s="484" t="str">
        <f>'Kalkulation Herstellungskosten'!B82</f>
        <v>Originalton I                Originalton II</v>
      </c>
      <c r="B30" s="711"/>
      <c r="C30" s="897"/>
      <c r="D30" s="714"/>
      <c r="E30" s="714"/>
      <c r="F30" s="481">
        <f t="shared" si="18"/>
        <v>0</v>
      </c>
      <c r="G30" s="899"/>
      <c r="H30" s="479">
        <f t="shared" si="7"/>
        <v>0</v>
      </c>
      <c r="I30" s="477"/>
      <c r="J30" s="456">
        <f>'Kalkulation Herstellungskosten'!F82/((1+1/6)*1.1041)</f>
        <v>0</v>
      </c>
      <c r="K30" s="457">
        <f t="shared" si="8"/>
        <v>0</v>
      </c>
      <c r="L30" s="457">
        <f t="shared" si="9"/>
        <v>0</v>
      </c>
      <c r="M30" s="449">
        <f t="shared" si="10"/>
        <v>0</v>
      </c>
      <c r="N30" s="457">
        <f>IF(AND('Kalkulation Herstellungskosten'!C82=0,'Kalkulation Herstellungskosten'!C83=0),0,IF(J30/('Kalkulation Herstellungskosten'!C82+'Kalkulation Herstellungskosten'!C83)&gt;SVGrund_lfd_wö,('Kalkulation Herstellungskosten'!C82+'Kalkulation Herstellungskosten'!C83)*Höchst_Woche,J30*SV_lfd))</f>
        <v>0</v>
      </c>
      <c r="O30" s="457">
        <f t="shared" si="53"/>
        <v>0</v>
      </c>
      <c r="P30" s="457">
        <f>IF(J30*10.41%&gt;(0.5833*('Kalkulation Herstellungskosten'!C83+'Kalkulation Herstellungskosten'!C82)*SVGrund_lfd_tä),(0.5833*('Kalkulation Herstellungskosten'!C83+'Kalkulation Herstellungskosten'!C82)*Höchst_Tag),J30*10.41%*SV_lfd)</f>
        <v>0</v>
      </c>
      <c r="Q30" s="457">
        <f t="shared" si="54"/>
        <v>0</v>
      </c>
      <c r="R30" s="457">
        <f t="shared" si="13"/>
        <v>0</v>
      </c>
      <c r="S30" s="457">
        <f t="shared" si="14"/>
        <v>0</v>
      </c>
      <c r="T30" s="457">
        <f t="shared" si="15"/>
        <v>0</v>
      </c>
      <c r="U30" s="457">
        <f t="shared" si="16"/>
        <v>0</v>
      </c>
      <c r="V30" s="457">
        <f>('Kalkulation Herstellungskosten'!C82+'Kalkulation Herstellungskosten'!C83)*U_Bahn</f>
        <v>0</v>
      </c>
      <c r="W30" s="449">
        <f t="shared" si="55"/>
        <v>0</v>
      </c>
      <c r="X30" s="449">
        <f t="shared" si="56"/>
        <v>0</v>
      </c>
      <c r="Y30" s="448"/>
      <c r="Z30" s="448"/>
      <c r="AA30" s="448"/>
      <c r="AB30" s="448"/>
      <c r="AC30" s="448"/>
      <c r="AD30" s="448"/>
      <c r="AE30" s="448"/>
      <c r="AF30" s="448"/>
      <c r="AG30" s="448"/>
      <c r="AH30" s="448"/>
      <c r="AI30" s="448"/>
      <c r="AJ30" s="448"/>
      <c r="AK30" s="448"/>
      <c r="AL30" s="448"/>
      <c r="AM30" s="448"/>
      <c r="AN30" s="448"/>
      <c r="AO30" s="448"/>
      <c r="AP30" s="448"/>
      <c r="AQ30" s="448"/>
      <c r="AR30" s="448"/>
      <c r="AS30" s="448"/>
      <c r="AT30" s="448"/>
      <c r="AU30" s="448"/>
      <c r="AV30" s="448"/>
      <c r="AW30" s="448"/>
      <c r="AX30" s="448"/>
      <c r="AY30" s="448"/>
      <c r="AZ30" s="448"/>
      <c r="BA30" s="448"/>
    </row>
    <row r="31" spans="1:53" ht="12.75" customHeight="1" x14ac:dyDescent="0.2">
      <c r="A31" s="484" t="str">
        <f>'Kalkulation Herstellungskosten'!B84</f>
        <v>Tonassistenz</v>
      </c>
      <c r="B31" s="711"/>
      <c r="C31" s="897"/>
      <c r="D31" s="714"/>
      <c r="E31" s="714"/>
      <c r="F31" s="481">
        <f t="shared" si="18"/>
        <v>0</v>
      </c>
      <c r="G31" s="899"/>
      <c r="H31" s="479">
        <f t="shared" si="7"/>
        <v>0</v>
      </c>
      <c r="I31" s="477"/>
      <c r="J31" s="456">
        <f>'Kalkulation Herstellungskosten'!F84/((1+1/6)*1.1041)</f>
        <v>0</v>
      </c>
      <c r="K31" s="457">
        <f t="shared" si="8"/>
        <v>0</v>
      </c>
      <c r="L31" s="457">
        <f t="shared" si="9"/>
        <v>0</v>
      </c>
      <c r="M31" s="449">
        <f t="shared" si="10"/>
        <v>0</v>
      </c>
      <c r="N31" s="457">
        <f>IF(AND('Kalkulation Herstellungskosten'!C84=0,'Kalkulation Herstellungskosten'!C85=0),0,IF(J31/('Kalkulation Herstellungskosten'!C84+'Kalkulation Herstellungskosten'!C85)&gt;SVGrund_lfd_wö,('Kalkulation Herstellungskosten'!C84+'Kalkulation Herstellungskosten'!C85)*Höchst_Woche,J31*SV_lfd))</f>
        <v>0</v>
      </c>
      <c r="O31" s="457">
        <f t="shared" si="53"/>
        <v>0</v>
      </c>
      <c r="P31" s="457">
        <f>IF(J31*10.41%&gt;(0.5833*('Kalkulation Herstellungskosten'!C85+'Kalkulation Herstellungskosten'!C84)*SVGrund_lfd_tä),(0.5833*('Kalkulation Herstellungskosten'!C85+'Kalkulation Herstellungskosten'!C84)*Höchst_Tag),J31*10.41%*SV_lfd)</f>
        <v>0</v>
      </c>
      <c r="Q31" s="457">
        <f t="shared" si="54"/>
        <v>0</v>
      </c>
      <c r="R31" s="457">
        <f t="shared" si="13"/>
        <v>0</v>
      </c>
      <c r="S31" s="457">
        <f t="shared" si="14"/>
        <v>0</v>
      </c>
      <c r="T31" s="457">
        <f t="shared" si="15"/>
        <v>0</v>
      </c>
      <c r="U31" s="457">
        <f t="shared" si="16"/>
        <v>0</v>
      </c>
      <c r="V31" s="457">
        <f>('Kalkulation Herstellungskosten'!C84+'Kalkulation Herstellungskosten'!C85)*U_Bahn</f>
        <v>0</v>
      </c>
      <c r="W31" s="449">
        <f t="shared" si="55"/>
        <v>0</v>
      </c>
      <c r="X31" s="449">
        <f t="shared" si="56"/>
        <v>0</v>
      </c>
      <c r="Y31" s="448"/>
      <c r="Z31" s="448"/>
      <c r="AA31" s="448"/>
      <c r="AB31" s="448"/>
      <c r="AC31" s="448"/>
      <c r="AD31" s="448"/>
      <c r="AE31" s="448"/>
      <c r="AF31" s="448"/>
      <c r="AG31" s="448"/>
      <c r="AH31" s="448"/>
      <c r="AI31" s="448"/>
      <c r="AJ31" s="448"/>
      <c r="AK31" s="448"/>
      <c r="AL31" s="448"/>
      <c r="AM31" s="448"/>
      <c r="AN31" s="448"/>
      <c r="AO31" s="448"/>
      <c r="AP31" s="448"/>
      <c r="AQ31" s="448"/>
      <c r="AR31" s="448"/>
      <c r="AS31" s="448"/>
      <c r="AT31" s="448"/>
      <c r="AU31" s="448"/>
      <c r="AV31" s="448"/>
      <c r="AW31" s="448"/>
      <c r="AX31" s="448"/>
      <c r="AY31" s="448"/>
      <c r="AZ31" s="448"/>
      <c r="BA31" s="448"/>
    </row>
    <row r="32" spans="1:53" ht="12.75" customHeight="1" x14ac:dyDescent="0.2">
      <c r="A32" s="484" t="str">
        <f>'Kalkulation Herstellungskosten'!B86</f>
        <v>2. Tonassistenz</v>
      </c>
      <c r="B32" s="711"/>
      <c r="C32" s="897"/>
      <c r="D32" s="714"/>
      <c r="E32" s="714"/>
      <c r="F32" s="481">
        <f t="shared" si="18"/>
        <v>0</v>
      </c>
      <c r="G32" s="899"/>
      <c r="H32" s="479">
        <f t="shared" si="7"/>
        <v>0</v>
      </c>
      <c r="I32" s="477"/>
      <c r="J32" s="456">
        <f>'Kalkulation Herstellungskosten'!F86/((1+1/6)*1.1041)</f>
        <v>0</v>
      </c>
      <c r="K32" s="457">
        <f t="shared" ref="K32" si="90">J32/6</f>
        <v>0</v>
      </c>
      <c r="L32" s="457">
        <f t="shared" ref="L32" si="91">(J32+K32)*10.41%</f>
        <v>0</v>
      </c>
      <c r="M32" s="449">
        <f t="shared" ref="M32" si="92">SUM(J32:L32)</f>
        <v>0</v>
      </c>
      <c r="N32" s="457">
        <f>IF(AND('Kalkulation Herstellungskosten'!C86=0,'Kalkulation Herstellungskosten'!C87=0),0,IF(J32/('Kalkulation Herstellungskosten'!C86+'Kalkulation Herstellungskosten'!C87)&gt;SVGrund_lfd_wö,('Kalkulation Herstellungskosten'!C86+'Kalkulation Herstellungskosten'!C87)*Höchst_Woche,J32*SV_lfd))</f>
        <v>0</v>
      </c>
      <c r="O32" s="457">
        <f t="shared" ref="O32" si="93">IF(K32&gt;SVGrund_SZ, Höchst_Mo_SZ,K32*SV_SZ)</f>
        <v>0</v>
      </c>
      <c r="P32" s="457">
        <f>IF(J32*10.41%&gt;(0.5833*('Kalkulation Herstellungskosten'!C87+'Kalkulation Herstellungskosten'!C86)*SVGrund_lfd_tä),(0.5833*('Kalkulation Herstellungskosten'!C87+'Kalkulation Herstellungskosten'!C86)*Höchst_Tag),J32*10.41%*SV_lfd)</f>
        <v>0</v>
      </c>
      <c r="Q32" s="457">
        <f t="shared" ref="Q32" si="94">IF(K32&gt;SVGrund_SZ,0,IF(K32*10.41%&gt;(SVGrund_SZ-K32),(SVGrund_SZ-K32)*SV_SZ,K32*10.41%*SV_SZ))</f>
        <v>0</v>
      </c>
      <c r="R32" s="457">
        <f t="shared" ref="R32" si="95">M32*MV</f>
        <v>0</v>
      </c>
      <c r="S32" s="457">
        <f t="shared" ref="S32" si="96">M32*DB</f>
        <v>0</v>
      </c>
      <c r="T32" s="457">
        <f t="shared" ref="T32" si="97">M32*DZ</f>
        <v>0</v>
      </c>
      <c r="U32" s="457">
        <f t="shared" ref="U32" si="98">M32*KommSt</f>
        <v>0</v>
      </c>
      <c r="V32" s="457">
        <f>('Kalkulation Herstellungskosten'!C86+'Kalkulation Herstellungskosten'!C87)*U_Bahn</f>
        <v>0</v>
      </c>
      <c r="W32" s="449">
        <f t="shared" ref="W32" si="99">SUM(N32:V32)</f>
        <v>0</v>
      </c>
      <c r="X32" s="449">
        <f t="shared" ref="X32" si="100">SUM(M32,W32)</f>
        <v>0</v>
      </c>
      <c r="Y32" s="448"/>
      <c r="Z32" s="448"/>
      <c r="AA32" s="448"/>
      <c r="AB32" s="448"/>
      <c r="AC32" s="448"/>
      <c r="AD32" s="448"/>
      <c r="AE32" s="448"/>
      <c r="AF32" s="448"/>
      <c r="AG32" s="448"/>
      <c r="AH32" s="448"/>
      <c r="AI32" s="448"/>
      <c r="AJ32" s="448"/>
      <c r="AK32" s="448"/>
      <c r="AL32" s="448"/>
      <c r="AM32" s="448"/>
      <c r="AN32" s="448"/>
      <c r="AO32" s="448"/>
      <c r="AP32" s="448"/>
      <c r="AQ32" s="448"/>
      <c r="AR32" s="448"/>
      <c r="AS32" s="448"/>
      <c r="AT32" s="448"/>
      <c r="AU32" s="448"/>
      <c r="AV32" s="448"/>
      <c r="AW32" s="448"/>
      <c r="AX32" s="448"/>
      <c r="AY32" s="448"/>
      <c r="AZ32" s="448"/>
      <c r="BA32" s="448"/>
    </row>
    <row r="33" spans="1:53" ht="12.75" customHeight="1" x14ac:dyDescent="0.2">
      <c r="A33" s="484" t="str">
        <f>'Kalkulation Herstellungskosten'!B88</f>
        <v>Primärtontechnik</v>
      </c>
      <c r="B33" s="711"/>
      <c r="C33" s="897"/>
      <c r="D33" s="714"/>
      <c r="E33" s="714"/>
      <c r="F33" s="481">
        <f t="shared" si="18"/>
        <v>0</v>
      </c>
      <c r="G33" s="899"/>
      <c r="H33" s="479">
        <f t="shared" si="7"/>
        <v>0</v>
      </c>
      <c r="I33" s="477"/>
      <c r="J33" s="456">
        <f>'Kalkulation Herstellungskosten'!F88/((1+1/6)*1.1041)</f>
        <v>0</v>
      </c>
      <c r="K33" s="457">
        <f t="shared" si="8"/>
        <v>0</v>
      </c>
      <c r="L33" s="457">
        <f t="shared" si="9"/>
        <v>0</v>
      </c>
      <c r="M33" s="449">
        <f t="shared" si="10"/>
        <v>0</v>
      </c>
      <c r="N33" s="457">
        <f>IF(AND('Kalkulation Herstellungskosten'!C88=0,'Kalkulation Herstellungskosten'!C89=0),0,IF(J33/('Kalkulation Herstellungskosten'!C88+'Kalkulation Herstellungskosten'!C89)&gt;SVGrund_lfd_wö,('Kalkulation Herstellungskosten'!C88+'Kalkulation Herstellungskosten'!C89)*Höchst_Woche,J33*SV_lfd))</f>
        <v>0</v>
      </c>
      <c r="O33" s="457">
        <f t="shared" si="53"/>
        <v>0</v>
      </c>
      <c r="P33" s="457">
        <f>IF(J33*10.41%&gt;(0.5833*('Kalkulation Herstellungskosten'!C89+'Kalkulation Herstellungskosten'!C88)*SVGrund_lfd_tä),(0.5833*('Kalkulation Herstellungskosten'!C89+'Kalkulation Herstellungskosten'!C88)*Höchst_Tag),J33*10.41%*SV_lfd)</f>
        <v>0</v>
      </c>
      <c r="Q33" s="457">
        <f t="shared" si="54"/>
        <v>0</v>
      </c>
      <c r="R33" s="457">
        <f t="shared" si="13"/>
        <v>0</v>
      </c>
      <c r="S33" s="457">
        <f t="shared" si="14"/>
        <v>0</v>
      </c>
      <c r="T33" s="457">
        <f t="shared" si="15"/>
        <v>0</v>
      </c>
      <c r="U33" s="457">
        <f t="shared" si="16"/>
        <v>0</v>
      </c>
      <c r="V33" s="457">
        <f>('Kalkulation Herstellungskosten'!C88+'Kalkulation Herstellungskosten'!C89)*U_Bahn</f>
        <v>0</v>
      </c>
      <c r="W33" s="449">
        <f t="shared" si="55"/>
        <v>0</v>
      </c>
      <c r="X33" s="449">
        <f t="shared" si="56"/>
        <v>0</v>
      </c>
      <c r="Y33" s="448"/>
      <c r="Z33" s="448"/>
      <c r="AA33" s="448"/>
      <c r="AB33" s="448"/>
      <c r="AC33" s="448"/>
      <c r="AD33" s="448"/>
      <c r="AE33" s="448"/>
      <c r="AF33" s="448"/>
      <c r="AG33" s="448"/>
      <c r="AH33" s="448"/>
      <c r="AI33" s="448"/>
      <c r="AJ33" s="448"/>
      <c r="AK33" s="448"/>
      <c r="AL33" s="448"/>
      <c r="AM33" s="448"/>
      <c r="AN33" s="448"/>
      <c r="AO33" s="448"/>
      <c r="AP33" s="448"/>
      <c r="AQ33" s="448"/>
      <c r="AR33" s="448"/>
      <c r="AS33" s="448"/>
      <c r="AT33" s="448"/>
      <c r="AU33" s="448"/>
      <c r="AV33" s="448"/>
      <c r="AW33" s="448"/>
      <c r="AX33" s="448"/>
      <c r="AY33" s="448"/>
      <c r="AZ33" s="448"/>
      <c r="BA33" s="448"/>
    </row>
    <row r="34" spans="1:53" ht="12.75" customHeight="1" x14ac:dyDescent="0.2">
      <c r="A34" s="484" t="str">
        <f>'Kalkulation Herstellungskosten'!B90</f>
        <v>Mischtonmeister*in</v>
      </c>
      <c r="B34" s="711"/>
      <c r="C34" s="897"/>
      <c r="D34" s="714"/>
      <c r="E34" s="714"/>
      <c r="F34" s="481">
        <f t="shared" si="18"/>
        <v>0</v>
      </c>
      <c r="G34" s="899"/>
      <c r="H34" s="479">
        <f t="shared" si="7"/>
        <v>0</v>
      </c>
      <c r="I34" s="477"/>
      <c r="J34" s="456">
        <f>'Kalkulation Herstellungskosten'!F90/((1+1/6)*1.1041)</f>
        <v>0</v>
      </c>
      <c r="K34" s="457">
        <f t="shared" ref="K34" si="101">J34/6</f>
        <v>0</v>
      </c>
      <c r="L34" s="457">
        <f t="shared" ref="L34" si="102">(J34+K34)*10.41%</f>
        <v>0</v>
      </c>
      <c r="M34" s="449">
        <f t="shared" ref="M34" si="103">SUM(J34:L34)</f>
        <v>0</v>
      </c>
      <c r="N34" s="457">
        <f>IF(AND('Kalkulation Herstellungskosten'!C90=0,'Kalkulation Herstellungskosten'!C91=0),0,IF(J34/('Kalkulation Herstellungskosten'!C90+'Kalkulation Herstellungskosten'!C91)&gt;SVGrund_lfd_wö,('Kalkulation Herstellungskosten'!C90+'Kalkulation Herstellungskosten'!C91)*Höchst_Woche,J34*SV_lfd))</f>
        <v>0</v>
      </c>
      <c r="O34" s="457">
        <f t="shared" ref="O34" si="104">IF(K34&gt;SVGrund_SZ, Höchst_Mo_SZ,K34*SV_SZ)</f>
        <v>0</v>
      </c>
      <c r="P34" s="457">
        <f>IF(J34*10.41%&gt;(0.5833*('Kalkulation Herstellungskosten'!C91+'Kalkulation Herstellungskosten'!C90)*SVGrund_lfd_tä),(0.5833*('Kalkulation Herstellungskosten'!C91+'Kalkulation Herstellungskosten'!C90)*Höchst_Tag),J34*10.41%*SV_lfd)</f>
        <v>0</v>
      </c>
      <c r="Q34" s="457">
        <f t="shared" ref="Q34" si="105">IF(K34&gt;SVGrund_SZ,0,IF(K34*10.41%&gt;(SVGrund_SZ-K34),(SVGrund_SZ-K34)*SV_SZ,K34*10.41%*SV_SZ))</f>
        <v>0</v>
      </c>
      <c r="R34" s="457">
        <f t="shared" ref="R34" si="106">M34*MV</f>
        <v>0</v>
      </c>
      <c r="S34" s="457">
        <f t="shared" ref="S34" si="107">M34*DB</f>
        <v>0</v>
      </c>
      <c r="T34" s="457">
        <f t="shared" ref="T34" si="108">M34*DZ</f>
        <v>0</v>
      </c>
      <c r="U34" s="457">
        <f t="shared" ref="U34" si="109">M34*KommSt</f>
        <v>0</v>
      </c>
      <c r="V34" s="457">
        <f>('Kalkulation Herstellungskosten'!C90+'Kalkulation Herstellungskosten'!C91)*U_Bahn</f>
        <v>0</v>
      </c>
      <c r="W34" s="449">
        <f t="shared" ref="W34" si="110">SUM(N34:V34)</f>
        <v>0</v>
      </c>
      <c r="X34" s="449">
        <f t="shared" ref="X34" si="111">SUM(M34,W34)</f>
        <v>0</v>
      </c>
      <c r="Y34" s="448"/>
      <c r="Z34" s="448"/>
      <c r="AA34" s="448"/>
      <c r="AB34" s="448"/>
      <c r="AC34" s="448"/>
      <c r="AD34" s="448"/>
      <c r="AE34" s="448"/>
      <c r="AF34" s="448"/>
      <c r="AG34" s="448"/>
      <c r="AH34" s="448"/>
      <c r="AI34" s="448"/>
      <c r="AJ34" s="448"/>
      <c r="AK34" s="448"/>
      <c r="AL34" s="448"/>
      <c r="AM34" s="448"/>
      <c r="AN34" s="448"/>
      <c r="AO34" s="448"/>
      <c r="AP34" s="448"/>
      <c r="AQ34" s="448"/>
      <c r="AR34" s="448"/>
      <c r="AS34" s="448"/>
      <c r="AT34" s="448"/>
      <c r="AU34" s="448"/>
      <c r="AV34" s="448"/>
      <c r="AW34" s="448"/>
      <c r="AX34" s="448"/>
      <c r="AY34" s="448"/>
      <c r="AZ34" s="448"/>
      <c r="BA34" s="448"/>
    </row>
    <row r="35" spans="1:53" ht="12.75" customHeight="1" x14ac:dyDescent="0.2">
      <c r="A35" s="484" t="str">
        <f>'Kalkulation Herstellungskosten'!B92</f>
        <v>Schnitt</v>
      </c>
      <c r="B35" s="711"/>
      <c r="C35" s="897"/>
      <c r="D35" s="714"/>
      <c r="E35" s="714"/>
      <c r="F35" s="481">
        <f t="shared" si="18"/>
        <v>0</v>
      </c>
      <c r="G35" s="899"/>
      <c r="H35" s="479">
        <f t="shared" si="7"/>
        <v>0</v>
      </c>
      <c r="I35" s="477"/>
      <c r="J35" s="456">
        <f>'Kalkulation Herstellungskosten'!F92/((1+1/6)*1.1041)</f>
        <v>0</v>
      </c>
      <c r="K35" s="457">
        <f t="shared" si="8"/>
        <v>0</v>
      </c>
      <c r="L35" s="457">
        <f t="shared" si="9"/>
        <v>0</v>
      </c>
      <c r="M35" s="449">
        <f t="shared" si="10"/>
        <v>0</v>
      </c>
      <c r="N35" s="457">
        <f>IF(AND('Kalkulation Herstellungskosten'!C92=0,'Kalkulation Herstellungskosten'!C93=0),0,IF(J35/('Kalkulation Herstellungskosten'!C92+'Kalkulation Herstellungskosten'!C93)&gt;SVGrund_lfd_wö,('Kalkulation Herstellungskosten'!C92+'Kalkulation Herstellungskosten'!C93)*Höchst_Woche,J35*SV_lfd))</f>
        <v>0</v>
      </c>
      <c r="O35" s="457">
        <f t="shared" si="53"/>
        <v>0</v>
      </c>
      <c r="P35" s="457">
        <f>IF(J35*10.41%&gt;(0.5833*('Kalkulation Herstellungskosten'!C93+'Kalkulation Herstellungskosten'!C92)*SVGrund_lfd_tä),(0.5833*('Kalkulation Herstellungskosten'!C93+'Kalkulation Herstellungskosten'!C92)*Höchst_Tag),J35*10.41%*SV_lfd)</f>
        <v>0</v>
      </c>
      <c r="Q35" s="457">
        <f t="shared" si="54"/>
        <v>0</v>
      </c>
      <c r="R35" s="457">
        <f t="shared" si="13"/>
        <v>0</v>
      </c>
      <c r="S35" s="457">
        <f t="shared" si="14"/>
        <v>0</v>
      </c>
      <c r="T35" s="457">
        <f t="shared" si="15"/>
        <v>0</v>
      </c>
      <c r="U35" s="457">
        <f t="shared" si="16"/>
        <v>0</v>
      </c>
      <c r="V35" s="457">
        <f>('Kalkulation Herstellungskosten'!C92+'Kalkulation Herstellungskosten'!C93)*U_Bahn</f>
        <v>0</v>
      </c>
      <c r="W35" s="449">
        <f t="shared" si="55"/>
        <v>0</v>
      </c>
      <c r="X35" s="449">
        <f t="shared" si="56"/>
        <v>0</v>
      </c>
      <c r="Y35" s="448"/>
      <c r="Z35" s="448"/>
      <c r="AA35" s="448"/>
      <c r="AB35" s="448"/>
      <c r="AC35" s="448"/>
      <c r="AD35" s="448"/>
      <c r="AE35" s="448"/>
      <c r="AF35" s="448"/>
      <c r="AG35" s="448"/>
      <c r="AH35" s="448"/>
      <c r="AI35" s="448"/>
      <c r="AJ35" s="448"/>
      <c r="AK35" s="448"/>
      <c r="AL35" s="448"/>
      <c r="AM35" s="448"/>
      <c r="AN35" s="448"/>
      <c r="AO35" s="448"/>
      <c r="AP35" s="448"/>
      <c r="AQ35" s="448"/>
      <c r="AR35" s="448"/>
      <c r="AS35" s="448"/>
      <c r="AT35" s="448"/>
      <c r="AU35" s="448"/>
      <c r="AV35" s="448"/>
      <c r="AW35" s="448"/>
      <c r="AX35" s="448"/>
      <c r="AY35" s="448"/>
      <c r="AZ35" s="448"/>
      <c r="BA35" s="448"/>
    </row>
    <row r="36" spans="1:53" ht="12.75" customHeight="1" x14ac:dyDescent="0.2">
      <c r="A36" s="484" t="str">
        <f>'Kalkulation Herstellungskosten'!B94</f>
        <v>Schnittassistenz</v>
      </c>
      <c r="B36" s="711"/>
      <c r="C36" s="897"/>
      <c r="D36" s="714"/>
      <c r="E36" s="714"/>
      <c r="F36" s="481">
        <f t="shared" si="18"/>
        <v>0</v>
      </c>
      <c r="G36" s="899"/>
      <c r="H36" s="479">
        <f t="shared" si="7"/>
        <v>0</v>
      </c>
      <c r="I36" s="477"/>
      <c r="J36" s="456">
        <f>'Kalkulation Herstellungskosten'!F94/((1+1/6)*1.1041)</f>
        <v>0</v>
      </c>
      <c r="K36" s="457">
        <f t="shared" si="8"/>
        <v>0</v>
      </c>
      <c r="L36" s="457">
        <f t="shared" si="9"/>
        <v>0</v>
      </c>
      <c r="M36" s="449">
        <f t="shared" si="10"/>
        <v>0</v>
      </c>
      <c r="N36" s="457">
        <f>IF(AND('Kalkulation Herstellungskosten'!C94=0,'Kalkulation Herstellungskosten'!C95=0),0,IF(J36/('Kalkulation Herstellungskosten'!C94+'Kalkulation Herstellungskosten'!C95)&gt;SVGrund_lfd_wö,('Kalkulation Herstellungskosten'!C94+'Kalkulation Herstellungskosten'!C95)*Höchst_Woche,J36*SV_lfd))</f>
        <v>0</v>
      </c>
      <c r="O36" s="457">
        <f t="shared" si="53"/>
        <v>0</v>
      </c>
      <c r="P36" s="457">
        <f>IF(J36*10.41%&gt;(0.5833*('Kalkulation Herstellungskosten'!C95+'Kalkulation Herstellungskosten'!C94)*SVGrund_lfd_tä),(0.5833*('Kalkulation Herstellungskosten'!C95+'Kalkulation Herstellungskosten'!C94)*Höchst_Tag),J36*10.41%*SV_lfd)</f>
        <v>0</v>
      </c>
      <c r="Q36" s="457">
        <f t="shared" si="54"/>
        <v>0</v>
      </c>
      <c r="R36" s="457">
        <f t="shared" si="13"/>
        <v>0</v>
      </c>
      <c r="S36" s="457">
        <f t="shared" si="14"/>
        <v>0</v>
      </c>
      <c r="T36" s="457">
        <f t="shared" si="15"/>
        <v>0</v>
      </c>
      <c r="U36" s="457">
        <f t="shared" si="16"/>
        <v>0</v>
      </c>
      <c r="V36" s="457">
        <f>('Kalkulation Herstellungskosten'!C94+'Kalkulation Herstellungskosten'!C95)*U_Bahn</f>
        <v>0</v>
      </c>
      <c r="W36" s="449">
        <f t="shared" si="55"/>
        <v>0</v>
      </c>
      <c r="X36" s="449">
        <f t="shared" si="56"/>
        <v>0</v>
      </c>
      <c r="Y36" s="448"/>
      <c r="Z36" s="448"/>
      <c r="AA36" s="448"/>
      <c r="AB36" s="448"/>
      <c r="AC36" s="448"/>
      <c r="AD36" s="448"/>
      <c r="AE36" s="448"/>
      <c r="AF36" s="448"/>
      <c r="AG36" s="448"/>
      <c r="AH36" s="448"/>
      <c r="AI36" s="448"/>
      <c r="AJ36" s="448"/>
      <c r="AK36" s="448"/>
      <c r="AL36" s="448"/>
      <c r="AM36" s="448"/>
      <c r="AN36" s="448"/>
      <c r="AO36" s="448"/>
      <c r="AP36" s="448"/>
      <c r="AQ36" s="448"/>
      <c r="AR36" s="448"/>
      <c r="AS36" s="448"/>
      <c r="AT36" s="448"/>
      <c r="AU36" s="448"/>
      <c r="AV36" s="448"/>
      <c r="AW36" s="448"/>
      <c r="AX36" s="448"/>
      <c r="AY36" s="448"/>
      <c r="AZ36" s="448"/>
      <c r="BA36" s="448"/>
    </row>
    <row r="37" spans="1:53" ht="12.75" customHeight="1" x14ac:dyDescent="0.2">
      <c r="A37" s="484" t="str">
        <f>'Kalkulation Herstellungskosten'!B96</f>
        <v>Sound Design</v>
      </c>
      <c r="B37" s="711"/>
      <c r="C37" s="897"/>
      <c r="D37" s="714"/>
      <c r="E37" s="714"/>
      <c r="F37" s="481">
        <f t="shared" si="18"/>
        <v>0</v>
      </c>
      <c r="G37" s="899"/>
      <c r="H37" s="479">
        <f t="shared" si="7"/>
        <v>0</v>
      </c>
      <c r="I37" s="477"/>
      <c r="J37" s="456">
        <f>'Kalkulation Herstellungskosten'!F96/((1+1/6)*1.1041)</f>
        <v>0</v>
      </c>
      <c r="K37" s="457">
        <f t="shared" ref="K37" si="112">J37/6</f>
        <v>0</v>
      </c>
      <c r="L37" s="457">
        <f t="shared" ref="L37" si="113">(J37+K37)*10.41%</f>
        <v>0</v>
      </c>
      <c r="M37" s="449">
        <f t="shared" ref="M37" si="114">SUM(J37:L37)</f>
        <v>0</v>
      </c>
      <c r="N37" s="457">
        <f>IF(AND('Kalkulation Herstellungskosten'!C96=0,'Kalkulation Herstellungskosten'!C97=0),0,IF(J37/('Kalkulation Herstellungskosten'!C96+'Kalkulation Herstellungskosten'!C97)&gt;SVGrund_lfd_wö,('Kalkulation Herstellungskosten'!C96+'Kalkulation Herstellungskosten'!C97)*Höchst_Woche,J37*SV_lfd))</f>
        <v>0</v>
      </c>
      <c r="O37" s="457">
        <f t="shared" ref="O37" si="115">IF(K37&gt;SVGrund_SZ, Höchst_Mo_SZ,K37*SV_SZ)</f>
        <v>0</v>
      </c>
      <c r="P37" s="457">
        <f>IF(J37*10.41%&gt;(0.5833*('Kalkulation Herstellungskosten'!C97+'Kalkulation Herstellungskosten'!C96)*SVGrund_lfd_tä),(0.5833*('Kalkulation Herstellungskosten'!C97+'Kalkulation Herstellungskosten'!C96)*Höchst_Tag),J37*10.41%*SV_lfd)</f>
        <v>0</v>
      </c>
      <c r="Q37" s="457">
        <f t="shared" ref="Q37" si="116">IF(K37&gt;SVGrund_SZ,0,IF(K37*10.41%&gt;(SVGrund_SZ-K37),(SVGrund_SZ-K37)*SV_SZ,K37*10.41%*SV_SZ))</f>
        <v>0</v>
      </c>
      <c r="R37" s="457">
        <f t="shared" ref="R37" si="117">M37*MV</f>
        <v>0</v>
      </c>
      <c r="S37" s="457">
        <f t="shared" ref="S37" si="118">M37*DB</f>
        <v>0</v>
      </c>
      <c r="T37" s="457">
        <f t="shared" ref="T37" si="119">M37*DZ</f>
        <v>0</v>
      </c>
      <c r="U37" s="457">
        <f t="shared" ref="U37" si="120">M37*KommSt</f>
        <v>0</v>
      </c>
      <c r="V37" s="457">
        <f>('Kalkulation Herstellungskosten'!C96+'Kalkulation Herstellungskosten'!C97)*U_Bahn</f>
        <v>0</v>
      </c>
      <c r="W37" s="449">
        <f t="shared" ref="W37" si="121">SUM(N37:V37)</f>
        <v>0</v>
      </c>
      <c r="X37" s="449">
        <f t="shared" ref="X37" si="122">SUM(M37,W37)</f>
        <v>0</v>
      </c>
      <c r="Y37" s="448"/>
      <c r="Z37" s="448"/>
      <c r="AA37" s="448"/>
      <c r="AB37" s="448"/>
      <c r="AC37" s="448"/>
      <c r="AD37" s="448"/>
      <c r="AE37" s="448"/>
      <c r="AF37" s="448"/>
      <c r="AG37" s="448"/>
      <c r="AH37" s="448"/>
      <c r="AI37" s="448"/>
      <c r="AJ37" s="448"/>
      <c r="AK37" s="448"/>
      <c r="AL37" s="448"/>
      <c r="AM37" s="448"/>
      <c r="AN37" s="448"/>
      <c r="AO37" s="448"/>
      <c r="AP37" s="448"/>
      <c r="AQ37" s="448"/>
      <c r="AR37" s="448"/>
      <c r="AS37" s="448"/>
      <c r="AT37" s="448"/>
      <c r="AU37" s="448"/>
      <c r="AV37" s="448"/>
      <c r="AW37" s="448"/>
      <c r="AX37" s="448"/>
      <c r="AY37" s="448"/>
      <c r="AZ37" s="448"/>
      <c r="BA37" s="448"/>
    </row>
    <row r="38" spans="1:53" ht="12.75" customHeight="1" x14ac:dyDescent="0.2">
      <c r="A38" s="484" t="str">
        <f>'Kalkulation Herstellungskosten'!B98</f>
        <v>Tonschnitt</v>
      </c>
      <c r="B38" s="711"/>
      <c r="C38" s="897"/>
      <c r="D38" s="714"/>
      <c r="E38" s="714"/>
      <c r="F38" s="481">
        <f t="shared" si="18"/>
        <v>0</v>
      </c>
      <c r="G38" s="899"/>
      <c r="H38" s="479">
        <f t="shared" si="7"/>
        <v>0</v>
      </c>
      <c r="I38" s="477"/>
      <c r="J38" s="456">
        <f>'Kalkulation Herstellungskosten'!F98/((1+1/6)*1.1041)</f>
        <v>0</v>
      </c>
      <c r="K38" s="457">
        <f t="shared" ref="K38" si="123">J38/6</f>
        <v>0</v>
      </c>
      <c r="L38" s="457">
        <f t="shared" ref="L38" si="124">(J38+K38)*10.41%</f>
        <v>0</v>
      </c>
      <c r="M38" s="449">
        <f t="shared" ref="M38" si="125">SUM(J38:L38)</f>
        <v>0</v>
      </c>
      <c r="N38" s="457">
        <f>IF(AND('Kalkulation Herstellungskosten'!C98=0,'Kalkulation Herstellungskosten'!C99=0),0,IF(J38/('Kalkulation Herstellungskosten'!C98+'Kalkulation Herstellungskosten'!C99)&gt;SVGrund_lfd_wö,('Kalkulation Herstellungskosten'!C98+'Kalkulation Herstellungskosten'!C99)*Höchst_Woche,J38*SV_lfd))</f>
        <v>0</v>
      </c>
      <c r="O38" s="457">
        <f t="shared" ref="O38" si="126">IF(K38&gt;SVGrund_SZ, Höchst_Mo_SZ,K38*SV_SZ)</f>
        <v>0</v>
      </c>
      <c r="P38" s="457">
        <f>IF(J38*10.41%&gt;(0.5833*('Kalkulation Herstellungskosten'!C99+'Kalkulation Herstellungskosten'!C98)*SVGrund_lfd_tä),(0.5833*('Kalkulation Herstellungskosten'!C99+'Kalkulation Herstellungskosten'!C98)*Höchst_Tag),J38*10.41%*SV_lfd)</f>
        <v>0</v>
      </c>
      <c r="Q38" s="457">
        <f t="shared" ref="Q38" si="127">IF(K38&gt;SVGrund_SZ,0,IF(K38*10.41%&gt;(SVGrund_SZ-K38),(SVGrund_SZ-K38)*SV_SZ,K38*10.41%*SV_SZ))</f>
        <v>0</v>
      </c>
      <c r="R38" s="457">
        <f t="shared" ref="R38" si="128">M38*MV</f>
        <v>0</v>
      </c>
      <c r="S38" s="457">
        <f t="shared" ref="S38" si="129">M38*DB</f>
        <v>0</v>
      </c>
      <c r="T38" s="457">
        <f t="shared" ref="T38" si="130">M38*DZ</f>
        <v>0</v>
      </c>
      <c r="U38" s="457">
        <f t="shared" ref="U38" si="131">M38*KommSt</f>
        <v>0</v>
      </c>
      <c r="V38" s="457">
        <f>('Kalkulation Herstellungskosten'!C98+'Kalkulation Herstellungskosten'!C99)*U_Bahn</f>
        <v>0</v>
      </c>
      <c r="W38" s="449">
        <f t="shared" ref="W38" si="132">SUM(N38:V38)</f>
        <v>0</v>
      </c>
      <c r="X38" s="449">
        <f t="shared" ref="X38" si="133">SUM(M38,W38)</f>
        <v>0</v>
      </c>
      <c r="Y38" s="448"/>
      <c r="Z38" s="448"/>
      <c r="AA38" s="448"/>
      <c r="AB38" s="448"/>
      <c r="AC38" s="448"/>
      <c r="AD38" s="448"/>
      <c r="AE38" s="448"/>
      <c r="AF38" s="448"/>
      <c r="AG38" s="448"/>
      <c r="AH38" s="448"/>
      <c r="AI38" s="448"/>
      <c r="AJ38" s="448"/>
      <c r="AK38" s="448"/>
      <c r="AL38" s="448"/>
      <c r="AM38" s="448"/>
      <c r="AN38" s="448"/>
      <c r="AO38" s="448"/>
      <c r="AP38" s="448"/>
      <c r="AQ38" s="448"/>
      <c r="AR38" s="448"/>
      <c r="AS38" s="448"/>
      <c r="AT38" s="448"/>
      <c r="AU38" s="448"/>
      <c r="AV38" s="448"/>
      <c r="AW38" s="448"/>
      <c r="AX38" s="448"/>
      <c r="AY38" s="448"/>
      <c r="AZ38" s="448"/>
      <c r="BA38" s="448"/>
    </row>
    <row r="39" spans="1:53" ht="12.75" customHeight="1" x14ac:dyDescent="0.2">
      <c r="A39" s="484" t="str">
        <f>'Kalkulation Herstellungskosten'!B100</f>
        <v>Kostümbild</v>
      </c>
      <c r="B39" s="711"/>
      <c r="C39" s="897"/>
      <c r="D39" s="714"/>
      <c r="E39" s="714"/>
      <c r="F39" s="481">
        <f t="shared" si="18"/>
        <v>0</v>
      </c>
      <c r="G39" s="899"/>
      <c r="H39" s="479">
        <f t="shared" si="7"/>
        <v>0</v>
      </c>
      <c r="I39" s="477"/>
      <c r="J39" s="456">
        <f>'Kalkulation Herstellungskosten'!F100/((1+1/6)*1.1041)</f>
        <v>0</v>
      </c>
      <c r="K39" s="457">
        <f t="shared" si="8"/>
        <v>0</v>
      </c>
      <c r="L39" s="457">
        <f t="shared" si="9"/>
        <v>0</v>
      </c>
      <c r="M39" s="449">
        <f t="shared" si="10"/>
        <v>0</v>
      </c>
      <c r="N39" s="457">
        <f>IF(AND('Kalkulation Herstellungskosten'!C100=0,'Kalkulation Herstellungskosten'!C101=0),0,IF(J39/('Kalkulation Herstellungskosten'!C100+'Kalkulation Herstellungskosten'!C101)&gt;SVGrund_lfd_wö,('Kalkulation Herstellungskosten'!C100+'Kalkulation Herstellungskosten'!C101)*Höchst_Woche,J39*SV_lfd))</f>
        <v>0</v>
      </c>
      <c r="O39" s="457">
        <f t="shared" si="53"/>
        <v>0</v>
      </c>
      <c r="P39" s="457">
        <f>IF(J39*10.41%&gt;(0.5833*('Kalkulation Herstellungskosten'!C101+'Kalkulation Herstellungskosten'!C100)*SVGrund_lfd_tä),(0.5833*('Kalkulation Herstellungskosten'!C101+'Kalkulation Herstellungskosten'!C100)*Höchst_Tag),J39*10.41%*SV_lfd)</f>
        <v>0</v>
      </c>
      <c r="Q39" s="457">
        <f t="shared" si="54"/>
        <v>0</v>
      </c>
      <c r="R39" s="457">
        <f t="shared" si="13"/>
        <v>0</v>
      </c>
      <c r="S39" s="457">
        <f t="shared" si="14"/>
        <v>0</v>
      </c>
      <c r="T39" s="457">
        <f t="shared" si="15"/>
        <v>0</v>
      </c>
      <c r="U39" s="457">
        <f t="shared" si="16"/>
        <v>0</v>
      </c>
      <c r="V39" s="457">
        <f>('Kalkulation Herstellungskosten'!C100+'Kalkulation Herstellungskosten'!C101)*U_Bahn</f>
        <v>0</v>
      </c>
      <c r="W39" s="449">
        <f t="shared" si="55"/>
        <v>0</v>
      </c>
      <c r="X39" s="449">
        <f t="shared" si="56"/>
        <v>0</v>
      </c>
      <c r="Y39" s="448"/>
      <c r="Z39" s="448"/>
      <c r="AA39" s="448"/>
      <c r="AB39" s="448"/>
      <c r="AC39" s="448"/>
      <c r="AD39" s="448"/>
      <c r="AE39" s="448"/>
      <c r="AF39" s="448"/>
      <c r="AG39" s="448"/>
      <c r="AH39" s="448"/>
      <c r="AI39" s="448"/>
      <c r="AJ39" s="448"/>
      <c r="AK39" s="448"/>
      <c r="AL39" s="448"/>
      <c r="AM39" s="448"/>
      <c r="AN39" s="448"/>
      <c r="AO39" s="448"/>
      <c r="AP39" s="448"/>
      <c r="AQ39" s="448"/>
      <c r="AR39" s="448"/>
      <c r="AS39" s="448"/>
      <c r="AT39" s="448"/>
      <c r="AU39" s="448"/>
      <c r="AV39" s="448"/>
      <c r="AW39" s="448"/>
      <c r="AX39" s="448"/>
      <c r="AY39" s="448"/>
      <c r="AZ39" s="448"/>
      <c r="BA39" s="448"/>
    </row>
    <row r="40" spans="1:53" ht="12.75" customHeight="1" x14ac:dyDescent="0.2">
      <c r="A40" s="484" t="str">
        <f>'Kalkulation Herstellungskosten'!B102</f>
        <v>Kostümbildassistenz</v>
      </c>
      <c r="B40" s="711"/>
      <c r="C40" s="897"/>
      <c r="D40" s="714"/>
      <c r="E40" s="714"/>
      <c r="F40" s="481">
        <f t="shared" si="18"/>
        <v>0</v>
      </c>
      <c r="G40" s="899"/>
      <c r="H40" s="479">
        <f t="shared" si="7"/>
        <v>0</v>
      </c>
      <c r="I40" s="477"/>
      <c r="J40" s="456">
        <f>'Kalkulation Herstellungskosten'!F102/((1+1/6)*1.1041)</f>
        <v>0</v>
      </c>
      <c r="K40" s="457">
        <f t="shared" si="8"/>
        <v>0</v>
      </c>
      <c r="L40" s="457">
        <f t="shared" si="9"/>
        <v>0</v>
      </c>
      <c r="M40" s="449">
        <f t="shared" si="10"/>
        <v>0</v>
      </c>
      <c r="N40" s="457">
        <f>IF(AND('Kalkulation Herstellungskosten'!C102=0,'Kalkulation Herstellungskosten'!C103=0),0,IF(J40/('Kalkulation Herstellungskosten'!C102+'Kalkulation Herstellungskosten'!C103)&gt;SVGrund_lfd_wö,('Kalkulation Herstellungskosten'!C102+'Kalkulation Herstellungskosten'!C103)*Höchst_Woche,J40*SV_lfd))</f>
        <v>0</v>
      </c>
      <c r="O40" s="457">
        <f t="shared" si="53"/>
        <v>0</v>
      </c>
      <c r="P40" s="457">
        <f>IF(J40*10.41%&gt;(0.5833*('Kalkulation Herstellungskosten'!C103+'Kalkulation Herstellungskosten'!C102)*SVGrund_lfd_tä),(0.5833*('Kalkulation Herstellungskosten'!C103+'Kalkulation Herstellungskosten'!C102)*Höchst_Tag),J40*10.41%*SV_lfd)</f>
        <v>0</v>
      </c>
      <c r="Q40" s="457">
        <f t="shared" si="54"/>
        <v>0</v>
      </c>
      <c r="R40" s="457">
        <f t="shared" si="13"/>
        <v>0</v>
      </c>
      <c r="S40" s="457">
        <f t="shared" si="14"/>
        <v>0</v>
      </c>
      <c r="T40" s="457">
        <f t="shared" si="15"/>
        <v>0</v>
      </c>
      <c r="U40" s="457">
        <f t="shared" si="16"/>
        <v>0</v>
      </c>
      <c r="V40" s="457">
        <f>('Kalkulation Herstellungskosten'!C102+'Kalkulation Herstellungskosten'!C103)*U_Bahn</f>
        <v>0</v>
      </c>
      <c r="W40" s="449">
        <f t="shared" si="55"/>
        <v>0</v>
      </c>
      <c r="X40" s="449">
        <f t="shared" si="56"/>
        <v>0</v>
      </c>
      <c r="Y40" s="448"/>
      <c r="Z40" s="448"/>
      <c r="AA40" s="448"/>
      <c r="AB40" s="448"/>
      <c r="AC40" s="448"/>
      <c r="AD40" s="448"/>
      <c r="AE40" s="448"/>
      <c r="AF40" s="448"/>
      <c r="AG40" s="448"/>
      <c r="AH40" s="448"/>
      <c r="AI40" s="448"/>
      <c r="AJ40" s="448"/>
      <c r="AK40" s="448"/>
      <c r="AL40" s="448"/>
      <c r="AM40" s="448"/>
      <c r="AN40" s="448"/>
      <c r="AO40" s="448"/>
      <c r="AP40" s="448"/>
      <c r="AQ40" s="448"/>
      <c r="AR40" s="448"/>
      <c r="AS40" s="448"/>
      <c r="AT40" s="448"/>
      <c r="AU40" s="448"/>
      <c r="AV40" s="448"/>
      <c r="AW40" s="448"/>
      <c r="AX40" s="448"/>
      <c r="AY40" s="448"/>
      <c r="AZ40" s="448"/>
      <c r="BA40" s="448"/>
    </row>
    <row r="41" spans="1:53" ht="12.75" customHeight="1" x14ac:dyDescent="0.2">
      <c r="A41" s="484" t="str">
        <f>'Kalkulation Herstellungskosten'!B104</f>
        <v>Set-Kostüm Assistenz</v>
      </c>
      <c r="B41" s="711"/>
      <c r="C41" s="897"/>
      <c r="D41" s="714"/>
      <c r="E41" s="714"/>
      <c r="F41" s="481">
        <f t="shared" si="18"/>
        <v>0</v>
      </c>
      <c r="G41" s="899"/>
      <c r="H41" s="479">
        <f t="shared" si="7"/>
        <v>0</v>
      </c>
      <c r="I41" s="477"/>
      <c r="J41" s="456">
        <f>'Kalkulation Herstellungskosten'!F104/((1+1/6)*1.1041)</f>
        <v>0</v>
      </c>
      <c r="K41" s="457">
        <f t="shared" ref="K41" si="134">J41/6</f>
        <v>0</v>
      </c>
      <c r="L41" s="457">
        <f t="shared" ref="L41" si="135">(J41+K41)*10.41%</f>
        <v>0</v>
      </c>
      <c r="M41" s="449">
        <f t="shared" ref="M41" si="136">SUM(J41:L41)</f>
        <v>0</v>
      </c>
      <c r="N41" s="457">
        <f>IF(AND('Kalkulation Herstellungskosten'!C104=0,'Kalkulation Herstellungskosten'!C105=0),0,IF(J41/('Kalkulation Herstellungskosten'!C104+'Kalkulation Herstellungskosten'!C105)&gt;SVGrund_lfd_wö,('Kalkulation Herstellungskosten'!C104+'Kalkulation Herstellungskosten'!C105)*Höchst_Woche,J41*SV_lfd))</f>
        <v>0</v>
      </c>
      <c r="O41" s="457">
        <f t="shared" ref="O41" si="137">IF(K41&gt;SVGrund_SZ, Höchst_Mo_SZ,K41*SV_SZ)</f>
        <v>0</v>
      </c>
      <c r="P41" s="457">
        <f>IF(J41*10.41%&gt;(0.5833*('Kalkulation Herstellungskosten'!C105+'Kalkulation Herstellungskosten'!C104)*SVGrund_lfd_tä),(0.5833*('Kalkulation Herstellungskosten'!C105+'Kalkulation Herstellungskosten'!C104)*Höchst_Tag),J41*10.41%*SV_lfd)</f>
        <v>0</v>
      </c>
      <c r="Q41" s="457">
        <f t="shared" ref="Q41" si="138">IF(K41&gt;SVGrund_SZ,0,IF(K41*10.41%&gt;(SVGrund_SZ-K41),(SVGrund_SZ-K41)*SV_SZ,K41*10.41%*SV_SZ))</f>
        <v>0</v>
      </c>
      <c r="R41" s="457">
        <f t="shared" ref="R41" si="139">M41*MV</f>
        <v>0</v>
      </c>
      <c r="S41" s="457">
        <f t="shared" ref="S41" si="140">M41*DB</f>
        <v>0</v>
      </c>
      <c r="T41" s="457">
        <f t="shared" ref="T41" si="141">M41*DZ</f>
        <v>0</v>
      </c>
      <c r="U41" s="457">
        <f t="shared" ref="U41" si="142">M41*KommSt</f>
        <v>0</v>
      </c>
      <c r="V41" s="457">
        <f>('Kalkulation Herstellungskosten'!C104+'Kalkulation Herstellungskosten'!C105)*U_Bahn</f>
        <v>0</v>
      </c>
      <c r="W41" s="449">
        <f t="shared" ref="W41" si="143">SUM(N41:V41)</f>
        <v>0</v>
      </c>
      <c r="X41" s="449">
        <f t="shared" ref="X41" si="144">SUM(M41,W41)</f>
        <v>0</v>
      </c>
      <c r="Y41" s="448"/>
      <c r="Z41" s="448"/>
      <c r="AA41" s="448"/>
      <c r="AB41" s="448"/>
      <c r="AC41" s="448"/>
      <c r="AD41" s="448"/>
      <c r="AE41" s="448"/>
      <c r="AF41" s="448"/>
      <c r="AG41" s="448"/>
      <c r="AH41" s="448"/>
      <c r="AI41" s="448"/>
      <c r="AJ41" s="448"/>
      <c r="AK41" s="448"/>
      <c r="AL41" s="448"/>
      <c r="AM41" s="448"/>
      <c r="AN41" s="448"/>
      <c r="AO41" s="448"/>
      <c r="AP41" s="448"/>
      <c r="AQ41" s="448"/>
      <c r="AR41" s="448"/>
      <c r="AS41" s="448"/>
      <c r="AT41" s="448"/>
      <c r="AU41" s="448"/>
      <c r="AV41" s="448"/>
      <c r="AW41" s="448"/>
      <c r="AX41" s="448"/>
      <c r="AY41" s="448"/>
      <c r="AZ41" s="448"/>
      <c r="BA41" s="448"/>
    </row>
    <row r="42" spans="1:53" ht="12.75" customHeight="1" x14ac:dyDescent="0.2">
      <c r="A42" s="484" t="str">
        <f>'Kalkulation Herstellungskosten'!B106</f>
        <v>Garderobe</v>
      </c>
      <c r="B42" s="711"/>
      <c r="C42" s="897"/>
      <c r="D42" s="714"/>
      <c r="E42" s="714"/>
      <c r="F42" s="481">
        <f t="shared" si="18"/>
        <v>0</v>
      </c>
      <c r="G42" s="899"/>
      <c r="H42" s="479">
        <f t="shared" si="7"/>
        <v>0</v>
      </c>
      <c r="I42" s="477"/>
      <c r="J42" s="456">
        <f>'Kalkulation Herstellungskosten'!F106/((1+1/6)*1.1041)</f>
        <v>0</v>
      </c>
      <c r="K42" s="457">
        <f t="shared" si="8"/>
        <v>0</v>
      </c>
      <c r="L42" s="457">
        <f t="shared" si="9"/>
        <v>0</v>
      </c>
      <c r="M42" s="449">
        <f t="shared" si="10"/>
        <v>0</v>
      </c>
      <c r="N42" s="457">
        <f>IF(AND('Kalkulation Herstellungskosten'!C106=0,'Kalkulation Herstellungskosten'!C107=0),0,IF(J42/('Kalkulation Herstellungskosten'!C106+'Kalkulation Herstellungskosten'!C107)&gt;SVGrund_lfd_wö,('Kalkulation Herstellungskosten'!C106+'Kalkulation Herstellungskosten'!C107)*Höchst_Woche,J42*SV_lfd))</f>
        <v>0</v>
      </c>
      <c r="O42" s="457">
        <f t="shared" si="53"/>
        <v>0</v>
      </c>
      <c r="P42" s="457">
        <f>IF(J42*10.41%&gt;(0.5833*('Kalkulation Herstellungskosten'!C107+'Kalkulation Herstellungskosten'!C106)*SVGrund_lfd_tä),(0.5833*('Kalkulation Herstellungskosten'!C107+'Kalkulation Herstellungskosten'!C106)*Höchst_Tag),J42*10.41%*SV_lfd)</f>
        <v>0</v>
      </c>
      <c r="Q42" s="457">
        <f t="shared" si="54"/>
        <v>0</v>
      </c>
      <c r="R42" s="457">
        <f t="shared" si="13"/>
        <v>0</v>
      </c>
      <c r="S42" s="457">
        <f t="shared" si="14"/>
        <v>0</v>
      </c>
      <c r="T42" s="457">
        <f t="shared" si="15"/>
        <v>0</v>
      </c>
      <c r="U42" s="457">
        <f t="shared" si="16"/>
        <v>0</v>
      </c>
      <c r="V42" s="457">
        <f>('Kalkulation Herstellungskosten'!C106+'Kalkulation Herstellungskosten'!C107)*U_Bahn</f>
        <v>0</v>
      </c>
      <c r="W42" s="449">
        <f t="shared" si="55"/>
        <v>0</v>
      </c>
      <c r="X42" s="449">
        <f t="shared" si="56"/>
        <v>0</v>
      </c>
      <c r="Y42" s="448"/>
      <c r="Z42" s="448"/>
      <c r="AA42" s="448"/>
      <c r="AB42" s="448"/>
      <c r="AC42" s="448"/>
      <c r="AD42" s="448"/>
      <c r="AE42" s="448"/>
      <c r="AF42" s="448"/>
      <c r="AG42" s="448"/>
      <c r="AH42" s="448"/>
      <c r="AI42" s="448"/>
      <c r="AJ42" s="448"/>
      <c r="AK42" s="448"/>
      <c r="AL42" s="448"/>
      <c r="AM42" s="448"/>
      <c r="AN42" s="448"/>
      <c r="AO42" s="448"/>
      <c r="AP42" s="448"/>
      <c r="AQ42" s="448"/>
      <c r="AR42" s="448"/>
      <c r="AS42" s="448"/>
      <c r="AT42" s="448"/>
      <c r="AU42" s="448"/>
      <c r="AV42" s="448"/>
      <c r="AW42" s="448"/>
      <c r="AX42" s="448"/>
      <c r="AY42" s="448"/>
      <c r="AZ42" s="448"/>
      <c r="BA42" s="448"/>
    </row>
    <row r="43" spans="1:53" ht="12.75" customHeight="1" x14ac:dyDescent="0.2">
      <c r="A43" s="484" t="str">
        <f>'Kalkulation Herstellungskosten'!B108</f>
        <v>Garderobe</v>
      </c>
      <c r="B43" s="711"/>
      <c r="C43" s="897"/>
      <c r="D43" s="714"/>
      <c r="E43" s="714"/>
      <c r="F43" s="481">
        <f t="shared" si="18"/>
        <v>0</v>
      </c>
      <c r="G43" s="899"/>
      <c r="H43" s="479">
        <f t="shared" si="7"/>
        <v>0</v>
      </c>
      <c r="I43" s="477"/>
      <c r="J43" s="456">
        <f>'Kalkulation Herstellungskosten'!F108/((1+1/6)*1.1041)</f>
        <v>0</v>
      </c>
      <c r="K43" s="457">
        <f t="shared" si="8"/>
        <v>0</v>
      </c>
      <c r="L43" s="457">
        <f t="shared" si="9"/>
        <v>0</v>
      </c>
      <c r="M43" s="449">
        <f t="shared" si="10"/>
        <v>0</v>
      </c>
      <c r="N43" s="457">
        <f>IF(AND('Kalkulation Herstellungskosten'!C108=0,'Kalkulation Herstellungskosten'!C109=0),0,IF(J43/('Kalkulation Herstellungskosten'!C108+'Kalkulation Herstellungskosten'!C109)&gt;SVGrund_lfd_wö,('Kalkulation Herstellungskosten'!C108+'Kalkulation Herstellungskosten'!C109)*Höchst_Woche,J43*SV_lfd))</f>
        <v>0</v>
      </c>
      <c r="O43" s="457">
        <f t="shared" si="53"/>
        <v>0</v>
      </c>
      <c r="P43" s="457">
        <f>IF(J43*10.41%&gt;(0.5833*('Kalkulation Herstellungskosten'!C109+'Kalkulation Herstellungskosten'!C108)*SVGrund_lfd_tä),(0.5833*('Kalkulation Herstellungskosten'!C109+'Kalkulation Herstellungskosten'!C108)*Höchst_Tag),J43*10.41%*SV_lfd)</f>
        <v>0</v>
      </c>
      <c r="Q43" s="457">
        <f t="shared" si="54"/>
        <v>0</v>
      </c>
      <c r="R43" s="457">
        <f t="shared" si="13"/>
        <v>0</v>
      </c>
      <c r="S43" s="457">
        <f t="shared" si="14"/>
        <v>0</v>
      </c>
      <c r="T43" s="457">
        <f t="shared" si="15"/>
        <v>0</v>
      </c>
      <c r="U43" s="457">
        <f t="shared" si="16"/>
        <v>0</v>
      </c>
      <c r="V43" s="457">
        <f>('Kalkulation Herstellungskosten'!C108+'Kalkulation Herstellungskosten'!C109)*U_Bahn</f>
        <v>0</v>
      </c>
      <c r="W43" s="449">
        <f t="shared" si="55"/>
        <v>0</v>
      </c>
      <c r="X43" s="449">
        <f t="shared" si="56"/>
        <v>0</v>
      </c>
      <c r="Y43" s="448"/>
      <c r="Z43" s="448"/>
      <c r="AA43" s="448"/>
      <c r="AB43" s="448"/>
      <c r="AC43" s="448"/>
      <c r="AD43" s="448"/>
      <c r="AE43" s="448"/>
      <c r="AF43" s="448"/>
      <c r="AG43" s="448"/>
      <c r="AH43" s="448"/>
      <c r="AI43" s="448"/>
      <c r="AJ43" s="448"/>
      <c r="AK43" s="448"/>
      <c r="AL43" s="448"/>
      <c r="AM43" s="448"/>
      <c r="AN43" s="448"/>
      <c r="AO43" s="448"/>
      <c r="AP43" s="448"/>
      <c r="AQ43" s="448"/>
      <c r="AR43" s="448"/>
      <c r="AS43" s="448"/>
      <c r="AT43" s="448"/>
      <c r="AU43" s="448"/>
      <c r="AV43" s="448"/>
      <c r="AW43" s="448"/>
      <c r="AX43" s="448"/>
      <c r="AY43" s="448"/>
      <c r="AZ43" s="448"/>
      <c r="BA43" s="448"/>
    </row>
    <row r="44" spans="1:53" ht="12.75" customHeight="1" x14ac:dyDescent="0.2">
      <c r="A44" s="484" t="str">
        <f>'Kalkulation Herstellungskosten'!B110</f>
        <v>Garderobenhilfe</v>
      </c>
      <c r="B44" s="711"/>
      <c r="C44" s="897"/>
      <c r="D44" s="714"/>
      <c r="E44" s="714"/>
      <c r="F44" s="481">
        <f t="shared" si="18"/>
        <v>0</v>
      </c>
      <c r="G44" s="899"/>
      <c r="H44" s="479">
        <f t="shared" si="7"/>
        <v>0</v>
      </c>
      <c r="I44" s="477"/>
      <c r="J44" s="456">
        <f>'Kalkulation Herstellungskosten'!F110/((1+1/6)*1.1041)</f>
        <v>0</v>
      </c>
      <c r="K44" s="457">
        <f t="shared" si="8"/>
        <v>0</v>
      </c>
      <c r="L44" s="457">
        <f t="shared" si="9"/>
        <v>0</v>
      </c>
      <c r="M44" s="449">
        <f t="shared" si="10"/>
        <v>0</v>
      </c>
      <c r="N44" s="457">
        <f>IF(AND('Kalkulation Herstellungskosten'!C110=0,'Kalkulation Herstellungskosten'!C111=0),0,IF(J44/('Kalkulation Herstellungskosten'!C110+'Kalkulation Herstellungskosten'!C111)&gt;SVGrund_lfd_wö,('Kalkulation Herstellungskosten'!C110+'Kalkulation Herstellungskosten'!C111)*Höchst_Woche,J44*SV_lfd))</f>
        <v>0</v>
      </c>
      <c r="O44" s="457">
        <f t="shared" si="53"/>
        <v>0</v>
      </c>
      <c r="P44" s="457">
        <f>IF(J44*10.41%&gt;(0.5833*('Kalkulation Herstellungskosten'!C111+'Kalkulation Herstellungskosten'!C110)*SVGrund_lfd_tä),(0.5833*('Kalkulation Herstellungskosten'!C111+'Kalkulation Herstellungskosten'!C110)*Höchst_Tag),J44*10.41%*SV_lfd)</f>
        <v>0</v>
      </c>
      <c r="Q44" s="457">
        <f t="shared" si="54"/>
        <v>0</v>
      </c>
      <c r="R44" s="457">
        <f t="shared" si="13"/>
        <v>0</v>
      </c>
      <c r="S44" s="457">
        <f t="shared" si="14"/>
        <v>0</v>
      </c>
      <c r="T44" s="457">
        <f t="shared" si="15"/>
        <v>0</v>
      </c>
      <c r="U44" s="457">
        <f t="shared" si="16"/>
        <v>0</v>
      </c>
      <c r="V44" s="457">
        <f>('Kalkulation Herstellungskosten'!C110+'Kalkulation Herstellungskosten'!C111)*U_Bahn</f>
        <v>0</v>
      </c>
      <c r="W44" s="449">
        <f t="shared" si="55"/>
        <v>0</v>
      </c>
      <c r="X44" s="449">
        <f t="shared" si="56"/>
        <v>0</v>
      </c>
      <c r="Y44" s="448"/>
      <c r="Z44" s="448"/>
      <c r="AA44" s="448"/>
      <c r="AB44" s="448"/>
      <c r="AC44" s="448"/>
      <c r="AD44" s="448"/>
      <c r="AE44" s="448"/>
      <c r="AF44" s="448"/>
      <c r="AG44" s="448"/>
      <c r="AH44" s="448"/>
      <c r="AI44" s="448"/>
      <c r="AJ44" s="448"/>
      <c r="AK44" s="448"/>
      <c r="AL44" s="448"/>
      <c r="AM44" s="448"/>
      <c r="AN44" s="448"/>
      <c r="AO44" s="448"/>
      <c r="AP44" s="448"/>
      <c r="AQ44" s="448"/>
      <c r="AR44" s="448"/>
      <c r="AS44" s="448"/>
      <c r="AT44" s="448"/>
      <c r="AU44" s="448"/>
      <c r="AV44" s="448"/>
      <c r="AW44" s="448"/>
      <c r="AX44" s="448"/>
      <c r="AY44" s="448"/>
      <c r="AZ44" s="448"/>
      <c r="BA44" s="448"/>
    </row>
    <row r="45" spans="1:53" ht="12.75" customHeight="1" x14ac:dyDescent="0.2">
      <c r="A45" s="484" t="str">
        <f>'Kalkulation Herstellungskosten'!B112</f>
        <v>Außenrequisite</v>
      </c>
      <c r="B45" s="711"/>
      <c r="C45" s="897"/>
      <c r="D45" s="714"/>
      <c r="E45" s="714"/>
      <c r="F45" s="481">
        <f t="shared" si="18"/>
        <v>0</v>
      </c>
      <c r="G45" s="899"/>
      <c r="H45" s="479">
        <f t="shared" si="7"/>
        <v>0</v>
      </c>
      <c r="I45" s="477"/>
      <c r="J45" s="456">
        <f>'Kalkulation Herstellungskosten'!F112/((1+1/6)*1.1041)</f>
        <v>0</v>
      </c>
      <c r="K45" s="457">
        <f t="shared" si="8"/>
        <v>0</v>
      </c>
      <c r="L45" s="457">
        <f t="shared" si="9"/>
        <v>0</v>
      </c>
      <c r="M45" s="449">
        <f t="shared" si="10"/>
        <v>0</v>
      </c>
      <c r="N45" s="457">
        <f>IF(AND('Kalkulation Herstellungskosten'!C112=0,'Kalkulation Herstellungskosten'!C113=0),0,IF(J45/('Kalkulation Herstellungskosten'!C112+'Kalkulation Herstellungskosten'!C113)&gt;SVGrund_lfd_wö,('Kalkulation Herstellungskosten'!C112+'Kalkulation Herstellungskosten'!C113)*Höchst_Woche,J45*SV_lfd))</f>
        <v>0</v>
      </c>
      <c r="O45" s="457">
        <f t="shared" si="53"/>
        <v>0</v>
      </c>
      <c r="P45" s="457">
        <f>IF(J45*10.41%&gt;(0.5833*('Kalkulation Herstellungskosten'!C113+'Kalkulation Herstellungskosten'!C112)*SVGrund_lfd_tä),(0.5833*('Kalkulation Herstellungskosten'!C113+'Kalkulation Herstellungskosten'!C112)*Höchst_Tag),J45*10.41%*SV_lfd)</f>
        <v>0</v>
      </c>
      <c r="Q45" s="457">
        <f t="shared" si="54"/>
        <v>0</v>
      </c>
      <c r="R45" s="457">
        <f t="shared" si="13"/>
        <v>0</v>
      </c>
      <c r="S45" s="457">
        <f t="shared" si="14"/>
        <v>0</v>
      </c>
      <c r="T45" s="457">
        <f t="shared" si="15"/>
        <v>0</v>
      </c>
      <c r="U45" s="457">
        <f t="shared" si="16"/>
        <v>0</v>
      </c>
      <c r="V45" s="457">
        <f>('Kalkulation Herstellungskosten'!C112+'Kalkulation Herstellungskosten'!C113)*U_Bahn</f>
        <v>0</v>
      </c>
      <c r="W45" s="449">
        <f t="shared" si="55"/>
        <v>0</v>
      </c>
      <c r="X45" s="449">
        <f t="shared" si="56"/>
        <v>0</v>
      </c>
      <c r="Y45" s="448"/>
      <c r="Z45" s="448"/>
      <c r="AA45" s="448"/>
      <c r="AB45" s="448"/>
      <c r="AC45" s="448"/>
      <c r="AD45" s="448"/>
      <c r="AE45" s="448"/>
      <c r="AF45" s="448"/>
      <c r="AG45" s="448"/>
      <c r="AH45" s="448"/>
      <c r="AI45" s="448"/>
      <c r="AJ45" s="448"/>
      <c r="AK45" s="448"/>
      <c r="AL45" s="448"/>
      <c r="AM45" s="448"/>
      <c r="AN45" s="448"/>
      <c r="AO45" s="448"/>
      <c r="AP45" s="448"/>
      <c r="AQ45" s="448"/>
      <c r="AR45" s="448"/>
      <c r="AS45" s="448"/>
      <c r="AT45" s="448"/>
      <c r="AU45" s="448"/>
      <c r="AV45" s="448"/>
      <c r="AW45" s="448"/>
      <c r="AX45" s="448"/>
      <c r="AY45" s="448"/>
      <c r="AZ45" s="448"/>
      <c r="BA45" s="448"/>
    </row>
    <row r="46" spans="1:53" ht="12.75" customHeight="1" x14ac:dyDescent="0.2">
      <c r="A46" s="484" t="str">
        <f>'Kalkulation Herstellungskosten'!B114</f>
        <v>Innenrequisite</v>
      </c>
      <c r="B46" s="711"/>
      <c r="C46" s="897"/>
      <c r="D46" s="714"/>
      <c r="E46" s="714"/>
      <c r="F46" s="481">
        <f t="shared" si="18"/>
        <v>0</v>
      </c>
      <c r="G46" s="899"/>
      <c r="H46" s="479">
        <f t="shared" si="7"/>
        <v>0</v>
      </c>
      <c r="I46" s="477"/>
      <c r="J46" s="456">
        <f>'Kalkulation Herstellungskosten'!F114/((1+1/6)*1.1041)</f>
        <v>0</v>
      </c>
      <c r="K46" s="457">
        <f t="shared" si="8"/>
        <v>0</v>
      </c>
      <c r="L46" s="457">
        <f t="shared" si="9"/>
        <v>0</v>
      </c>
      <c r="M46" s="449">
        <f t="shared" si="10"/>
        <v>0</v>
      </c>
      <c r="N46" s="457">
        <f>IF(AND('Kalkulation Herstellungskosten'!C114=0,'Kalkulation Herstellungskosten'!C115=0),0,IF(J46/('Kalkulation Herstellungskosten'!C114+'Kalkulation Herstellungskosten'!C115)&gt;SVGrund_lfd_wö,('Kalkulation Herstellungskosten'!C114+'Kalkulation Herstellungskosten'!C115)*Höchst_Woche,J46*SV_lfd))</f>
        <v>0</v>
      </c>
      <c r="O46" s="457">
        <f t="shared" si="53"/>
        <v>0</v>
      </c>
      <c r="P46" s="457">
        <f>IF(J46*10.41%&gt;(0.5833*('Kalkulation Herstellungskosten'!C115+'Kalkulation Herstellungskosten'!C114)*SVGrund_lfd_tä),(0.5833*('Kalkulation Herstellungskosten'!C115+'Kalkulation Herstellungskosten'!C114)*Höchst_Tag),J46*10.41%*SV_lfd)</f>
        <v>0</v>
      </c>
      <c r="Q46" s="457">
        <f t="shared" si="54"/>
        <v>0</v>
      </c>
      <c r="R46" s="457">
        <f t="shared" si="13"/>
        <v>0</v>
      </c>
      <c r="S46" s="457">
        <f t="shared" si="14"/>
        <v>0</v>
      </c>
      <c r="T46" s="457">
        <f t="shared" si="15"/>
        <v>0</v>
      </c>
      <c r="U46" s="457">
        <f t="shared" si="16"/>
        <v>0</v>
      </c>
      <c r="V46" s="457">
        <f>('Kalkulation Herstellungskosten'!C114+'Kalkulation Herstellungskosten'!C115)*U_Bahn</f>
        <v>0</v>
      </c>
      <c r="W46" s="449">
        <f t="shared" si="55"/>
        <v>0</v>
      </c>
      <c r="X46" s="449">
        <f t="shared" si="56"/>
        <v>0</v>
      </c>
      <c r="Y46" s="448"/>
      <c r="Z46" s="448"/>
      <c r="AA46" s="448"/>
      <c r="AB46" s="448"/>
      <c r="AC46" s="448"/>
      <c r="AD46" s="448"/>
      <c r="AE46" s="448"/>
      <c r="AF46" s="448"/>
      <c r="AG46" s="448"/>
      <c r="AH46" s="448"/>
      <c r="AI46" s="448"/>
      <c r="AJ46" s="448"/>
      <c r="AK46" s="448"/>
      <c r="AL46" s="448"/>
      <c r="AM46" s="448"/>
      <c r="AN46" s="448"/>
      <c r="AO46" s="448"/>
      <c r="AP46" s="448"/>
      <c r="AQ46" s="448"/>
      <c r="AR46" s="448"/>
      <c r="AS46" s="448"/>
      <c r="AT46" s="448"/>
      <c r="AU46" s="448"/>
      <c r="AV46" s="448"/>
      <c r="AW46" s="448"/>
      <c r="AX46" s="448"/>
      <c r="AY46" s="448"/>
      <c r="AZ46" s="448"/>
      <c r="BA46" s="448"/>
    </row>
    <row r="47" spans="1:53" ht="12.75" customHeight="1" x14ac:dyDescent="0.2">
      <c r="A47" s="484" t="str">
        <f>'Kalkulation Herstellungskosten'!B116</f>
        <v>Set Requisite Assistenz</v>
      </c>
      <c r="B47" s="711"/>
      <c r="C47" s="897"/>
      <c r="D47" s="714"/>
      <c r="E47" s="714"/>
      <c r="F47" s="481">
        <f t="shared" si="18"/>
        <v>0</v>
      </c>
      <c r="G47" s="899"/>
      <c r="H47" s="479">
        <f t="shared" si="7"/>
        <v>0</v>
      </c>
      <c r="I47" s="477"/>
      <c r="J47" s="456">
        <f>'Kalkulation Herstellungskosten'!F116/((1+1/6)*1.1041)</f>
        <v>0</v>
      </c>
      <c r="K47" s="457">
        <f t="shared" ref="K47" si="145">J47/6</f>
        <v>0</v>
      </c>
      <c r="L47" s="457">
        <f t="shared" ref="L47" si="146">(J47+K47)*10.41%</f>
        <v>0</v>
      </c>
      <c r="M47" s="449">
        <f t="shared" ref="M47" si="147">SUM(J47:L47)</f>
        <v>0</v>
      </c>
      <c r="N47" s="457">
        <f>IF(AND('Kalkulation Herstellungskosten'!C116=0,'Kalkulation Herstellungskosten'!C117=0),0,IF(J47/('Kalkulation Herstellungskosten'!C116+'Kalkulation Herstellungskosten'!C117)&gt;SVGrund_lfd_wö,('Kalkulation Herstellungskosten'!C116+'Kalkulation Herstellungskosten'!C117)*Höchst_Woche,J47*SV_lfd))</f>
        <v>0</v>
      </c>
      <c r="O47" s="457">
        <f t="shared" ref="O47" si="148">IF(K47&gt;SVGrund_SZ, Höchst_Mo_SZ,K47*SV_SZ)</f>
        <v>0</v>
      </c>
      <c r="P47" s="457">
        <f>IF(J47*10.41%&gt;(0.5833*('Kalkulation Herstellungskosten'!C117+'Kalkulation Herstellungskosten'!C116)*SVGrund_lfd_tä),(0.5833*('Kalkulation Herstellungskosten'!C117+'Kalkulation Herstellungskosten'!C116)*Höchst_Tag),J47*10.41%*SV_lfd)</f>
        <v>0</v>
      </c>
      <c r="Q47" s="457">
        <f t="shared" ref="Q47" si="149">IF(K47&gt;SVGrund_SZ,0,IF(K47*10.41%&gt;(SVGrund_SZ-K47),(SVGrund_SZ-K47)*SV_SZ,K47*10.41%*SV_SZ))</f>
        <v>0</v>
      </c>
      <c r="R47" s="457">
        <f t="shared" ref="R47" si="150">M47*MV</f>
        <v>0</v>
      </c>
      <c r="S47" s="457">
        <f t="shared" ref="S47" si="151">M47*DB</f>
        <v>0</v>
      </c>
      <c r="T47" s="457">
        <f t="shared" ref="T47" si="152">M47*DZ</f>
        <v>0</v>
      </c>
      <c r="U47" s="457">
        <f t="shared" ref="U47" si="153">M47*KommSt</f>
        <v>0</v>
      </c>
      <c r="V47" s="457">
        <f>('Kalkulation Herstellungskosten'!C116+'Kalkulation Herstellungskosten'!C117)*U_Bahn</f>
        <v>0</v>
      </c>
      <c r="W47" s="449">
        <f t="shared" ref="W47" si="154">SUM(N47:V47)</f>
        <v>0</v>
      </c>
      <c r="X47" s="449">
        <f t="shared" ref="X47" si="155">SUM(M47,W47)</f>
        <v>0</v>
      </c>
      <c r="Y47" s="448"/>
      <c r="Z47" s="448"/>
      <c r="AA47" s="448"/>
      <c r="AB47" s="448"/>
      <c r="AC47" s="448"/>
      <c r="AD47" s="448"/>
      <c r="AE47" s="448"/>
      <c r="AF47" s="448"/>
      <c r="AG47" s="448"/>
      <c r="AH47" s="448"/>
      <c r="AI47" s="448"/>
      <c r="AJ47" s="448"/>
      <c r="AK47" s="448"/>
      <c r="AL47" s="448"/>
      <c r="AM47" s="448"/>
      <c r="AN47" s="448"/>
      <c r="AO47" s="448"/>
      <c r="AP47" s="448"/>
      <c r="AQ47" s="448"/>
      <c r="AR47" s="448"/>
      <c r="AS47" s="448"/>
      <c r="AT47" s="448"/>
      <c r="AU47" s="448"/>
      <c r="AV47" s="448"/>
      <c r="AW47" s="448"/>
      <c r="AX47" s="448"/>
      <c r="AY47" s="448"/>
      <c r="AZ47" s="448"/>
      <c r="BA47" s="448"/>
    </row>
    <row r="48" spans="1:53" ht="12.75" customHeight="1" x14ac:dyDescent="0.2">
      <c r="A48" s="484" t="str">
        <f>'Kalkulation Herstellungskosten'!B118</f>
        <v>Requisitenhilfe</v>
      </c>
      <c r="B48" s="711"/>
      <c r="C48" s="897"/>
      <c r="D48" s="714"/>
      <c r="E48" s="714"/>
      <c r="F48" s="481">
        <f t="shared" si="18"/>
        <v>0</v>
      </c>
      <c r="G48" s="899"/>
      <c r="H48" s="479">
        <f t="shared" si="7"/>
        <v>0</v>
      </c>
      <c r="I48" s="477"/>
      <c r="J48" s="456">
        <f>'Kalkulation Herstellungskosten'!F118/((1+1/6)*1.1041)</f>
        <v>0</v>
      </c>
      <c r="K48" s="457">
        <f t="shared" si="8"/>
        <v>0</v>
      </c>
      <c r="L48" s="457">
        <f t="shared" si="9"/>
        <v>0</v>
      </c>
      <c r="M48" s="449">
        <f t="shared" si="10"/>
        <v>0</v>
      </c>
      <c r="N48" s="457">
        <f>IF(AND('Kalkulation Herstellungskosten'!C118=0,'Kalkulation Herstellungskosten'!C119=0),0,IF(J48/('Kalkulation Herstellungskosten'!C118+'Kalkulation Herstellungskosten'!C119)&gt;SVGrund_lfd_wö,('Kalkulation Herstellungskosten'!C118+'Kalkulation Herstellungskosten'!C119)*Höchst_Woche,J48*SV_lfd))</f>
        <v>0</v>
      </c>
      <c r="O48" s="457">
        <f t="shared" si="53"/>
        <v>0</v>
      </c>
      <c r="P48" s="457">
        <f>IF(J48*10.41%&gt;(0.5833*('Kalkulation Herstellungskosten'!C119+'Kalkulation Herstellungskosten'!C118)*SVGrund_lfd_tä),(0.5833*('Kalkulation Herstellungskosten'!C119+'Kalkulation Herstellungskosten'!C118)*Höchst_Tag),J48*10.41%*SV_lfd)</f>
        <v>0</v>
      </c>
      <c r="Q48" s="457">
        <f t="shared" si="54"/>
        <v>0</v>
      </c>
      <c r="R48" s="457">
        <f t="shared" si="13"/>
        <v>0</v>
      </c>
      <c r="S48" s="457">
        <f t="shared" si="14"/>
        <v>0</v>
      </c>
      <c r="T48" s="457">
        <f t="shared" si="15"/>
        <v>0</v>
      </c>
      <c r="U48" s="457">
        <f t="shared" si="16"/>
        <v>0</v>
      </c>
      <c r="V48" s="457">
        <f>('Kalkulation Herstellungskosten'!C118+'Kalkulation Herstellungskosten'!C119)*U_Bahn</f>
        <v>0</v>
      </c>
      <c r="W48" s="449">
        <f t="shared" si="55"/>
        <v>0</v>
      </c>
      <c r="X48" s="449">
        <f t="shared" si="56"/>
        <v>0</v>
      </c>
      <c r="Y48" s="448"/>
      <c r="Z48" s="448"/>
      <c r="AA48" s="448"/>
      <c r="AB48" s="448"/>
      <c r="AC48" s="448"/>
      <c r="AD48" s="448"/>
      <c r="AE48" s="448"/>
      <c r="AF48" s="448"/>
      <c r="AG48" s="448"/>
      <c r="AH48" s="448"/>
      <c r="AI48" s="448"/>
      <c r="AJ48" s="448"/>
      <c r="AK48" s="448"/>
      <c r="AL48" s="448"/>
      <c r="AM48" s="448"/>
      <c r="AN48" s="448"/>
      <c r="AO48" s="448"/>
      <c r="AP48" s="448"/>
      <c r="AQ48" s="448"/>
      <c r="AR48" s="448"/>
      <c r="AS48" s="448"/>
      <c r="AT48" s="448"/>
      <c r="AU48" s="448"/>
      <c r="AV48" s="448"/>
      <c r="AW48" s="448"/>
      <c r="AX48" s="448"/>
      <c r="AY48" s="448"/>
      <c r="AZ48" s="448"/>
      <c r="BA48" s="448"/>
    </row>
    <row r="49" spans="1:53" ht="12.75" customHeight="1" x14ac:dyDescent="0.2">
      <c r="A49" s="484" t="str">
        <f>'Kalkulation Herstellungskosten'!B120</f>
        <v>Szenenbild (Filmarchitektur)</v>
      </c>
      <c r="B49" s="711"/>
      <c r="C49" s="897"/>
      <c r="D49" s="714"/>
      <c r="E49" s="714"/>
      <c r="F49" s="481">
        <f t="shared" si="18"/>
        <v>0</v>
      </c>
      <c r="G49" s="899"/>
      <c r="H49" s="479">
        <f t="shared" si="7"/>
        <v>0</v>
      </c>
      <c r="I49" s="477"/>
      <c r="J49" s="456">
        <f>'Kalkulation Herstellungskosten'!F120/((1+1/6)*1.1041)</f>
        <v>0</v>
      </c>
      <c r="K49" s="457">
        <f t="shared" ref="K49" si="156">J49/6</f>
        <v>0</v>
      </c>
      <c r="L49" s="457">
        <f t="shared" ref="L49" si="157">(J49+K49)*10.41%</f>
        <v>0</v>
      </c>
      <c r="M49" s="449">
        <f t="shared" ref="M49" si="158">SUM(J49:L49)</f>
        <v>0</v>
      </c>
      <c r="N49" s="457">
        <f>IF(AND('Kalkulation Herstellungskosten'!C120=0,'Kalkulation Herstellungskosten'!C121=0),0,IF(J49/('Kalkulation Herstellungskosten'!C120+'Kalkulation Herstellungskosten'!C121)&gt;SVGrund_lfd_wö,('Kalkulation Herstellungskosten'!C120+'Kalkulation Herstellungskosten'!C121)*Höchst_Woche,J49*SV_lfd))</f>
        <v>0</v>
      </c>
      <c r="O49" s="457">
        <f t="shared" ref="O49" si="159">IF(K49&gt;SVGrund_SZ, Höchst_Mo_SZ,K49*SV_SZ)</f>
        <v>0</v>
      </c>
      <c r="P49" s="457">
        <f>IF(J49*10.41%&gt;(0.5833*('Kalkulation Herstellungskosten'!C121+'Kalkulation Herstellungskosten'!C120)*SVGrund_lfd_tä),(0.5833*('Kalkulation Herstellungskosten'!C121+'Kalkulation Herstellungskosten'!C120)*Höchst_Tag),J49*10.41%*SV_lfd)</f>
        <v>0</v>
      </c>
      <c r="Q49" s="457">
        <f t="shared" ref="Q49" si="160">IF(K49&gt;SVGrund_SZ,0,IF(K49*10.41%&gt;(SVGrund_SZ-K49),(SVGrund_SZ-K49)*SV_SZ,K49*10.41%*SV_SZ))</f>
        <v>0</v>
      </c>
      <c r="R49" s="457">
        <f t="shared" ref="R49" si="161">M49*MV</f>
        <v>0</v>
      </c>
      <c r="S49" s="457">
        <f t="shared" ref="S49" si="162">M49*DB</f>
        <v>0</v>
      </c>
      <c r="T49" s="457">
        <f t="shared" ref="T49" si="163">M49*DZ</f>
        <v>0</v>
      </c>
      <c r="U49" s="457">
        <f t="shared" ref="U49" si="164">M49*KommSt</f>
        <v>0</v>
      </c>
      <c r="V49" s="457">
        <f>('Kalkulation Herstellungskosten'!C120+'Kalkulation Herstellungskosten'!C121)*U_Bahn</f>
        <v>0</v>
      </c>
      <c r="W49" s="449">
        <f t="shared" ref="W49" si="165">SUM(N49:V49)</f>
        <v>0</v>
      </c>
      <c r="X49" s="449">
        <f t="shared" ref="X49" si="166">SUM(M49,W49)</f>
        <v>0</v>
      </c>
      <c r="Y49" s="448"/>
      <c r="Z49" s="448"/>
      <c r="AA49" s="448"/>
      <c r="AB49" s="448"/>
      <c r="AC49" s="448"/>
      <c r="AD49" s="448"/>
      <c r="AE49" s="448"/>
      <c r="AF49" s="448"/>
      <c r="AG49" s="448"/>
      <c r="AH49" s="448"/>
      <c r="AI49" s="448"/>
      <c r="AJ49" s="448"/>
      <c r="AK49" s="448"/>
      <c r="AL49" s="448"/>
      <c r="AM49" s="448"/>
      <c r="AN49" s="448"/>
      <c r="AO49" s="448"/>
      <c r="AP49" s="448"/>
      <c r="AQ49" s="448"/>
      <c r="AR49" s="448"/>
      <c r="AS49" s="448"/>
      <c r="AT49" s="448"/>
      <c r="AU49" s="448"/>
      <c r="AV49" s="448"/>
      <c r="AW49" s="448"/>
      <c r="AX49" s="448"/>
      <c r="AY49" s="448"/>
      <c r="AZ49" s="448"/>
      <c r="BA49" s="448"/>
    </row>
    <row r="50" spans="1:53" ht="12.75" customHeight="1" x14ac:dyDescent="0.2">
      <c r="A50" s="484" t="str">
        <f>'Kalkulation Herstellungskosten'!B122</f>
        <v>Szenenbildassistenz</v>
      </c>
      <c r="B50" s="711"/>
      <c r="C50" s="897"/>
      <c r="D50" s="714"/>
      <c r="E50" s="714"/>
      <c r="F50" s="481">
        <f t="shared" si="18"/>
        <v>0</v>
      </c>
      <c r="G50" s="899"/>
      <c r="H50" s="479">
        <f t="shared" si="7"/>
        <v>0</v>
      </c>
      <c r="I50" s="477"/>
      <c r="J50" s="456">
        <f>'Kalkulation Herstellungskosten'!F122/((1+1/6)*1.1041)</f>
        <v>0</v>
      </c>
      <c r="K50" s="457">
        <f t="shared" ref="K50:K72" si="167">J50/6</f>
        <v>0</v>
      </c>
      <c r="L50" s="457">
        <f t="shared" ref="L50:L72" si="168">(J50+K50)*10.41%</f>
        <v>0</v>
      </c>
      <c r="M50" s="449">
        <f t="shared" ref="M50:M72" si="169">SUM(J50:L50)</f>
        <v>0</v>
      </c>
      <c r="N50" s="457">
        <f>IF(AND('Kalkulation Herstellungskosten'!C122=0,'Kalkulation Herstellungskosten'!C123=0),0,IF(J50/('Kalkulation Herstellungskosten'!C122+'Kalkulation Herstellungskosten'!C123)&gt;SVGrund_lfd_wö,('Kalkulation Herstellungskosten'!C122+'Kalkulation Herstellungskosten'!C123)*Höchst_Woche,J50*SV_lfd))</f>
        <v>0</v>
      </c>
      <c r="O50" s="457">
        <f t="shared" si="53"/>
        <v>0</v>
      </c>
      <c r="P50" s="457">
        <f>IF(J50*10.41%&gt;(0.5833*('Kalkulation Herstellungskosten'!C123+'Kalkulation Herstellungskosten'!C122)*SVGrund_lfd_tä),(0.5833*('Kalkulation Herstellungskosten'!C123+'Kalkulation Herstellungskosten'!C122)*Höchst_Tag),J50*10.41%*SV_lfd)</f>
        <v>0</v>
      </c>
      <c r="Q50" s="457">
        <f t="shared" si="54"/>
        <v>0</v>
      </c>
      <c r="R50" s="457">
        <f t="shared" si="13"/>
        <v>0</v>
      </c>
      <c r="S50" s="457">
        <f t="shared" si="14"/>
        <v>0</v>
      </c>
      <c r="T50" s="457">
        <f t="shared" si="15"/>
        <v>0</v>
      </c>
      <c r="U50" s="457">
        <f t="shared" si="16"/>
        <v>0</v>
      </c>
      <c r="V50" s="457">
        <f>('Kalkulation Herstellungskosten'!C122+'Kalkulation Herstellungskosten'!C123)*U_Bahn</f>
        <v>0</v>
      </c>
      <c r="W50" s="449">
        <f t="shared" si="55"/>
        <v>0</v>
      </c>
      <c r="X50" s="449">
        <f t="shared" si="56"/>
        <v>0</v>
      </c>
      <c r="Y50" s="448"/>
      <c r="Z50" s="448"/>
      <c r="AA50" s="448"/>
      <c r="AB50" s="448"/>
      <c r="AC50" s="448"/>
      <c r="AD50" s="448"/>
      <c r="AE50" s="448"/>
      <c r="AF50" s="448"/>
      <c r="AG50" s="448"/>
      <c r="AH50" s="448"/>
      <c r="AI50" s="448"/>
      <c r="AJ50" s="448"/>
      <c r="AK50" s="448"/>
      <c r="AL50" s="448"/>
      <c r="AM50" s="448"/>
      <c r="AN50" s="448"/>
      <c r="AO50" s="448"/>
      <c r="AP50" s="448"/>
      <c r="AQ50" s="448"/>
      <c r="AR50" s="448"/>
      <c r="AS50" s="448"/>
      <c r="AT50" s="448"/>
      <c r="AU50" s="448"/>
      <c r="AV50" s="448"/>
      <c r="AW50" s="448"/>
      <c r="AX50" s="448"/>
      <c r="AY50" s="448"/>
      <c r="AZ50" s="448"/>
      <c r="BA50" s="448"/>
    </row>
    <row r="51" spans="1:53" ht="12.75" customHeight="1" x14ac:dyDescent="0.2">
      <c r="A51" s="484" t="str">
        <f>'Kalkulation Herstellungskosten'!B124</f>
        <v>Chefmaskenbildner*in</v>
      </c>
      <c r="B51" s="711"/>
      <c r="C51" s="897"/>
      <c r="D51" s="714"/>
      <c r="E51" s="714"/>
      <c r="F51" s="481">
        <f t="shared" si="18"/>
        <v>0</v>
      </c>
      <c r="G51" s="899"/>
      <c r="H51" s="479">
        <f t="shared" si="7"/>
        <v>0</v>
      </c>
      <c r="I51" s="477"/>
      <c r="J51" s="456">
        <f>'Kalkulation Herstellungskosten'!F124/((1+1/6)*1.1041)</f>
        <v>0</v>
      </c>
      <c r="K51" s="457">
        <f t="shared" ref="K51" si="170">J51/6</f>
        <v>0</v>
      </c>
      <c r="L51" s="457">
        <f t="shared" ref="L51" si="171">(J51+K51)*10.41%</f>
        <v>0</v>
      </c>
      <c r="M51" s="449">
        <f t="shared" ref="M51" si="172">SUM(J51:L51)</f>
        <v>0</v>
      </c>
      <c r="N51" s="457">
        <f>IF(AND('Kalkulation Herstellungskosten'!C124=0,'Kalkulation Herstellungskosten'!C125=0),0,IF(J51/('Kalkulation Herstellungskosten'!C124+'Kalkulation Herstellungskosten'!C125)&gt;SVGrund_lfd_wö,('Kalkulation Herstellungskosten'!C124+'Kalkulation Herstellungskosten'!C125)*Höchst_Woche,J51*SV_lfd))</f>
        <v>0</v>
      </c>
      <c r="O51" s="457">
        <f t="shared" ref="O51" si="173">IF(K51&gt;SVGrund_SZ, Höchst_Mo_SZ,K51*SV_SZ)</f>
        <v>0</v>
      </c>
      <c r="P51" s="457">
        <f>IF(J51*10.41%&gt;(0.5833*('Kalkulation Herstellungskosten'!C125+'Kalkulation Herstellungskosten'!C124)*SVGrund_lfd_tä),(0.5833*('Kalkulation Herstellungskosten'!C125+'Kalkulation Herstellungskosten'!C124)*Höchst_Tag),J51*10.41%*SV_lfd)</f>
        <v>0</v>
      </c>
      <c r="Q51" s="457">
        <f t="shared" ref="Q51" si="174">IF(K51&gt;SVGrund_SZ,0,IF(K51*10.41%&gt;(SVGrund_SZ-K51),(SVGrund_SZ-K51)*SV_SZ,K51*10.41%*SV_SZ))</f>
        <v>0</v>
      </c>
      <c r="R51" s="457">
        <f t="shared" ref="R51" si="175">M51*MV</f>
        <v>0</v>
      </c>
      <c r="S51" s="457">
        <f t="shared" ref="S51" si="176">M51*DB</f>
        <v>0</v>
      </c>
      <c r="T51" s="457">
        <f t="shared" ref="T51" si="177">M51*DZ</f>
        <v>0</v>
      </c>
      <c r="U51" s="457">
        <f t="shared" ref="U51" si="178">M51*KommSt</f>
        <v>0</v>
      </c>
      <c r="V51" s="457">
        <f>('Kalkulation Herstellungskosten'!C124+'Kalkulation Herstellungskosten'!C125)*U_Bahn</f>
        <v>0</v>
      </c>
      <c r="W51" s="449">
        <f t="shared" ref="W51" si="179">SUM(N51:V51)</f>
        <v>0</v>
      </c>
      <c r="X51" s="449">
        <f t="shared" ref="X51" si="180">SUM(M51,W51)</f>
        <v>0</v>
      </c>
      <c r="Y51" s="448"/>
      <c r="Z51" s="448"/>
      <c r="AA51" s="448"/>
      <c r="AB51" s="448"/>
      <c r="AC51" s="448"/>
      <c r="AD51" s="448"/>
      <c r="AE51" s="448"/>
      <c r="AF51" s="448"/>
      <c r="AG51" s="448"/>
      <c r="AH51" s="448"/>
      <c r="AI51" s="448"/>
      <c r="AJ51" s="448"/>
      <c r="AK51" s="448"/>
      <c r="AL51" s="448"/>
      <c r="AM51" s="448"/>
      <c r="AN51" s="448"/>
      <c r="AO51" s="448"/>
      <c r="AP51" s="448"/>
      <c r="AQ51" s="448"/>
      <c r="AR51" s="448"/>
      <c r="AS51" s="448"/>
      <c r="AT51" s="448"/>
      <c r="AU51" s="448"/>
      <c r="AV51" s="448"/>
      <c r="AW51" s="448"/>
      <c r="AX51" s="448"/>
      <c r="AY51" s="448"/>
      <c r="AZ51" s="448"/>
      <c r="BA51" s="448"/>
    </row>
    <row r="52" spans="1:53" ht="12.75" customHeight="1" x14ac:dyDescent="0.2">
      <c r="A52" s="484" t="str">
        <f>'Kalkulation Herstellungskosten'!B126</f>
        <v>Maskenbildner*in</v>
      </c>
      <c r="B52" s="711"/>
      <c r="C52" s="897"/>
      <c r="D52" s="714"/>
      <c r="E52" s="714"/>
      <c r="F52" s="481">
        <f t="shared" si="18"/>
        <v>0</v>
      </c>
      <c r="G52" s="899"/>
      <c r="H52" s="479">
        <f t="shared" si="7"/>
        <v>0</v>
      </c>
      <c r="I52" s="477"/>
      <c r="J52" s="456">
        <f>'Kalkulation Herstellungskosten'!F126/((1+1/6)*1.1041)</f>
        <v>0</v>
      </c>
      <c r="K52" s="457">
        <f t="shared" si="167"/>
        <v>0</v>
      </c>
      <c r="L52" s="457">
        <f t="shared" si="168"/>
        <v>0</v>
      </c>
      <c r="M52" s="449">
        <f t="shared" si="169"/>
        <v>0</v>
      </c>
      <c r="N52" s="457">
        <f>IF(AND('Kalkulation Herstellungskosten'!C126=0,'Kalkulation Herstellungskosten'!C127=0),0,IF(J52/('Kalkulation Herstellungskosten'!C126+'Kalkulation Herstellungskosten'!C127)&gt;SVGrund_lfd_wö,('Kalkulation Herstellungskosten'!C126+'Kalkulation Herstellungskosten'!C127)*Höchst_Woche,J52*SV_lfd))</f>
        <v>0</v>
      </c>
      <c r="O52" s="457">
        <f t="shared" si="53"/>
        <v>0</v>
      </c>
      <c r="P52" s="457">
        <f>IF(J52*10.41%&gt;(0.5833*('Kalkulation Herstellungskosten'!C127+'Kalkulation Herstellungskosten'!C126)*SVGrund_lfd_tä),(0.5833*('Kalkulation Herstellungskosten'!C127+'Kalkulation Herstellungskosten'!C126)*Höchst_Tag),J52*10.41%*SV_lfd)</f>
        <v>0</v>
      </c>
      <c r="Q52" s="457">
        <f t="shared" si="54"/>
        <v>0</v>
      </c>
      <c r="R52" s="457">
        <f t="shared" ref="R52:R72" si="181">M52*MV</f>
        <v>0</v>
      </c>
      <c r="S52" s="457">
        <f t="shared" ref="S52:S72" si="182">M52*DB</f>
        <v>0</v>
      </c>
      <c r="T52" s="457">
        <f t="shared" ref="T52:T72" si="183">M52*DZ</f>
        <v>0</v>
      </c>
      <c r="U52" s="457">
        <f t="shared" ref="U52:U72" si="184">M52*KommSt</f>
        <v>0</v>
      </c>
      <c r="V52" s="457">
        <f>('Kalkulation Herstellungskosten'!C126+'Kalkulation Herstellungskosten'!C127)*U_Bahn</f>
        <v>0</v>
      </c>
      <c r="W52" s="449">
        <f t="shared" si="55"/>
        <v>0</v>
      </c>
      <c r="X52" s="449">
        <f t="shared" si="56"/>
        <v>0</v>
      </c>
      <c r="Y52" s="448"/>
      <c r="Z52" s="448"/>
      <c r="AA52" s="448"/>
      <c r="AB52" s="448"/>
      <c r="AC52" s="448"/>
      <c r="AD52" s="448"/>
      <c r="AE52" s="448"/>
      <c r="AF52" s="448"/>
      <c r="AG52" s="448"/>
      <c r="AH52" s="448"/>
      <c r="AI52" s="448"/>
      <c r="AJ52" s="448"/>
      <c r="AK52" s="448"/>
      <c r="AL52" s="448"/>
      <c r="AM52" s="448"/>
      <c r="AN52" s="448"/>
      <c r="AO52" s="448"/>
      <c r="AP52" s="448"/>
      <c r="AQ52" s="448"/>
      <c r="AR52" s="448"/>
      <c r="AS52" s="448"/>
      <c r="AT52" s="448"/>
      <c r="AU52" s="448"/>
      <c r="AV52" s="448"/>
      <c r="AW52" s="448"/>
      <c r="AX52" s="448"/>
      <c r="AY52" s="448"/>
      <c r="AZ52" s="448"/>
      <c r="BA52" s="448"/>
    </row>
    <row r="53" spans="1:53" ht="12.75" customHeight="1" x14ac:dyDescent="0.2">
      <c r="A53" s="484" t="str">
        <f>'Kalkulation Herstellungskosten'!B128</f>
        <v>Maskenbildner*in</v>
      </c>
      <c r="B53" s="711"/>
      <c r="C53" s="897"/>
      <c r="D53" s="714"/>
      <c r="E53" s="714"/>
      <c r="F53" s="481">
        <f t="shared" si="18"/>
        <v>0</v>
      </c>
      <c r="G53" s="899"/>
      <c r="H53" s="479">
        <f t="shared" si="7"/>
        <v>0</v>
      </c>
      <c r="I53" s="477"/>
      <c r="J53" s="456">
        <f>'Kalkulation Herstellungskosten'!F128/((1+1/6)*1.1041)</f>
        <v>0</v>
      </c>
      <c r="K53" s="457">
        <f t="shared" si="167"/>
        <v>0</v>
      </c>
      <c r="L53" s="457">
        <f t="shared" si="168"/>
        <v>0</v>
      </c>
      <c r="M53" s="449">
        <f t="shared" si="169"/>
        <v>0</v>
      </c>
      <c r="N53" s="457">
        <f>IF(AND('Kalkulation Herstellungskosten'!C128=0,'Kalkulation Herstellungskosten'!C129=0),0,IF(J53/('Kalkulation Herstellungskosten'!C128+'Kalkulation Herstellungskosten'!C129)&gt;SVGrund_lfd_wö,('Kalkulation Herstellungskosten'!C128+'Kalkulation Herstellungskosten'!C129)*Höchst_Woche,J53*SV_lfd))</f>
        <v>0</v>
      </c>
      <c r="O53" s="457">
        <f t="shared" si="53"/>
        <v>0</v>
      </c>
      <c r="P53" s="457">
        <f>IF(J53*10.41%&gt;(0.5833*('Kalkulation Herstellungskosten'!C129+'Kalkulation Herstellungskosten'!C128)*SVGrund_lfd_tä),(0.5833*('Kalkulation Herstellungskosten'!C129+'Kalkulation Herstellungskosten'!C128)*Höchst_Tag),J53*10.41%*SV_lfd)</f>
        <v>0</v>
      </c>
      <c r="Q53" s="457">
        <f t="shared" si="54"/>
        <v>0</v>
      </c>
      <c r="R53" s="457">
        <f t="shared" si="181"/>
        <v>0</v>
      </c>
      <c r="S53" s="457">
        <f t="shared" si="182"/>
        <v>0</v>
      </c>
      <c r="T53" s="457">
        <f t="shared" si="183"/>
        <v>0</v>
      </c>
      <c r="U53" s="457">
        <f t="shared" si="184"/>
        <v>0</v>
      </c>
      <c r="V53" s="457">
        <f>('Kalkulation Herstellungskosten'!C128+'Kalkulation Herstellungskosten'!C129)*U_Bahn</f>
        <v>0</v>
      </c>
      <c r="W53" s="449">
        <f t="shared" si="55"/>
        <v>0</v>
      </c>
      <c r="X53" s="449">
        <f t="shared" si="56"/>
        <v>0</v>
      </c>
      <c r="Y53" s="448"/>
      <c r="Z53" s="448"/>
      <c r="AA53" s="448"/>
      <c r="AB53" s="448"/>
      <c r="AC53" s="448"/>
      <c r="AD53" s="448"/>
      <c r="AE53" s="448"/>
      <c r="AF53" s="448"/>
      <c r="AG53" s="448"/>
      <c r="AH53" s="448"/>
      <c r="AI53" s="448"/>
      <c r="AJ53" s="448"/>
      <c r="AK53" s="448"/>
      <c r="AL53" s="448"/>
      <c r="AM53" s="448"/>
      <c r="AN53" s="448"/>
      <c r="AO53" s="448"/>
      <c r="AP53" s="448"/>
      <c r="AQ53" s="448"/>
      <c r="AR53" s="448"/>
      <c r="AS53" s="448"/>
      <c r="AT53" s="448"/>
      <c r="AU53" s="448"/>
      <c r="AV53" s="448"/>
      <c r="AW53" s="448"/>
      <c r="AX53" s="448"/>
      <c r="AY53" s="448"/>
      <c r="AZ53" s="448"/>
      <c r="BA53" s="448"/>
    </row>
    <row r="54" spans="1:53" ht="12.75" customHeight="1" x14ac:dyDescent="0.2">
      <c r="A54" s="484" t="str">
        <f>'Kalkulation Herstellungskosten'!B130</f>
        <v>Junior Maskenbild</v>
      </c>
      <c r="B54" s="711"/>
      <c r="C54" s="897"/>
      <c r="D54" s="714"/>
      <c r="E54" s="714"/>
      <c r="F54" s="481">
        <f t="shared" si="18"/>
        <v>0</v>
      </c>
      <c r="G54" s="899"/>
      <c r="H54" s="479">
        <f t="shared" si="7"/>
        <v>0</v>
      </c>
      <c r="I54" s="477"/>
      <c r="J54" s="456">
        <f>'Kalkulation Herstellungskosten'!F130/((1+1/6)*1.1041)</f>
        <v>0</v>
      </c>
      <c r="K54" s="457">
        <f t="shared" ref="K54" si="185">J54/6</f>
        <v>0</v>
      </c>
      <c r="L54" s="457">
        <f t="shared" ref="L54" si="186">(J54+K54)*10.41%</f>
        <v>0</v>
      </c>
      <c r="M54" s="449">
        <f t="shared" ref="M54" si="187">SUM(J54:L54)</f>
        <v>0</v>
      </c>
      <c r="N54" s="457">
        <f>IF(AND('Kalkulation Herstellungskosten'!C130=0,'Kalkulation Herstellungskosten'!C131=0),0,IF(J54/('Kalkulation Herstellungskosten'!C130+'Kalkulation Herstellungskosten'!C131)&gt;SVGrund_lfd_wö,('Kalkulation Herstellungskosten'!C130+'Kalkulation Herstellungskosten'!C131)*Höchst_Woche,J54*SV_lfd))</f>
        <v>0</v>
      </c>
      <c r="O54" s="457">
        <f t="shared" ref="O54" si="188">IF(K54&gt;SVGrund_SZ, Höchst_Mo_SZ,K54*SV_SZ)</f>
        <v>0</v>
      </c>
      <c r="P54" s="457">
        <f>IF(J54*10.41%&gt;(0.5833*('Kalkulation Herstellungskosten'!C131+'Kalkulation Herstellungskosten'!C130)*SVGrund_lfd_tä),(0.5833*('Kalkulation Herstellungskosten'!C131+'Kalkulation Herstellungskosten'!C130)*Höchst_Tag),J54*10.41%*SV_lfd)</f>
        <v>0</v>
      </c>
      <c r="Q54" s="457">
        <f t="shared" ref="Q54" si="189">IF(K54&gt;SVGrund_SZ,0,IF(K54*10.41%&gt;(SVGrund_SZ-K54),(SVGrund_SZ-K54)*SV_SZ,K54*10.41%*SV_SZ))</f>
        <v>0</v>
      </c>
      <c r="R54" s="457">
        <f t="shared" ref="R54" si="190">M54*MV</f>
        <v>0</v>
      </c>
      <c r="S54" s="457">
        <f t="shared" ref="S54" si="191">M54*DB</f>
        <v>0</v>
      </c>
      <c r="T54" s="457">
        <f t="shared" ref="T54" si="192">M54*DZ</f>
        <v>0</v>
      </c>
      <c r="U54" s="457">
        <f t="shared" ref="U54" si="193">M54*KommSt</f>
        <v>0</v>
      </c>
      <c r="V54" s="457">
        <f>('Kalkulation Herstellungskosten'!C130+'Kalkulation Herstellungskosten'!C131)*U_Bahn</f>
        <v>0</v>
      </c>
      <c r="W54" s="449">
        <f t="shared" ref="W54" si="194">SUM(N54:V54)</f>
        <v>0</v>
      </c>
      <c r="X54" s="449">
        <f t="shared" ref="X54" si="195">SUM(M54,W54)</f>
        <v>0</v>
      </c>
      <c r="Y54" s="448"/>
      <c r="Z54" s="448"/>
      <c r="AA54" s="448"/>
      <c r="AB54" s="448"/>
      <c r="AC54" s="448"/>
      <c r="AD54" s="448"/>
      <c r="AE54" s="448"/>
      <c r="AF54" s="448"/>
      <c r="AG54" s="448"/>
      <c r="AH54" s="448"/>
      <c r="AI54" s="448"/>
      <c r="AJ54" s="448"/>
      <c r="AK54" s="448"/>
      <c r="AL54" s="448"/>
      <c r="AM54" s="448"/>
      <c r="AN54" s="448"/>
      <c r="AO54" s="448"/>
      <c r="AP54" s="448"/>
      <c r="AQ54" s="448"/>
      <c r="AR54" s="448"/>
      <c r="AS54" s="448"/>
      <c r="AT54" s="448"/>
      <c r="AU54" s="448"/>
      <c r="AV54" s="448"/>
      <c r="AW54" s="448"/>
      <c r="AX54" s="448"/>
      <c r="AY54" s="448"/>
      <c r="AZ54" s="448"/>
      <c r="BA54" s="448"/>
    </row>
    <row r="55" spans="1:53" ht="12.75" customHeight="1" x14ac:dyDescent="0.2">
      <c r="A55" s="484" t="str">
        <f>'Kalkulation Herstellungskosten'!B132</f>
        <v>Maskenbildhilfe</v>
      </c>
      <c r="B55" s="711"/>
      <c r="C55" s="897"/>
      <c r="D55" s="714"/>
      <c r="E55" s="714"/>
      <c r="F55" s="481">
        <f t="shared" si="18"/>
        <v>0</v>
      </c>
      <c r="G55" s="899"/>
      <c r="H55" s="479">
        <f t="shared" si="7"/>
        <v>0</v>
      </c>
      <c r="I55" s="477"/>
      <c r="J55" s="456">
        <f>'Kalkulation Herstellungskosten'!F132/((1+1/6)*1.1041)</f>
        <v>0</v>
      </c>
      <c r="K55" s="457">
        <f t="shared" si="167"/>
        <v>0</v>
      </c>
      <c r="L55" s="457">
        <f t="shared" si="168"/>
        <v>0</v>
      </c>
      <c r="M55" s="449">
        <f t="shared" si="169"/>
        <v>0</v>
      </c>
      <c r="N55" s="457">
        <f>IF(AND('Kalkulation Herstellungskosten'!C132=0,'Kalkulation Herstellungskosten'!C133=0),0,IF(J55/('Kalkulation Herstellungskosten'!C132+'Kalkulation Herstellungskosten'!C133)&gt;SVGrund_lfd_wö,('Kalkulation Herstellungskosten'!C132+'Kalkulation Herstellungskosten'!C133)*Höchst_Woche,J55*SV_lfd))</f>
        <v>0</v>
      </c>
      <c r="O55" s="457">
        <f t="shared" si="53"/>
        <v>0</v>
      </c>
      <c r="P55" s="457">
        <f>IF(J55*10.41%&gt;(0.5833*('Kalkulation Herstellungskosten'!C133+'Kalkulation Herstellungskosten'!C132)*SVGrund_lfd_tä),(0.5833*('Kalkulation Herstellungskosten'!C133+'Kalkulation Herstellungskosten'!C132)*Höchst_Tag),J55*10.41%*SV_lfd)</f>
        <v>0</v>
      </c>
      <c r="Q55" s="457">
        <f t="shared" si="54"/>
        <v>0</v>
      </c>
      <c r="R55" s="457">
        <f t="shared" si="181"/>
        <v>0</v>
      </c>
      <c r="S55" s="457">
        <f t="shared" si="182"/>
        <v>0</v>
      </c>
      <c r="T55" s="457">
        <f t="shared" si="183"/>
        <v>0</v>
      </c>
      <c r="U55" s="457">
        <f t="shared" si="184"/>
        <v>0</v>
      </c>
      <c r="V55" s="457">
        <f>('Kalkulation Herstellungskosten'!C132+'Kalkulation Herstellungskosten'!C133)*U_Bahn</f>
        <v>0</v>
      </c>
      <c r="W55" s="449">
        <f t="shared" si="55"/>
        <v>0</v>
      </c>
      <c r="X55" s="449">
        <f t="shared" si="56"/>
        <v>0</v>
      </c>
      <c r="Y55" s="448"/>
      <c r="Z55" s="448"/>
      <c r="AA55" s="448"/>
      <c r="AB55" s="448"/>
      <c r="AC55" s="448"/>
      <c r="AD55" s="448"/>
      <c r="AE55" s="448"/>
      <c r="AF55" s="448"/>
      <c r="AG55" s="448"/>
      <c r="AH55" s="448"/>
      <c r="AI55" s="448"/>
      <c r="AJ55" s="448"/>
      <c r="AK55" s="448"/>
      <c r="AL55" s="448"/>
      <c r="AM55" s="448"/>
      <c r="AN55" s="448"/>
      <c r="AO55" s="448"/>
      <c r="AP55" s="448"/>
      <c r="AQ55" s="448"/>
      <c r="AR55" s="448"/>
      <c r="AS55" s="448"/>
      <c r="AT55" s="448"/>
      <c r="AU55" s="448"/>
      <c r="AV55" s="448"/>
      <c r="AW55" s="448"/>
      <c r="AX55" s="448"/>
      <c r="AY55" s="448"/>
      <c r="AZ55" s="448"/>
      <c r="BA55" s="448"/>
    </row>
    <row r="56" spans="1:53" ht="12.75" customHeight="1" x14ac:dyDescent="0.2">
      <c r="A56" s="484" t="str">
        <f>'Kalkulation Herstellungskosten'!B134</f>
        <v>Frisur</v>
      </c>
      <c r="B56" s="711"/>
      <c r="C56" s="897"/>
      <c r="D56" s="714"/>
      <c r="E56" s="714"/>
      <c r="F56" s="481">
        <f t="shared" si="18"/>
        <v>0</v>
      </c>
      <c r="G56" s="899"/>
      <c r="H56" s="479">
        <f t="shared" si="7"/>
        <v>0</v>
      </c>
      <c r="I56" s="477"/>
      <c r="J56" s="456">
        <f>'Kalkulation Herstellungskosten'!F134/((1+1/6)*1.1041)</f>
        <v>0</v>
      </c>
      <c r="K56" s="457">
        <f t="shared" si="167"/>
        <v>0</v>
      </c>
      <c r="L56" s="457">
        <f t="shared" si="168"/>
        <v>0</v>
      </c>
      <c r="M56" s="449">
        <f t="shared" si="169"/>
        <v>0</v>
      </c>
      <c r="N56" s="457">
        <f>IF(AND('Kalkulation Herstellungskosten'!C134=0,'Kalkulation Herstellungskosten'!C135=0),0,IF(J56/('Kalkulation Herstellungskosten'!C134+'Kalkulation Herstellungskosten'!C135)&gt;SVGrund_lfd_wö,('Kalkulation Herstellungskosten'!C134+'Kalkulation Herstellungskosten'!C135)*Höchst_Woche,J56*SV_lfd))</f>
        <v>0</v>
      </c>
      <c r="O56" s="457">
        <f t="shared" si="53"/>
        <v>0</v>
      </c>
      <c r="P56" s="457">
        <f>IF(J56*10.41%&gt;(0.5833*('Kalkulation Herstellungskosten'!C135+'Kalkulation Herstellungskosten'!C134)*SVGrund_lfd_tä),(0.5833*('Kalkulation Herstellungskosten'!C135+'Kalkulation Herstellungskosten'!C134)*Höchst_Tag),J56*10.41%*SV_lfd)</f>
        <v>0</v>
      </c>
      <c r="Q56" s="457">
        <f t="shared" si="54"/>
        <v>0</v>
      </c>
      <c r="R56" s="457">
        <f t="shared" si="181"/>
        <v>0</v>
      </c>
      <c r="S56" s="457">
        <f t="shared" si="182"/>
        <v>0</v>
      </c>
      <c r="T56" s="457">
        <f t="shared" si="183"/>
        <v>0</v>
      </c>
      <c r="U56" s="457">
        <f t="shared" si="184"/>
        <v>0</v>
      </c>
      <c r="V56" s="457">
        <f>('Kalkulation Herstellungskosten'!C134+'Kalkulation Herstellungskosten'!C135)*U_Bahn</f>
        <v>0</v>
      </c>
      <c r="W56" s="449">
        <f t="shared" si="55"/>
        <v>0</v>
      </c>
      <c r="X56" s="449">
        <f t="shared" si="56"/>
        <v>0</v>
      </c>
      <c r="Y56" s="448"/>
      <c r="Z56" s="448"/>
      <c r="AA56" s="448"/>
      <c r="AB56" s="448"/>
      <c r="AC56" s="448"/>
      <c r="AD56" s="448"/>
      <c r="AE56" s="448"/>
      <c r="AF56" s="448"/>
      <c r="AG56" s="448"/>
      <c r="AH56" s="448"/>
      <c r="AI56" s="448"/>
      <c r="AJ56" s="448"/>
      <c r="AK56" s="448"/>
      <c r="AL56" s="448"/>
      <c r="AM56" s="448"/>
      <c r="AN56" s="448"/>
      <c r="AO56" s="448"/>
      <c r="AP56" s="448"/>
      <c r="AQ56" s="448"/>
      <c r="AR56" s="448"/>
      <c r="AS56" s="448"/>
      <c r="AT56" s="448"/>
      <c r="AU56" s="448"/>
      <c r="AV56" s="448"/>
      <c r="AW56" s="448"/>
      <c r="AX56" s="448"/>
      <c r="AY56" s="448"/>
      <c r="AZ56" s="448"/>
      <c r="BA56" s="448"/>
    </row>
    <row r="57" spans="1:53" ht="12.75" customHeight="1" x14ac:dyDescent="0.2">
      <c r="A57" s="484" t="str">
        <f>'Kalkulation Herstellungskosten'!B136</f>
        <v>Produktionsfahrer*in</v>
      </c>
      <c r="B57" s="711"/>
      <c r="C57" s="897"/>
      <c r="D57" s="714"/>
      <c r="E57" s="714"/>
      <c r="F57" s="481">
        <f t="shared" si="18"/>
        <v>0</v>
      </c>
      <c r="G57" s="899"/>
      <c r="H57" s="479">
        <f t="shared" si="7"/>
        <v>0</v>
      </c>
      <c r="I57" s="477"/>
      <c r="J57" s="456">
        <f>'Kalkulation Herstellungskosten'!F136/((1+1/6)*1.1041)</f>
        <v>0</v>
      </c>
      <c r="K57" s="457">
        <f t="shared" ref="K57" si="196">J57/6</f>
        <v>0</v>
      </c>
      <c r="L57" s="457">
        <f t="shared" ref="L57" si="197">(J57+K57)*10.41%</f>
        <v>0</v>
      </c>
      <c r="M57" s="449">
        <f t="shared" ref="M57" si="198">SUM(J57:L57)</f>
        <v>0</v>
      </c>
      <c r="N57" s="457">
        <f>IF(AND('Kalkulation Herstellungskosten'!C136=0,'Kalkulation Herstellungskosten'!C137=0),0,IF(J57/('Kalkulation Herstellungskosten'!C136+'Kalkulation Herstellungskosten'!C137)&gt;SVGrund_lfd_wö,('Kalkulation Herstellungskosten'!C136+'Kalkulation Herstellungskosten'!C137)*Höchst_Woche,J57*SV_lfd))</f>
        <v>0</v>
      </c>
      <c r="O57" s="457">
        <f t="shared" ref="O57" si="199">IF(K57&gt;SVGrund_SZ, Höchst_Mo_SZ,K57*SV_SZ)</f>
        <v>0</v>
      </c>
      <c r="P57" s="457">
        <f>IF(J57*10.41%&gt;(0.5833*('Kalkulation Herstellungskosten'!C137+'Kalkulation Herstellungskosten'!C136)*SVGrund_lfd_tä),(0.5833*('Kalkulation Herstellungskosten'!C137+'Kalkulation Herstellungskosten'!C136)*Höchst_Tag),J57*10.41%*SV_lfd)</f>
        <v>0</v>
      </c>
      <c r="Q57" s="457">
        <f t="shared" ref="Q57" si="200">IF(K57&gt;SVGrund_SZ,0,IF(K57*10.41%&gt;(SVGrund_SZ-K57),(SVGrund_SZ-K57)*SV_SZ,K57*10.41%*SV_SZ))</f>
        <v>0</v>
      </c>
      <c r="R57" s="457">
        <f t="shared" ref="R57" si="201">M57*MV</f>
        <v>0</v>
      </c>
      <c r="S57" s="457">
        <f t="shared" ref="S57" si="202">M57*DB</f>
        <v>0</v>
      </c>
      <c r="T57" s="457">
        <f t="shared" ref="T57" si="203">M57*DZ</f>
        <v>0</v>
      </c>
      <c r="U57" s="457">
        <f t="shared" ref="U57" si="204">M57*KommSt</f>
        <v>0</v>
      </c>
      <c r="V57" s="457">
        <f>('Kalkulation Herstellungskosten'!C136+'Kalkulation Herstellungskosten'!C137)*U_Bahn</f>
        <v>0</v>
      </c>
      <c r="W57" s="449">
        <f t="shared" ref="W57" si="205">SUM(N57:V57)</f>
        <v>0</v>
      </c>
      <c r="X57" s="449">
        <f t="shared" ref="X57" si="206">SUM(M57,W57)</f>
        <v>0</v>
      </c>
      <c r="Y57" s="448"/>
      <c r="Z57" s="448"/>
      <c r="AA57" s="448"/>
      <c r="AB57" s="448"/>
      <c r="AC57" s="448"/>
      <c r="AD57" s="448"/>
      <c r="AE57" s="448"/>
      <c r="AF57" s="448"/>
      <c r="AG57" s="448"/>
      <c r="AH57" s="448"/>
      <c r="AI57" s="448"/>
      <c r="AJ57" s="448"/>
      <c r="AK57" s="448"/>
      <c r="AL57" s="448"/>
      <c r="AM57" s="448"/>
      <c r="AN57" s="448"/>
      <c r="AO57" s="448"/>
      <c r="AP57" s="448"/>
      <c r="AQ57" s="448"/>
      <c r="AR57" s="448"/>
      <c r="AS57" s="448"/>
      <c r="AT57" s="448"/>
      <c r="AU57" s="448"/>
      <c r="AV57" s="448"/>
      <c r="AW57" s="448"/>
      <c r="AX57" s="448"/>
      <c r="AY57" s="448"/>
      <c r="AZ57" s="448"/>
      <c r="BA57" s="448"/>
    </row>
    <row r="58" spans="1:53" ht="12.75" customHeight="1" x14ac:dyDescent="0.2">
      <c r="A58" s="484" t="str">
        <f>'Kalkulation Herstellungskosten'!B138</f>
        <v>Produktionsfahrer*in</v>
      </c>
      <c r="B58" s="711"/>
      <c r="C58" s="897"/>
      <c r="D58" s="714"/>
      <c r="E58" s="714"/>
      <c r="F58" s="481">
        <f t="shared" si="18"/>
        <v>0</v>
      </c>
      <c r="G58" s="899"/>
      <c r="H58" s="479">
        <f t="shared" si="7"/>
        <v>0</v>
      </c>
      <c r="I58" s="477"/>
      <c r="J58" s="456">
        <f>'Kalkulation Herstellungskosten'!F138/((1+1/6)*1.1041)</f>
        <v>0</v>
      </c>
      <c r="K58" s="457">
        <f t="shared" ref="K58" si="207">J58/6</f>
        <v>0</v>
      </c>
      <c r="L58" s="457">
        <f t="shared" ref="L58" si="208">(J58+K58)*10.41%</f>
        <v>0</v>
      </c>
      <c r="M58" s="449">
        <f t="shared" ref="M58" si="209">SUM(J58:L58)</f>
        <v>0</v>
      </c>
      <c r="N58" s="457">
        <f>IF(AND('Kalkulation Herstellungskosten'!C138=0,'Kalkulation Herstellungskosten'!C139=0),0,IF(J58/('Kalkulation Herstellungskosten'!C138+'Kalkulation Herstellungskosten'!C139)&gt;SVGrund_lfd_wö,('Kalkulation Herstellungskosten'!C138+'Kalkulation Herstellungskosten'!C139)*Höchst_Woche,J58*SV_lfd))</f>
        <v>0</v>
      </c>
      <c r="O58" s="457">
        <f t="shared" ref="O58" si="210">IF(K58&gt;SVGrund_SZ, Höchst_Mo_SZ,K58*SV_SZ)</f>
        <v>0</v>
      </c>
      <c r="P58" s="457">
        <f>IF(J58*10.41%&gt;(0.5833*('Kalkulation Herstellungskosten'!C139+'Kalkulation Herstellungskosten'!C138)*SVGrund_lfd_tä),(0.5833*('Kalkulation Herstellungskosten'!C139+'Kalkulation Herstellungskosten'!C138)*Höchst_Tag),J58*10.41%*SV_lfd)</f>
        <v>0</v>
      </c>
      <c r="Q58" s="457">
        <f t="shared" ref="Q58" si="211">IF(K58&gt;SVGrund_SZ,0,IF(K58*10.41%&gt;(SVGrund_SZ-K58),(SVGrund_SZ-K58)*SV_SZ,K58*10.41%*SV_SZ))</f>
        <v>0</v>
      </c>
      <c r="R58" s="457">
        <f t="shared" ref="R58" si="212">M58*MV</f>
        <v>0</v>
      </c>
      <c r="S58" s="457">
        <f t="shared" ref="S58" si="213">M58*DB</f>
        <v>0</v>
      </c>
      <c r="T58" s="457">
        <f t="shared" ref="T58" si="214">M58*DZ</f>
        <v>0</v>
      </c>
      <c r="U58" s="457">
        <f t="shared" ref="U58" si="215">M58*KommSt</f>
        <v>0</v>
      </c>
      <c r="V58" s="457">
        <f>('Kalkulation Herstellungskosten'!C138+'Kalkulation Herstellungskosten'!C139)*U_Bahn</f>
        <v>0</v>
      </c>
      <c r="W58" s="449">
        <f t="shared" ref="W58" si="216">SUM(N58:V58)</f>
        <v>0</v>
      </c>
      <c r="X58" s="449">
        <f t="shared" ref="X58" si="217">SUM(M58,W58)</f>
        <v>0</v>
      </c>
      <c r="Y58" s="448"/>
      <c r="Z58" s="448"/>
      <c r="AA58" s="448"/>
      <c r="AB58" s="448"/>
      <c r="AC58" s="448"/>
      <c r="AD58" s="448"/>
      <c r="AE58" s="448"/>
      <c r="AF58" s="448"/>
      <c r="AG58" s="448"/>
      <c r="AH58" s="448"/>
      <c r="AI58" s="448"/>
      <c r="AJ58" s="448"/>
      <c r="AK58" s="448"/>
      <c r="AL58" s="448"/>
      <c r="AM58" s="448"/>
      <c r="AN58" s="448"/>
      <c r="AO58" s="448"/>
      <c r="AP58" s="448"/>
      <c r="AQ58" s="448"/>
      <c r="AR58" s="448"/>
      <c r="AS58" s="448"/>
      <c r="AT58" s="448"/>
      <c r="AU58" s="448"/>
      <c r="AV58" s="448"/>
      <c r="AW58" s="448"/>
      <c r="AX58" s="448"/>
      <c r="AY58" s="448"/>
      <c r="AZ58" s="448"/>
      <c r="BA58" s="448"/>
    </row>
    <row r="59" spans="1:53" ht="12.75" customHeight="1" x14ac:dyDescent="0.2">
      <c r="A59" s="484" t="str">
        <f>'Kalkulation Herstellungskosten'!B140</f>
        <v>Produktionsfahrer*in</v>
      </c>
      <c r="B59" s="711"/>
      <c r="C59" s="897"/>
      <c r="D59" s="714"/>
      <c r="E59" s="714"/>
      <c r="F59" s="481">
        <f t="shared" si="18"/>
        <v>0</v>
      </c>
      <c r="G59" s="899"/>
      <c r="H59" s="479">
        <f t="shared" si="7"/>
        <v>0</v>
      </c>
      <c r="I59" s="477"/>
      <c r="J59" s="456">
        <f>'Kalkulation Herstellungskosten'!F140/((1+1/6)*1.1041)</f>
        <v>0</v>
      </c>
      <c r="K59" s="457">
        <f t="shared" ref="K59" si="218">J59/6</f>
        <v>0</v>
      </c>
      <c r="L59" s="457">
        <f t="shared" ref="L59" si="219">(J59+K59)*10.41%</f>
        <v>0</v>
      </c>
      <c r="M59" s="449">
        <f t="shared" ref="M59" si="220">SUM(J59:L59)</f>
        <v>0</v>
      </c>
      <c r="N59" s="457">
        <f>IF(AND('Kalkulation Herstellungskosten'!C140=0,'Kalkulation Herstellungskosten'!C141=0),0,IF(J59/('Kalkulation Herstellungskosten'!C140+'Kalkulation Herstellungskosten'!C141)&gt;SVGrund_lfd_wö,('Kalkulation Herstellungskosten'!C140+'Kalkulation Herstellungskosten'!C141)*Höchst_Woche,J59*SV_lfd))</f>
        <v>0</v>
      </c>
      <c r="O59" s="457">
        <f t="shared" ref="O59" si="221">IF(K59&gt;SVGrund_SZ, Höchst_Mo_SZ,K59*SV_SZ)</f>
        <v>0</v>
      </c>
      <c r="P59" s="457">
        <f>IF(J59*10.41%&gt;(0.5833*('Kalkulation Herstellungskosten'!C141+'Kalkulation Herstellungskosten'!C140)*SVGrund_lfd_tä),(0.5833*('Kalkulation Herstellungskosten'!C141+'Kalkulation Herstellungskosten'!C140)*Höchst_Tag),J59*10.41%*SV_lfd)</f>
        <v>0</v>
      </c>
      <c r="Q59" s="457">
        <f t="shared" ref="Q59" si="222">IF(K59&gt;SVGrund_SZ,0,IF(K59*10.41%&gt;(SVGrund_SZ-K59),(SVGrund_SZ-K59)*SV_SZ,K59*10.41%*SV_SZ))</f>
        <v>0</v>
      </c>
      <c r="R59" s="457">
        <f t="shared" ref="R59" si="223">M59*MV</f>
        <v>0</v>
      </c>
      <c r="S59" s="457">
        <f t="shared" ref="S59" si="224">M59*DB</f>
        <v>0</v>
      </c>
      <c r="T59" s="457">
        <f t="shared" ref="T59" si="225">M59*DZ</f>
        <v>0</v>
      </c>
      <c r="U59" s="457">
        <f t="shared" ref="U59" si="226">M59*KommSt</f>
        <v>0</v>
      </c>
      <c r="V59" s="457">
        <f>('Kalkulation Herstellungskosten'!C140+'Kalkulation Herstellungskosten'!C141)*U_Bahn</f>
        <v>0</v>
      </c>
      <c r="W59" s="449">
        <f t="shared" ref="W59" si="227">SUM(N59:V59)</f>
        <v>0</v>
      </c>
      <c r="X59" s="449">
        <f t="shared" ref="X59" si="228">SUM(M59,W59)</f>
        <v>0</v>
      </c>
      <c r="Y59" s="448"/>
      <c r="Z59" s="448"/>
      <c r="AA59" s="448"/>
      <c r="AB59" s="448"/>
      <c r="AC59" s="448"/>
      <c r="AD59" s="448"/>
      <c r="AE59" s="448"/>
      <c r="AF59" s="448"/>
      <c r="AG59" s="448"/>
      <c r="AH59" s="448"/>
      <c r="AI59" s="448"/>
      <c r="AJ59" s="448"/>
      <c r="AK59" s="448"/>
      <c r="AL59" s="448"/>
      <c r="AM59" s="448"/>
      <c r="AN59" s="448"/>
      <c r="AO59" s="448"/>
      <c r="AP59" s="448"/>
      <c r="AQ59" s="448"/>
      <c r="AR59" s="448"/>
      <c r="AS59" s="448"/>
      <c r="AT59" s="448"/>
      <c r="AU59" s="448"/>
      <c r="AV59" s="448"/>
      <c r="AW59" s="448"/>
      <c r="AX59" s="448"/>
      <c r="AY59" s="448"/>
      <c r="AZ59" s="448"/>
      <c r="BA59" s="448"/>
    </row>
    <row r="60" spans="1:53" ht="12.75" customHeight="1" x14ac:dyDescent="0.2">
      <c r="A60" s="484" t="str">
        <f>'Kalkulation Herstellungskosten'!B142</f>
        <v>Requisitenfahrer*in</v>
      </c>
      <c r="B60" s="711"/>
      <c r="C60" s="897"/>
      <c r="D60" s="714"/>
      <c r="E60" s="714"/>
      <c r="F60" s="481">
        <f t="shared" si="18"/>
        <v>0</v>
      </c>
      <c r="G60" s="899"/>
      <c r="H60" s="479">
        <f t="shared" si="7"/>
        <v>0</v>
      </c>
      <c r="I60" s="477"/>
      <c r="J60" s="456">
        <f>'Kalkulation Herstellungskosten'!F142/((1+1/6)*1.1041)</f>
        <v>0</v>
      </c>
      <c r="K60" s="457">
        <f t="shared" ref="K60" si="229">J60/6</f>
        <v>0</v>
      </c>
      <c r="L60" s="457">
        <f t="shared" ref="L60" si="230">(J60+K60)*10.41%</f>
        <v>0</v>
      </c>
      <c r="M60" s="449">
        <f t="shared" ref="M60" si="231">SUM(J60:L60)</f>
        <v>0</v>
      </c>
      <c r="N60" s="457">
        <f>IF(AND('Kalkulation Herstellungskosten'!C142=0,'Kalkulation Herstellungskosten'!C143=0),0,IF(J60/('Kalkulation Herstellungskosten'!C142+'Kalkulation Herstellungskosten'!C143)&gt;SVGrund_lfd_wö,('Kalkulation Herstellungskosten'!C142+'Kalkulation Herstellungskosten'!C143)*Höchst_Woche,J60*SV_lfd))</f>
        <v>0</v>
      </c>
      <c r="O60" s="457">
        <f t="shared" ref="O60" si="232">IF(K60&gt;SVGrund_SZ, Höchst_Mo_SZ,K60*SV_SZ)</f>
        <v>0</v>
      </c>
      <c r="P60" s="457">
        <f>IF(J60*10.41%&gt;(0.5833*('Kalkulation Herstellungskosten'!C143+'Kalkulation Herstellungskosten'!C142)*SVGrund_lfd_tä),(0.5833*('Kalkulation Herstellungskosten'!C143+'Kalkulation Herstellungskosten'!C142)*Höchst_Tag),J60*10.41%*SV_lfd)</f>
        <v>0</v>
      </c>
      <c r="Q60" s="457">
        <f t="shared" ref="Q60" si="233">IF(K60&gt;SVGrund_SZ,0,IF(K60*10.41%&gt;(SVGrund_SZ-K60),(SVGrund_SZ-K60)*SV_SZ,K60*10.41%*SV_SZ))</f>
        <v>0</v>
      </c>
      <c r="R60" s="457">
        <f t="shared" ref="R60" si="234">M60*MV</f>
        <v>0</v>
      </c>
      <c r="S60" s="457">
        <f t="shared" ref="S60" si="235">M60*DB</f>
        <v>0</v>
      </c>
      <c r="T60" s="457">
        <f t="shared" ref="T60" si="236">M60*DZ</f>
        <v>0</v>
      </c>
      <c r="U60" s="457">
        <f t="shared" ref="U60" si="237">M60*KommSt</f>
        <v>0</v>
      </c>
      <c r="V60" s="457">
        <f>('Kalkulation Herstellungskosten'!C142+'Kalkulation Herstellungskosten'!C143)*U_Bahn</f>
        <v>0</v>
      </c>
      <c r="W60" s="449">
        <f t="shared" ref="W60" si="238">SUM(N60:V60)</f>
        <v>0</v>
      </c>
      <c r="X60" s="449">
        <f t="shared" ref="X60" si="239">SUM(M60,W60)</f>
        <v>0</v>
      </c>
      <c r="Y60" s="448"/>
      <c r="Z60" s="448"/>
      <c r="AA60" s="448"/>
      <c r="AB60" s="448"/>
      <c r="AC60" s="448"/>
      <c r="AD60" s="448"/>
      <c r="AE60" s="448"/>
      <c r="AF60" s="448"/>
      <c r="AG60" s="448"/>
      <c r="AH60" s="448"/>
      <c r="AI60" s="448"/>
      <c r="AJ60" s="448"/>
      <c r="AK60" s="448"/>
      <c r="AL60" s="448"/>
      <c r="AM60" s="448"/>
      <c r="AN60" s="448"/>
      <c r="AO60" s="448"/>
      <c r="AP60" s="448"/>
      <c r="AQ60" s="448"/>
      <c r="AR60" s="448"/>
      <c r="AS60" s="448"/>
      <c r="AT60" s="448"/>
      <c r="AU60" s="448"/>
      <c r="AV60" s="448"/>
      <c r="AW60" s="448"/>
      <c r="AX60" s="448"/>
      <c r="AY60" s="448"/>
      <c r="AZ60" s="448"/>
      <c r="BA60" s="448"/>
    </row>
    <row r="61" spans="1:53" ht="12.75" customHeight="1" x14ac:dyDescent="0.2">
      <c r="A61" s="484" t="str">
        <f>'Kalkulation Herstellungskosten'!B144</f>
        <v>Oberbeleuchter*in</v>
      </c>
      <c r="B61" s="711"/>
      <c r="C61" s="897"/>
      <c r="D61" s="714"/>
      <c r="E61" s="714"/>
      <c r="F61" s="481">
        <f t="shared" si="18"/>
        <v>0</v>
      </c>
      <c r="G61" s="899"/>
      <c r="H61" s="479">
        <f t="shared" si="7"/>
        <v>0</v>
      </c>
      <c r="I61" s="477"/>
      <c r="J61" s="456">
        <f>'Kalkulation Herstellungskosten'!F144/((1+1/6)*1.1041)</f>
        <v>0</v>
      </c>
      <c r="K61" s="457">
        <f t="shared" si="167"/>
        <v>0</v>
      </c>
      <c r="L61" s="457">
        <f t="shared" si="168"/>
        <v>0</v>
      </c>
      <c r="M61" s="449">
        <f t="shared" si="169"/>
        <v>0</v>
      </c>
      <c r="N61" s="457">
        <f>IF(AND('Kalkulation Herstellungskosten'!C144=0,'Kalkulation Herstellungskosten'!C145=0),0,IF(J61/('Kalkulation Herstellungskosten'!C144+'Kalkulation Herstellungskosten'!C145)&gt;SVGrund_lfd_wö,('Kalkulation Herstellungskosten'!C144+'Kalkulation Herstellungskosten'!C145)*Höchst_Woche,J61*SV_lfd))</f>
        <v>0</v>
      </c>
      <c r="O61" s="457">
        <f t="shared" si="53"/>
        <v>0</v>
      </c>
      <c r="P61" s="457">
        <f>IF(J61*10.41%&gt;(0.5833*('Kalkulation Herstellungskosten'!C145+'Kalkulation Herstellungskosten'!C144)*SVGrund_lfd_tä),(0.5833*('Kalkulation Herstellungskosten'!C145+'Kalkulation Herstellungskosten'!C144)*Höchst_Tag),J61*10.41%*SV_lfd)</f>
        <v>0</v>
      </c>
      <c r="Q61" s="457">
        <f t="shared" ref="Q61:Q72" si="240">IF(K61&gt;SVGrund_SZ,0,IF(K61*10.41%&gt;(SVGrund_SZ-K61),(SVGrund_SZ-K61)*SV_SZ,K61*10.41%*SV_SZ))</f>
        <v>0</v>
      </c>
      <c r="R61" s="457">
        <f t="shared" si="181"/>
        <v>0</v>
      </c>
      <c r="S61" s="457">
        <f t="shared" si="182"/>
        <v>0</v>
      </c>
      <c r="T61" s="457">
        <f t="shared" si="183"/>
        <v>0</v>
      </c>
      <c r="U61" s="457">
        <f t="shared" si="184"/>
        <v>0</v>
      </c>
      <c r="V61" s="457">
        <f>('Kalkulation Herstellungskosten'!C144+'Kalkulation Herstellungskosten'!C145)*U_Bahn</f>
        <v>0</v>
      </c>
      <c r="W61" s="449">
        <f t="shared" si="55"/>
        <v>0</v>
      </c>
      <c r="X61" s="449">
        <f t="shared" ref="X61:X72" si="241">SUM(M61,W61)</f>
        <v>0</v>
      </c>
      <c r="Y61" s="448"/>
      <c r="Z61" s="448"/>
      <c r="AA61" s="448"/>
      <c r="AB61" s="448"/>
      <c r="AC61" s="448"/>
      <c r="AD61" s="448"/>
      <c r="AE61" s="448"/>
      <c r="AF61" s="448"/>
      <c r="AG61" s="448"/>
      <c r="AH61" s="448"/>
      <c r="AI61" s="448"/>
      <c r="AJ61" s="448"/>
      <c r="AK61" s="448"/>
      <c r="AL61" s="448"/>
      <c r="AM61" s="448"/>
      <c r="AN61" s="448"/>
      <c r="AO61" s="448"/>
      <c r="AP61" s="448"/>
      <c r="AQ61" s="448"/>
      <c r="AR61" s="448"/>
      <c r="AS61" s="448"/>
      <c r="AT61" s="448"/>
      <c r="AU61" s="448"/>
      <c r="AV61" s="448"/>
      <c r="AW61" s="448"/>
      <c r="AX61" s="448"/>
      <c r="AY61" s="448"/>
      <c r="AZ61" s="448"/>
      <c r="BA61" s="448"/>
    </row>
    <row r="62" spans="1:53" ht="12.75" customHeight="1" x14ac:dyDescent="0.2">
      <c r="A62" s="484" t="str">
        <f>'Kalkulation Herstellungskosten'!B146</f>
        <v>Best Boy/Girl</v>
      </c>
      <c r="B62" s="711"/>
      <c r="C62" s="897"/>
      <c r="D62" s="714"/>
      <c r="E62" s="714"/>
      <c r="F62" s="481">
        <f t="shared" si="18"/>
        <v>0</v>
      </c>
      <c r="G62" s="899"/>
      <c r="H62" s="479">
        <f t="shared" si="7"/>
        <v>0</v>
      </c>
      <c r="I62" s="477"/>
      <c r="J62" s="456">
        <f>'Kalkulation Herstellungskosten'!F146/((1+1/6)*1.1041)</f>
        <v>0</v>
      </c>
      <c r="K62" s="457">
        <f t="shared" ref="K62" si="242">J62/6</f>
        <v>0</v>
      </c>
      <c r="L62" s="457">
        <f t="shared" ref="L62" si="243">(J62+K62)*10.41%</f>
        <v>0</v>
      </c>
      <c r="M62" s="449">
        <f t="shared" ref="M62" si="244">SUM(J62:L62)</f>
        <v>0</v>
      </c>
      <c r="N62" s="457">
        <f>IF(AND('Kalkulation Herstellungskosten'!C146=0,'Kalkulation Herstellungskosten'!C147=0),0,IF(J62/('Kalkulation Herstellungskosten'!C146+'Kalkulation Herstellungskosten'!C147)&gt;SVGrund_lfd_wö,('Kalkulation Herstellungskosten'!C146+'Kalkulation Herstellungskosten'!C147)*Höchst_Woche,J62*SV_lfd))</f>
        <v>0</v>
      </c>
      <c r="O62" s="457">
        <f t="shared" ref="O62" si="245">IF(K62&gt;SVGrund_SZ, Höchst_Mo_SZ,K62*SV_SZ)</f>
        <v>0</v>
      </c>
      <c r="P62" s="457">
        <f>IF(J62*10.41%&gt;(0.5833*('Kalkulation Herstellungskosten'!C147+'Kalkulation Herstellungskosten'!C146)*SVGrund_lfd_tä),(0.5833*('Kalkulation Herstellungskosten'!C147+'Kalkulation Herstellungskosten'!C146)*Höchst_Tag),J62*10.41%*SV_lfd)</f>
        <v>0</v>
      </c>
      <c r="Q62" s="457">
        <f t="shared" ref="Q62" si="246">IF(K62&gt;SVGrund_SZ,0,IF(K62*10.41%&gt;(SVGrund_SZ-K62),(SVGrund_SZ-K62)*SV_SZ,K62*10.41%*SV_SZ))</f>
        <v>0</v>
      </c>
      <c r="R62" s="457">
        <f t="shared" ref="R62" si="247">M62*MV</f>
        <v>0</v>
      </c>
      <c r="S62" s="457">
        <f t="shared" ref="S62" si="248">M62*DB</f>
        <v>0</v>
      </c>
      <c r="T62" s="457">
        <f t="shared" ref="T62" si="249">M62*DZ</f>
        <v>0</v>
      </c>
      <c r="U62" s="457">
        <f t="shared" ref="U62" si="250">M62*KommSt</f>
        <v>0</v>
      </c>
      <c r="V62" s="457">
        <f>('Kalkulation Herstellungskosten'!C146+'Kalkulation Herstellungskosten'!C147)*U_Bahn</f>
        <v>0</v>
      </c>
      <c r="W62" s="449">
        <f t="shared" ref="W62" si="251">SUM(N62:V62)</f>
        <v>0</v>
      </c>
      <c r="X62" s="449">
        <f t="shared" ref="X62" si="252">SUM(M62,W62)</f>
        <v>0</v>
      </c>
      <c r="Y62" s="448"/>
      <c r="Z62" s="448"/>
      <c r="AA62" s="448"/>
      <c r="AB62" s="448"/>
      <c r="AC62" s="448"/>
      <c r="AD62" s="448"/>
      <c r="AE62" s="448"/>
      <c r="AF62" s="448"/>
      <c r="AG62" s="448"/>
      <c r="AH62" s="448"/>
      <c r="AI62" s="448"/>
      <c r="AJ62" s="448"/>
      <c r="AK62" s="448"/>
      <c r="AL62" s="448"/>
      <c r="AM62" s="448"/>
      <c r="AN62" s="448"/>
      <c r="AO62" s="448"/>
      <c r="AP62" s="448"/>
      <c r="AQ62" s="448"/>
      <c r="AR62" s="448"/>
      <c r="AS62" s="448"/>
      <c r="AT62" s="448"/>
      <c r="AU62" s="448"/>
      <c r="AV62" s="448"/>
      <c r="AW62" s="448"/>
      <c r="AX62" s="448"/>
      <c r="AY62" s="448"/>
      <c r="AZ62" s="448"/>
      <c r="BA62" s="448"/>
    </row>
    <row r="63" spans="1:53" ht="12.75" customHeight="1" x14ac:dyDescent="0.2">
      <c r="A63" s="484" t="str">
        <f>'Kalkulation Herstellungskosten'!B148</f>
        <v>Beleuchter*in</v>
      </c>
      <c r="B63" s="711"/>
      <c r="C63" s="897"/>
      <c r="D63" s="714"/>
      <c r="E63" s="714"/>
      <c r="F63" s="481">
        <f t="shared" si="18"/>
        <v>0</v>
      </c>
      <c r="G63" s="899"/>
      <c r="H63" s="479">
        <f t="shared" si="7"/>
        <v>0</v>
      </c>
      <c r="I63" s="477"/>
      <c r="J63" s="456">
        <f>'Kalkulation Herstellungskosten'!F148/((1+1/6)*1.1041)</f>
        <v>0</v>
      </c>
      <c r="K63" s="457">
        <f t="shared" si="167"/>
        <v>0</v>
      </c>
      <c r="L63" s="457">
        <f t="shared" si="168"/>
        <v>0</v>
      </c>
      <c r="M63" s="449">
        <f t="shared" si="169"/>
        <v>0</v>
      </c>
      <c r="N63" s="457">
        <f>IF(AND('Kalkulation Herstellungskosten'!C148=0,'Kalkulation Herstellungskosten'!C149=0),0,IF(J63/('Kalkulation Herstellungskosten'!C148+'Kalkulation Herstellungskosten'!C149)&gt;SVGrund_lfd_wö,('Kalkulation Herstellungskosten'!C148+'Kalkulation Herstellungskosten'!C149)*Höchst_Woche,J63*SV_lfd))</f>
        <v>0</v>
      </c>
      <c r="O63" s="457">
        <f t="shared" si="53"/>
        <v>0</v>
      </c>
      <c r="P63" s="457">
        <f>IF(J63*10.41%&gt;(0.5833*('Kalkulation Herstellungskosten'!C149+'Kalkulation Herstellungskosten'!C148)*SVGrund_lfd_tä),(0.5833*('Kalkulation Herstellungskosten'!C149+'Kalkulation Herstellungskosten'!C148)*Höchst_Tag),J63*10.41%*SV_lfd)</f>
        <v>0</v>
      </c>
      <c r="Q63" s="457">
        <f t="shared" si="240"/>
        <v>0</v>
      </c>
      <c r="R63" s="457">
        <f t="shared" si="181"/>
        <v>0</v>
      </c>
      <c r="S63" s="457">
        <f t="shared" si="182"/>
        <v>0</v>
      </c>
      <c r="T63" s="457">
        <f t="shared" si="183"/>
        <v>0</v>
      </c>
      <c r="U63" s="457">
        <f t="shared" si="184"/>
        <v>0</v>
      </c>
      <c r="V63" s="457">
        <f>('Kalkulation Herstellungskosten'!C148+'Kalkulation Herstellungskosten'!C149)*U_Bahn</f>
        <v>0</v>
      </c>
      <c r="W63" s="449">
        <f t="shared" si="55"/>
        <v>0</v>
      </c>
      <c r="X63" s="449">
        <f t="shared" si="241"/>
        <v>0</v>
      </c>
      <c r="Y63" s="448"/>
      <c r="Z63" s="448"/>
      <c r="AA63" s="448"/>
      <c r="AB63" s="448"/>
      <c r="AC63" s="448"/>
      <c r="AD63" s="448"/>
      <c r="AE63" s="448"/>
      <c r="AF63" s="448"/>
      <c r="AG63" s="448"/>
      <c r="AH63" s="448"/>
      <c r="AI63" s="448"/>
      <c r="AJ63" s="448"/>
      <c r="AK63" s="448"/>
      <c r="AL63" s="448"/>
      <c r="AM63" s="448"/>
      <c r="AN63" s="448"/>
      <c r="AO63" s="448"/>
      <c r="AP63" s="448"/>
      <c r="AQ63" s="448"/>
      <c r="AR63" s="448"/>
      <c r="AS63" s="448"/>
      <c r="AT63" s="448"/>
      <c r="AU63" s="448"/>
      <c r="AV63" s="448"/>
      <c r="AW63" s="448"/>
      <c r="AX63" s="448"/>
      <c r="AY63" s="448"/>
      <c r="AZ63" s="448"/>
      <c r="BA63" s="448"/>
    </row>
    <row r="64" spans="1:53" ht="12.75" customHeight="1" x14ac:dyDescent="0.2">
      <c r="A64" s="484" t="str">
        <f>'Kalkulation Herstellungskosten'!B150</f>
        <v>Beleuchter*in</v>
      </c>
      <c r="B64" s="711"/>
      <c r="C64" s="897"/>
      <c r="D64" s="714"/>
      <c r="E64" s="714"/>
      <c r="F64" s="481">
        <f t="shared" si="18"/>
        <v>0</v>
      </c>
      <c r="G64" s="899"/>
      <c r="H64" s="479">
        <f t="shared" si="7"/>
        <v>0</v>
      </c>
      <c r="I64" s="477"/>
      <c r="J64" s="456">
        <f>'Kalkulation Herstellungskosten'!F150/((1+1/6)*1.1041)</f>
        <v>0</v>
      </c>
      <c r="K64" s="457">
        <f t="shared" si="167"/>
        <v>0</v>
      </c>
      <c r="L64" s="457">
        <f t="shared" si="168"/>
        <v>0</v>
      </c>
      <c r="M64" s="449">
        <f t="shared" si="169"/>
        <v>0</v>
      </c>
      <c r="N64" s="457">
        <f>IF(AND('Kalkulation Herstellungskosten'!C150=0,'Kalkulation Herstellungskosten'!C151=0),0,IF(J64/('Kalkulation Herstellungskosten'!C150+'Kalkulation Herstellungskosten'!C151)&gt;SVGrund_lfd_wö,('Kalkulation Herstellungskosten'!C150+'Kalkulation Herstellungskosten'!C151)*Höchst_Woche,J64*SV_lfd))</f>
        <v>0</v>
      </c>
      <c r="O64" s="457">
        <f t="shared" si="53"/>
        <v>0</v>
      </c>
      <c r="P64" s="457">
        <f>IF(J64*10.41%&gt;(0.5833*('Kalkulation Herstellungskosten'!C151+'Kalkulation Herstellungskosten'!C150)*SVGrund_lfd_tä),(0.5833*('Kalkulation Herstellungskosten'!C151+'Kalkulation Herstellungskosten'!C150)*Höchst_Tag),J64*10.41%*SV_lfd)</f>
        <v>0</v>
      </c>
      <c r="Q64" s="457">
        <f t="shared" si="240"/>
        <v>0</v>
      </c>
      <c r="R64" s="457">
        <f t="shared" si="181"/>
        <v>0</v>
      </c>
      <c r="S64" s="457">
        <f t="shared" si="182"/>
        <v>0</v>
      </c>
      <c r="T64" s="457">
        <f t="shared" si="183"/>
        <v>0</v>
      </c>
      <c r="U64" s="457">
        <f t="shared" si="184"/>
        <v>0</v>
      </c>
      <c r="V64" s="457">
        <f>('Kalkulation Herstellungskosten'!C150+'Kalkulation Herstellungskosten'!C151)*U_Bahn</f>
        <v>0</v>
      </c>
      <c r="W64" s="449">
        <f t="shared" si="55"/>
        <v>0</v>
      </c>
      <c r="X64" s="449">
        <f t="shared" si="241"/>
        <v>0</v>
      </c>
      <c r="Y64" s="448"/>
      <c r="Z64" s="448"/>
      <c r="AA64" s="448"/>
      <c r="AB64" s="448"/>
      <c r="AC64" s="448"/>
      <c r="AD64" s="448"/>
      <c r="AE64" s="448"/>
      <c r="AF64" s="448"/>
      <c r="AG64" s="448"/>
      <c r="AH64" s="448"/>
      <c r="AI64" s="448"/>
      <c r="AJ64" s="448"/>
      <c r="AK64" s="448"/>
      <c r="AL64" s="448"/>
      <c r="AM64" s="448"/>
      <c r="AN64" s="448"/>
      <c r="AO64" s="448"/>
      <c r="AP64" s="448"/>
      <c r="AQ64" s="448"/>
      <c r="AR64" s="448"/>
      <c r="AS64" s="448"/>
      <c r="AT64" s="448"/>
      <c r="AU64" s="448"/>
      <c r="AV64" s="448"/>
      <c r="AW64" s="448"/>
      <c r="AX64" s="448"/>
      <c r="AY64" s="448"/>
      <c r="AZ64" s="448"/>
      <c r="BA64" s="448"/>
    </row>
    <row r="65" spans="1:53" ht="12.75" customHeight="1" x14ac:dyDescent="0.2">
      <c r="A65" s="484" t="str">
        <f>'Kalkulation Herstellungskosten'!B152</f>
        <v>Beleuchter*in</v>
      </c>
      <c r="B65" s="711"/>
      <c r="C65" s="897"/>
      <c r="D65" s="714"/>
      <c r="E65" s="714"/>
      <c r="F65" s="481">
        <f t="shared" si="18"/>
        <v>0</v>
      </c>
      <c r="G65" s="899"/>
      <c r="H65" s="479">
        <f t="shared" si="7"/>
        <v>0</v>
      </c>
      <c r="I65" s="477"/>
      <c r="J65" s="456">
        <f>'Kalkulation Herstellungskosten'!F152/((1+1/6)*1.1041)</f>
        <v>0</v>
      </c>
      <c r="K65" s="457">
        <f t="shared" si="167"/>
        <v>0</v>
      </c>
      <c r="L65" s="457">
        <f t="shared" si="168"/>
        <v>0</v>
      </c>
      <c r="M65" s="449">
        <f t="shared" si="169"/>
        <v>0</v>
      </c>
      <c r="N65" s="457">
        <f>IF(AND('Kalkulation Herstellungskosten'!C152=0,'Kalkulation Herstellungskosten'!C153=0),0,IF(J65/('Kalkulation Herstellungskosten'!C152+'Kalkulation Herstellungskosten'!C153)&gt;SVGrund_lfd_wö,('Kalkulation Herstellungskosten'!C152+'Kalkulation Herstellungskosten'!C153)*Höchst_Woche,J65*SV_lfd))</f>
        <v>0</v>
      </c>
      <c r="O65" s="457">
        <f t="shared" si="53"/>
        <v>0</v>
      </c>
      <c r="P65" s="457">
        <f>IF(J65*10.41%&gt;(0.5833*('Kalkulation Herstellungskosten'!C153+'Kalkulation Herstellungskosten'!C152)*SVGrund_lfd_tä),(0.5833*('Kalkulation Herstellungskosten'!C153+'Kalkulation Herstellungskosten'!C152)*Höchst_Tag),J65*10.41%*SV_lfd)</f>
        <v>0</v>
      </c>
      <c r="Q65" s="457">
        <f t="shared" si="240"/>
        <v>0</v>
      </c>
      <c r="R65" s="457">
        <f t="shared" si="181"/>
        <v>0</v>
      </c>
      <c r="S65" s="457">
        <f t="shared" si="182"/>
        <v>0</v>
      </c>
      <c r="T65" s="457">
        <f t="shared" si="183"/>
        <v>0</v>
      </c>
      <c r="U65" s="457">
        <f t="shared" si="184"/>
        <v>0</v>
      </c>
      <c r="V65" s="457">
        <f>('Kalkulation Herstellungskosten'!C152+'Kalkulation Herstellungskosten'!C153)*U_Bahn</f>
        <v>0</v>
      </c>
      <c r="W65" s="449">
        <f t="shared" si="55"/>
        <v>0</v>
      </c>
      <c r="X65" s="449">
        <f t="shared" si="241"/>
        <v>0</v>
      </c>
      <c r="Y65" s="448"/>
      <c r="Z65" s="448"/>
      <c r="AA65" s="448"/>
      <c r="AB65" s="448"/>
      <c r="AC65" s="448"/>
      <c r="AD65" s="448"/>
      <c r="AE65" s="448"/>
      <c r="AF65" s="448"/>
      <c r="AG65" s="448"/>
      <c r="AH65" s="448"/>
      <c r="AI65" s="448"/>
      <c r="AJ65" s="448"/>
      <c r="AK65" s="448"/>
      <c r="AL65" s="448"/>
      <c r="AM65" s="448"/>
      <c r="AN65" s="448"/>
      <c r="AO65" s="448"/>
      <c r="AP65" s="448"/>
      <c r="AQ65" s="448"/>
      <c r="AR65" s="448"/>
      <c r="AS65" s="448"/>
      <c r="AT65" s="448"/>
      <c r="AU65" s="448"/>
      <c r="AV65" s="448"/>
      <c r="AW65" s="448"/>
      <c r="AX65" s="448"/>
      <c r="AY65" s="448"/>
      <c r="AZ65" s="448"/>
      <c r="BA65" s="448"/>
    </row>
    <row r="66" spans="1:53" ht="12.75" customHeight="1" x14ac:dyDescent="0.2">
      <c r="A66" s="484" t="str">
        <f>'Kalkulation Herstellungskosten'!B154</f>
        <v>Jungbeleuchter*in</v>
      </c>
      <c r="B66" s="711"/>
      <c r="C66" s="897"/>
      <c r="D66" s="714"/>
      <c r="E66" s="714"/>
      <c r="F66" s="481">
        <f t="shared" si="18"/>
        <v>0</v>
      </c>
      <c r="G66" s="899"/>
      <c r="H66" s="479">
        <f t="shared" si="7"/>
        <v>0</v>
      </c>
      <c r="I66" s="477"/>
      <c r="J66" s="456">
        <f>'Kalkulation Herstellungskosten'!F154/((1+1/6)*1.1041)</f>
        <v>0</v>
      </c>
      <c r="K66" s="457">
        <f t="shared" ref="K66" si="253">J66/6</f>
        <v>0</v>
      </c>
      <c r="L66" s="457">
        <f t="shared" ref="L66" si="254">(J66+K66)*10.41%</f>
        <v>0</v>
      </c>
      <c r="M66" s="449">
        <f t="shared" ref="M66" si="255">SUM(J66:L66)</f>
        <v>0</v>
      </c>
      <c r="N66" s="457">
        <f>IF(AND('Kalkulation Herstellungskosten'!C154=0,'Kalkulation Herstellungskosten'!C155=0),0,IF(J66/('Kalkulation Herstellungskosten'!C154+'Kalkulation Herstellungskosten'!C155)&gt;SVGrund_lfd_wö,('Kalkulation Herstellungskosten'!C154+'Kalkulation Herstellungskosten'!C155)*Höchst_Woche,J66*SV_lfd))</f>
        <v>0</v>
      </c>
      <c r="O66" s="457">
        <f t="shared" ref="O66" si="256">IF(K66&gt;SVGrund_SZ, Höchst_Mo_SZ,K66*SV_SZ)</f>
        <v>0</v>
      </c>
      <c r="P66" s="457">
        <f>IF(J66*10.41%&gt;(0.5833*('Kalkulation Herstellungskosten'!C155+'Kalkulation Herstellungskosten'!C154)*SVGrund_lfd_tä),(0.5833*('Kalkulation Herstellungskosten'!C155+'Kalkulation Herstellungskosten'!C154)*Höchst_Tag),J66*10.41%*SV_lfd)</f>
        <v>0</v>
      </c>
      <c r="Q66" s="457">
        <f t="shared" ref="Q66" si="257">IF(K66&gt;SVGrund_SZ,0,IF(K66*10.41%&gt;(SVGrund_SZ-K66),(SVGrund_SZ-K66)*SV_SZ,K66*10.41%*SV_SZ))</f>
        <v>0</v>
      </c>
      <c r="R66" s="457">
        <f t="shared" ref="R66" si="258">M66*MV</f>
        <v>0</v>
      </c>
      <c r="S66" s="457">
        <f t="shared" ref="S66" si="259">M66*DB</f>
        <v>0</v>
      </c>
      <c r="T66" s="457">
        <f t="shared" ref="T66" si="260">M66*DZ</f>
        <v>0</v>
      </c>
      <c r="U66" s="457">
        <f t="shared" ref="U66" si="261">M66*KommSt</f>
        <v>0</v>
      </c>
      <c r="V66" s="457">
        <f>('Kalkulation Herstellungskosten'!C154+'Kalkulation Herstellungskosten'!C155)*U_Bahn</f>
        <v>0</v>
      </c>
      <c r="W66" s="449">
        <f t="shared" ref="W66" si="262">SUM(N66:V66)</f>
        <v>0</v>
      </c>
      <c r="X66" s="449">
        <f t="shared" ref="X66" si="263">SUM(M66,W66)</f>
        <v>0</v>
      </c>
      <c r="Y66" s="448"/>
      <c r="Z66" s="448"/>
      <c r="AA66" s="448"/>
      <c r="AB66" s="448"/>
      <c r="AC66" s="448"/>
      <c r="AD66" s="448"/>
      <c r="AE66" s="448"/>
      <c r="AF66" s="448"/>
      <c r="AG66" s="448"/>
      <c r="AH66" s="448"/>
      <c r="AI66" s="448"/>
      <c r="AJ66" s="448"/>
      <c r="AK66" s="448"/>
      <c r="AL66" s="448"/>
      <c r="AM66" s="448"/>
      <c r="AN66" s="448"/>
      <c r="AO66" s="448"/>
      <c r="AP66" s="448"/>
      <c r="AQ66" s="448"/>
      <c r="AR66" s="448"/>
      <c r="AS66" s="448"/>
      <c r="AT66" s="448"/>
      <c r="AU66" s="448"/>
      <c r="AV66" s="448"/>
      <c r="AW66" s="448"/>
      <c r="AX66" s="448"/>
      <c r="AY66" s="448"/>
      <c r="AZ66" s="448"/>
      <c r="BA66" s="448"/>
    </row>
    <row r="67" spans="1:53" ht="12.75" customHeight="1" x14ac:dyDescent="0.2">
      <c r="A67" s="484" t="str">
        <f>'Kalkulation Herstellungskosten'!B156</f>
        <v>Bühnenmeister*in</v>
      </c>
      <c r="B67" s="711"/>
      <c r="C67" s="897"/>
      <c r="D67" s="714"/>
      <c r="E67" s="714"/>
      <c r="F67" s="481">
        <f t="shared" si="18"/>
        <v>0</v>
      </c>
      <c r="G67" s="899"/>
      <c r="H67" s="479">
        <f t="shared" si="7"/>
        <v>0</v>
      </c>
      <c r="I67" s="477"/>
      <c r="J67" s="456">
        <f>'Kalkulation Herstellungskosten'!F156/((1+1/6)*1.1041)</f>
        <v>0</v>
      </c>
      <c r="K67" s="457">
        <f t="shared" si="167"/>
        <v>0</v>
      </c>
      <c r="L67" s="457">
        <f t="shared" si="168"/>
        <v>0</v>
      </c>
      <c r="M67" s="449">
        <f t="shared" si="169"/>
        <v>0</v>
      </c>
      <c r="N67" s="457">
        <f>IF(AND('Kalkulation Herstellungskosten'!C156=0,'Kalkulation Herstellungskosten'!C157=0),0,IF(J67/('Kalkulation Herstellungskosten'!C156+'Kalkulation Herstellungskosten'!C157)&gt;SVGrund_lfd_wö,('Kalkulation Herstellungskosten'!C156+'Kalkulation Herstellungskosten'!C157)*Höchst_Woche,J67*SV_lfd))</f>
        <v>0</v>
      </c>
      <c r="O67" s="457">
        <f t="shared" si="53"/>
        <v>0</v>
      </c>
      <c r="P67" s="457">
        <f>IF(J67*10.41%&gt;(0.5833*('Kalkulation Herstellungskosten'!C157+'Kalkulation Herstellungskosten'!C156)*SVGrund_lfd_tä),(0.5833*('Kalkulation Herstellungskosten'!C157+'Kalkulation Herstellungskosten'!C156)*Höchst_Tag),J67*10.41%*SV_lfd)</f>
        <v>0</v>
      </c>
      <c r="Q67" s="457">
        <f t="shared" si="240"/>
        <v>0</v>
      </c>
      <c r="R67" s="457">
        <f t="shared" si="181"/>
        <v>0</v>
      </c>
      <c r="S67" s="457">
        <f t="shared" si="182"/>
        <v>0</v>
      </c>
      <c r="T67" s="457">
        <f t="shared" si="183"/>
        <v>0</v>
      </c>
      <c r="U67" s="457">
        <f t="shared" si="184"/>
        <v>0</v>
      </c>
      <c r="V67" s="457">
        <f>('Kalkulation Herstellungskosten'!C156+'Kalkulation Herstellungskosten'!C157)*U_Bahn</f>
        <v>0</v>
      </c>
      <c r="W67" s="449">
        <f t="shared" si="55"/>
        <v>0</v>
      </c>
      <c r="X67" s="449">
        <f t="shared" si="241"/>
        <v>0</v>
      </c>
      <c r="Y67" s="448"/>
      <c r="Z67" s="448"/>
      <c r="AA67" s="448"/>
      <c r="AB67" s="448"/>
      <c r="AC67" s="448"/>
      <c r="AD67" s="448"/>
      <c r="AE67" s="448"/>
      <c r="AF67" s="448"/>
      <c r="AG67" s="448"/>
      <c r="AH67" s="448"/>
      <c r="AI67" s="448"/>
      <c r="AJ67" s="448"/>
      <c r="AK67" s="448"/>
      <c r="AL67" s="448"/>
      <c r="AM67" s="448"/>
      <c r="AN67" s="448"/>
      <c r="AO67" s="448"/>
      <c r="AP67" s="448"/>
      <c r="AQ67" s="448"/>
      <c r="AR67" s="448"/>
      <c r="AS67" s="448"/>
      <c r="AT67" s="448"/>
      <c r="AU67" s="448"/>
      <c r="AV67" s="448"/>
      <c r="AW67" s="448"/>
      <c r="AX67" s="448"/>
      <c r="AY67" s="448"/>
      <c r="AZ67" s="448"/>
      <c r="BA67" s="448"/>
    </row>
    <row r="68" spans="1:53" ht="12.75" customHeight="1" x14ac:dyDescent="0.2">
      <c r="A68" s="484" t="str">
        <f>'Kalkulation Herstellungskosten'!B158</f>
        <v>Bühne</v>
      </c>
      <c r="B68" s="711"/>
      <c r="C68" s="897"/>
      <c r="D68" s="714"/>
      <c r="E68" s="714"/>
      <c r="F68" s="481">
        <f t="shared" si="18"/>
        <v>0</v>
      </c>
      <c r="G68" s="899"/>
      <c r="H68" s="479">
        <f t="shared" si="7"/>
        <v>0</v>
      </c>
      <c r="I68" s="477"/>
      <c r="J68" s="456">
        <f>'Kalkulation Herstellungskosten'!F158/((1+1/6)*1.1041)</f>
        <v>0</v>
      </c>
      <c r="K68" s="457">
        <f t="shared" si="167"/>
        <v>0</v>
      </c>
      <c r="L68" s="457">
        <f t="shared" si="168"/>
        <v>0</v>
      </c>
      <c r="M68" s="449">
        <f t="shared" si="169"/>
        <v>0</v>
      </c>
      <c r="N68" s="457">
        <f>IF(AND('Kalkulation Herstellungskosten'!C158=0,'Kalkulation Herstellungskosten'!C159=0),0,IF(J68/('Kalkulation Herstellungskosten'!C158+'Kalkulation Herstellungskosten'!C159)&gt;SVGrund_lfd_wö,('Kalkulation Herstellungskosten'!C158+'Kalkulation Herstellungskosten'!C159)*Höchst_Woche,J68*SV_lfd))</f>
        <v>0</v>
      </c>
      <c r="O68" s="457">
        <f t="shared" si="53"/>
        <v>0</v>
      </c>
      <c r="P68" s="457">
        <f>IF(J68*10.41%&gt;(0.5833*('Kalkulation Herstellungskosten'!C159+'Kalkulation Herstellungskosten'!C158)*SVGrund_lfd_tä),(0.5833*('Kalkulation Herstellungskosten'!C159+'Kalkulation Herstellungskosten'!C158)*Höchst_Tag),J68*10.41%*SV_lfd)</f>
        <v>0</v>
      </c>
      <c r="Q68" s="457">
        <f t="shared" si="240"/>
        <v>0</v>
      </c>
      <c r="R68" s="457">
        <f t="shared" si="181"/>
        <v>0</v>
      </c>
      <c r="S68" s="457">
        <f t="shared" si="182"/>
        <v>0</v>
      </c>
      <c r="T68" s="457">
        <f t="shared" si="183"/>
        <v>0</v>
      </c>
      <c r="U68" s="457">
        <f t="shared" si="184"/>
        <v>0</v>
      </c>
      <c r="V68" s="457">
        <f>('Kalkulation Herstellungskosten'!C158+'Kalkulation Herstellungskosten'!C159)*U_Bahn</f>
        <v>0</v>
      </c>
      <c r="W68" s="449">
        <f t="shared" si="55"/>
        <v>0</v>
      </c>
      <c r="X68" s="449">
        <f t="shared" si="241"/>
        <v>0</v>
      </c>
      <c r="Y68" s="448"/>
      <c r="Z68" s="448"/>
      <c r="AA68" s="448"/>
      <c r="AB68" s="448"/>
      <c r="AC68" s="448"/>
      <c r="AD68" s="448"/>
      <c r="AE68" s="448"/>
      <c r="AF68" s="448"/>
      <c r="AG68" s="448"/>
      <c r="AH68" s="448"/>
      <c r="AI68" s="448"/>
      <c r="AJ68" s="448"/>
      <c r="AK68" s="448"/>
      <c r="AL68" s="448"/>
      <c r="AM68" s="448"/>
      <c r="AN68" s="448"/>
      <c r="AO68" s="448"/>
      <c r="AP68" s="448"/>
      <c r="AQ68" s="448"/>
      <c r="AR68" s="448"/>
      <c r="AS68" s="448"/>
      <c r="AT68" s="448"/>
      <c r="AU68" s="448"/>
      <c r="AV68" s="448"/>
      <c r="AW68" s="448"/>
      <c r="AX68" s="448"/>
      <c r="AY68" s="448"/>
      <c r="AZ68" s="448"/>
      <c r="BA68" s="448"/>
    </row>
    <row r="69" spans="1:53" ht="12.75" customHeight="1" x14ac:dyDescent="0.2">
      <c r="A69" s="484" t="str">
        <f>'Kalkulation Herstellungskosten'!B160</f>
        <v>Bühne</v>
      </c>
      <c r="B69" s="711"/>
      <c r="C69" s="897"/>
      <c r="D69" s="714"/>
      <c r="E69" s="714"/>
      <c r="F69" s="481">
        <f t="shared" si="18"/>
        <v>0</v>
      </c>
      <c r="G69" s="899"/>
      <c r="H69" s="479">
        <f t="shared" si="7"/>
        <v>0</v>
      </c>
      <c r="I69" s="477"/>
      <c r="J69" s="456">
        <f>'Kalkulation Herstellungskosten'!F160/((1+1/6)*1.1041)</f>
        <v>0</v>
      </c>
      <c r="K69" s="457">
        <f t="shared" si="167"/>
        <v>0</v>
      </c>
      <c r="L69" s="457">
        <f t="shared" si="168"/>
        <v>0</v>
      </c>
      <c r="M69" s="449">
        <f t="shared" si="169"/>
        <v>0</v>
      </c>
      <c r="N69" s="457">
        <f>IF(AND('Kalkulation Herstellungskosten'!C160=0,'Kalkulation Herstellungskosten'!C161=0),0,IF(J69/('Kalkulation Herstellungskosten'!C160+'Kalkulation Herstellungskosten'!C161)&gt;SVGrund_lfd_wö,('Kalkulation Herstellungskosten'!C160+'Kalkulation Herstellungskosten'!C161)*Höchst_Woche,J69*SV_lfd))</f>
        <v>0</v>
      </c>
      <c r="O69" s="457">
        <f t="shared" si="53"/>
        <v>0</v>
      </c>
      <c r="P69" s="457">
        <f>IF(J69*10.41%&gt;(0.5833*('Kalkulation Herstellungskosten'!C161+'Kalkulation Herstellungskosten'!C160)*SVGrund_lfd_tä),(0.5833*('Kalkulation Herstellungskosten'!C161+'Kalkulation Herstellungskosten'!C160)*Höchst_Tag),J69*10.41%*SV_lfd)</f>
        <v>0</v>
      </c>
      <c r="Q69" s="457">
        <f t="shared" si="240"/>
        <v>0</v>
      </c>
      <c r="R69" s="457">
        <f t="shared" si="181"/>
        <v>0</v>
      </c>
      <c r="S69" s="457">
        <f t="shared" si="182"/>
        <v>0</v>
      </c>
      <c r="T69" s="457">
        <f t="shared" si="183"/>
        <v>0</v>
      </c>
      <c r="U69" s="457">
        <f t="shared" si="184"/>
        <v>0</v>
      </c>
      <c r="V69" s="457">
        <f>('Kalkulation Herstellungskosten'!C160+'Kalkulation Herstellungskosten'!C161)*U_Bahn</f>
        <v>0</v>
      </c>
      <c r="W69" s="449">
        <f t="shared" si="55"/>
        <v>0</v>
      </c>
      <c r="X69" s="449">
        <f t="shared" si="241"/>
        <v>0</v>
      </c>
      <c r="Y69" s="448"/>
      <c r="Z69" s="448"/>
      <c r="AA69" s="448"/>
      <c r="AB69" s="448"/>
      <c r="AC69" s="448"/>
      <c r="AD69" s="448"/>
      <c r="AE69" s="448"/>
      <c r="AF69" s="448"/>
      <c r="AG69" s="448"/>
      <c r="AH69" s="448"/>
      <c r="AI69" s="448"/>
      <c r="AJ69" s="448"/>
      <c r="AK69" s="448"/>
      <c r="AL69" s="448"/>
      <c r="AM69" s="448"/>
      <c r="AN69" s="448"/>
      <c r="AO69" s="448"/>
      <c r="AP69" s="448"/>
      <c r="AQ69" s="448"/>
      <c r="AR69" s="448"/>
      <c r="AS69" s="448"/>
      <c r="AT69" s="448"/>
      <c r="AU69" s="448"/>
      <c r="AV69" s="448"/>
      <c r="AW69" s="448"/>
      <c r="AX69" s="448"/>
      <c r="AY69" s="448"/>
      <c r="AZ69" s="448"/>
      <c r="BA69" s="448"/>
    </row>
    <row r="70" spans="1:53" ht="12.75" customHeight="1" x14ac:dyDescent="0.2">
      <c r="A70" s="484" t="str">
        <f>'Kalkulation Herstellungskosten'!B162</f>
        <v>Bühne</v>
      </c>
      <c r="B70" s="711"/>
      <c r="C70" s="897"/>
      <c r="D70" s="714"/>
      <c r="E70" s="714"/>
      <c r="F70" s="481">
        <f t="shared" ref="F70:F72" si="264">NETWORKDAYS(D70,E70)/5</f>
        <v>0</v>
      </c>
      <c r="G70" s="899"/>
      <c r="H70" s="479">
        <f t="shared" si="7"/>
        <v>0</v>
      </c>
      <c r="I70" s="477"/>
      <c r="J70" s="456">
        <f>'Kalkulation Herstellungskosten'!F162/((1+1/6)*1.1041)</f>
        <v>0</v>
      </c>
      <c r="K70" s="457">
        <f t="shared" si="167"/>
        <v>0</v>
      </c>
      <c r="L70" s="457">
        <f t="shared" si="168"/>
        <v>0</v>
      </c>
      <c r="M70" s="449">
        <f t="shared" si="169"/>
        <v>0</v>
      </c>
      <c r="N70" s="457">
        <f>IF(AND('Kalkulation Herstellungskosten'!C162=0,'Kalkulation Herstellungskosten'!C163=0),0,IF(J70/('Kalkulation Herstellungskosten'!C162+'Kalkulation Herstellungskosten'!C163)&gt;SVGrund_lfd_wö,('Kalkulation Herstellungskosten'!C162+'Kalkulation Herstellungskosten'!C163)*Höchst_Woche,J70*SV_lfd))</f>
        <v>0</v>
      </c>
      <c r="O70" s="457">
        <f t="shared" si="53"/>
        <v>0</v>
      </c>
      <c r="P70" s="457">
        <f>IF(J70*10.41%&gt;(0.5833*('Kalkulation Herstellungskosten'!C163+'Kalkulation Herstellungskosten'!C162)*SVGrund_lfd_tä),(0.5833*('Kalkulation Herstellungskosten'!C163+'Kalkulation Herstellungskosten'!C162)*Höchst_Tag),J70*10.41%*SV_lfd)</f>
        <v>0</v>
      </c>
      <c r="Q70" s="457">
        <f t="shared" si="240"/>
        <v>0</v>
      </c>
      <c r="R70" s="457">
        <f t="shared" si="181"/>
        <v>0</v>
      </c>
      <c r="S70" s="457">
        <f t="shared" si="182"/>
        <v>0</v>
      </c>
      <c r="T70" s="457">
        <f t="shared" si="183"/>
        <v>0</v>
      </c>
      <c r="U70" s="457">
        <f t="shared" si="184"/>
        <v>0</v>
      </c>
      <c r="V70" s="457">
        <f>('Kalkulation Herstellungskosten'!C162+'Kalkulation Herstellungskosten'!C163)*U_Bahn</f>
        <v>0</v>
      </c>
      <c r="W70" s="449">
        <f t="shared" si="55"/>
        <v>0</v>
      </c>
      <c r="X70" s="449">
        <f t="shared" si="241"/>
        <v>0</v>
      </c>
      <c r="Y70" s="448"/>
      <c r="Z70" s="448"/>
      <c r="AA70" s="448"/>
      <c r="AB70" s="448"/>
      <c r="AC70" s="448"/>
      <c r="AD70" s="448"/>
      <c r="AE70" s="448"/>
      <c r="AF70" s="448"/>
      <c r="AG70" s="448"/>
      <c r="AH70" s="448"/>
      <c r="AI70" s="448"/>
      <c r="AJ70" s="448"/>
      <c r="AK70" s="448"/>
      <c r="AL70" s="448"/>
      <c r="AM70" s="448"/>
      <c r="AN70" s="448"/>
      <c r="AO70" s="448"/>
      <c r="AP70" s="448"/>
      <c r="AQ70" s="448"/>
      <c r="AR70" s="448"/>
      <c r="AS70" s="448"/>
      <c r="AT70" s="448"/>
      <c r="AU70" s="448"/>
      <c r="AV70" s="448"/>
      <c r="AW70" s="448"/>
      <c r="AX70" s="448"/>
      <c r="AY70" s="448"/>
      <c r="AZ70" s="448"/>
      <c r="BA70" s="448"/>
    </row>
    <row r="71" spans="1:53" ht="12.75" customHeight="1" x14ac:dyDescent="0.2">
      <c r="A71" s="484" t="str">
        <f>'Kalkulation Herstellungskosten'!B164</f>
        <v>Musikaufnahmeleiter*in</v>
      </c>
      <c r="B71" s="711"/>
      <c r="C71" s="897"/>
      <c r="D71" s="714"/>
      <c r="E71" s="714"/>
      <c r="F71" s="481">
        <f t="shared" si="264"/>
        <v>0</v>
      </c>
      <c r="G71" s="899"/>
      <c r="H71" s="479">
        <f t="shared" ref="H71:H72" si="265">F71*G71</f>
        <v>0</v>
      </c>
      <c r="I71" s="477"/>
      <c r="J71" s="456">
        <f>'Kalkulation Herstellungskosten'!F164/((1+1/6)*1.1041)</f>
        <v>0</v>
      </c>
      <c r="K71" s="457">
        <f t="shared" si="167"/>
        <v>0</v>
      </c>
      <c r="L71" s="457">
        <f t="shared" si="168"/>
        <v>0</v>
      </c>
      <c r="M71" s="449">
        <f t="shared" si="169"/>
        <v>0</v>
      </c>
      <c r="N71" s="457">
        <f>IF(AND('Kalkulation Herstellungskosten'!C164=0,'Kalkulation Herstellungskosten'!C165=0),0,IF(J71/('Kalkulation Herstellungskosten'!C164+'Kalkulation Herstellungskosten'!C165)&gt;SVGrund_lfd_wö,('Kalkulation Herstellungskosten'!C164+'Kalkulation Herstellungskosten'!C165)*Höchst_Woche,J71*SV_lfd))</f>
        <v>0</v>
      </c>
      <c r="O71" s="457">
        <f t="shared" si="53"/>
        <v>0</v>
      </c>
      <c r="P71" s="457">
        <f>IF(J71*10.41%&gt;(0.5833*('Kalkulation Herstellungskosten'!C165+'Kalkulation Herstellungskosten'!C164)*SVGrund_lfd_tä),(0.5833*('Kalkulation Herstellungskosten'!C165+'Kalkulation Herstellungskosten'!C164)*Höchst_Tag),J71*10.41%*SV_lfd)</f>
        <v>0</v>
      </c>
      <c r="Q71" s="457">
        <f t="shared" si="240"/>
        <v>0</v>
      </c>
      <c r="R71" s="457">
        <f t="shared" si="181"/>
        <v>0</v>
      </c>
      <c r="S71" s="457">
        <f t="shared" si="182"/>
        <v>0</v>
      </c>
      <c r="T71" s="457">
        <f t="shared" si="183"/>
        <v>0</v>
      </c>
      <c r="U71" s="457">
        <f t="shared" si="184"/>
        <v>0</v>
      </c>
      <c r="V71" s="457">
        <f>('Kalkulation Herstellungskosten'!C164+'Kalkulation Herstellungskosten'!C165)*U_Bahn</f>
        <v>0</v>
      </c>
      <c r="W71" s="449">
        <f t="shared" si="55"/>
        <v>0</v>
      </c>
      <c r="X71" s="449">
        <f t="shared" si="241"/>
        <v>0</v>
      </c>
      <c r="Y71" s="448"/>
      <c r="Z71" s="448"/>
      <c r="AA71" s="448"/>
      <c r="AB71" s="448"/>
      <c r="AC71" s="448"/>
      <c r="AD71" s="448"/>
      <c r="AE71" s="448"/>
      <c r="AF71" s="448"/>
      <c r="AG71" s="448"/>
      <c r="AH71" s="448"/>
      <c r="AI71" s="448"/>
      <c r="AJ71" s="448"/>
      <c r="AK71" s="448"/>
      <c r="AL71" s="448"/>
      <c r="AM71" s="448"/>
      <c r="AN71" s="448"/>
      <c r="AO71" s="448"/>
      <c r="AP71" s="448"/>
      <c r="AQ71" s="448"/>
      <c r="AR71" s="448"/>
      <c r="AS71" s="448"/>
      <c r="AT71" s="448"/>
      <c r="AU71" s="448"/>
      <c r="AV71" s="448"/>
      <c r="AW71" s="448"/>
      <c r="AX71" s="448"/>
      <c r="AY71" s="448"/>
      <c r="AZ71" s="448"/>
      <c r="BA71" s="448"/>
    </row>
    <row r="72" spans="1:53" ht="12.75" customHeight="1" x14ac:dyDescent="0.2">
      <c r="A72" s="484" t="str">
        <f>'Kalkulation Herstellungskosten'!B166</f>
        <v>Synchronregie</v>
      </c>
      <c r="B72" s="711"/>
      <c r="C72" s="897"/>
      <c r="D72" s="714"/>
      <c r="E72" s="714"/>
      <c r="F72" s="481">
        <f t="shared" si="264"/>
        <v>0</v>
      </c>
      <c r="G72" s="899"/>
      <c r="H72" s="479">
        <f t="shared" si="265"/>
        <v>0</v>
      </c>
      <c r="I72" s="477"/>
      <c r="J72" s="456">
        <f>'Kalkulation Herstellungskosten'!F166/((1+1/6)*1.1041)</f>
        <v>0</v>
      </c>
      <c r="K72" s="457">
        <f t="shared" si="167"/>
        <v>0</v>
      </c>
      <c r="L72" s="457">
        <f t="shared" si="168"/>
        <v>0</v>
      </c>
      <c r="M72" s="449">
        <f t="shared" si="169"/>
        <v>0</v>
      </c>
      <c r="N72" s="457">
        <f>IF(AND('Kalkulation Herstellungskosten'!C166=0,'Kalkulation Herstellungskosten'!C167=0),0,IF(J72/('Kalkulation Herstellungskosten'!C166+'Kalkulation Herstellungskosten'!C167)&gt;SVGrund_lfd_wö,('Kalkulation Herstellungskosten'!C166+'Kalkulation Herstellungskosten'!C167)*Höchst_Woche,J72*SV_lfd))</f>
        <v>0</v>
      </c>
      <c r="O72" s="457">
        <f t="shared" si="53"/>
        <v>0</v>
      </c>
      <c r="P72" s="457">
        <f>IF(J72*10.41%&gt;(0.5833*('Kalkulation Herstellungskosten'!C167+'Kalkulation Herstellungskosten'!C166)*SVGrund_lfd_tä),(0.5833*('Kalkulation Herstellungskosten'!C167+'Kalkulation Herstellungskosten'!C166)*Höchst_Tag),J72*10.41%*SV_lfd)</f>
        <v>0</v>
      </c>
      <c r="Q72" s="457">
        <f t="shared" si="240"/>
        <v>0</v>
      </c>
      <c r="R72" s="457">
        <f t="shared" si="181"/>
        <v>0</v>
      </c>
      <c r="S72" s="457">
        <f t="shared" si="182"/>
        <v>0</v>
      </c>
      <c r="T72" s="457">
        <f t="shared" si="183"/>
        <v>0</v>
      </c>
      <c r="U72" s="457">
        <f t="shared" si="184"/>
        <v>0</v>
      </c>
      <c r="V72" s="457">
        <f>('Kalkulation Herstellungskosten'!C166+'Kalkulation Herstellungskosten'!C167)*U_Bahn</f>
        <v>0</v>
      </c>
      <c r="W72" s="449">
        <f t="shared" si="55"/>
        <v>0</v>
      </c>
      <c r="X72" s="449">
        <f t="shared" si="241"/>
        <v>0</v>
      </c>
      <c r="Y72" s="448"/>
      <c r="Z72" s="448"/>
      <c r="AA72" s="448"/>
      <c r="AB72" s="448"/>
      <c r="AC72" s="448"/>
      <c r="AD72" s="448"/>
      <c r="AE72" s="448"/>
      <c r="AF72" s="448"/>
      <c r="AG72" s="448"/>
      <c r="AH72" s="448"/>
      <c r="AI72" s="448"/>
      <c r="AJ72" s="448"/>
      <c r="AK72" s="448"/>
      <c r="AL72" s="448"/>
      <c r="AM72" s="448"/>
      <c r="AN72" s="448"/>
      <c r="AO72" s="448"/>
      <c r="AP72" s="448"/>
      <c r="AQ72" s="448"/>
      <c r="AR72" s="448"/>
      <c r="AS72" s="448"/>
      <c r="AT72" s="448"/>
      <c r="AU72" s="448"/>
      <c r="AV72" s="448"/>
      <c r="AW72" s="448"/>
      <c r="AX72" s="448"/>
      <c r="AY72" s="448"/>
      <c r="AZ72" s="448"/>
      <c r="BA72" s="448"/>
    </row>
    <row r="73" spans="1:53" ht="12.75" customHeight="1" x14ac:dyDescent="0.2">
      <c r="A73" s="450"/>
      <c r="B73" s="450"/>
      <c r="C73" s="448"/>
      <c r="D73" s="473"/>
      <c r="E73" s="472"/>
      <c r="F73" s="472"/>
      <c r="G73" s="472"/>
      <c r="H73" s="472"/>
      <c r="I73" s="472"/>
      <c r="J73" s="935"/>
      <c r="K73" s="935"/>
      <c r="L73" s="935"/>
      <c r="M73" s="935"/>
      <c r="N73" s="935"/>
      <c r="O73" s="935"/>
      <c r="P73" s="935"/>
      <c r="Q73" s="935"/>
      <c r="R73" s="935"/>
      <c r="S73" s="935"/>
      <c r="T73" s="935"/>
      <c r="U73" s="935"/>
      <c r="V73" s="935"/>
      <c r="W73" s="935"/>
      <c r="X73" s="935"/>
      <c r="Y73" s="448"/>
      <c r="Z73" s="448"/>
      <c r="AA73" s="448"/>
      <c r="AB73" s="448"/>
      <c r="AC73" s="448"/>
      <c r="AD73" s="448"/>
      <c r="AE73" s="448"/>
      <c r="AF73" s="448"/>
      <c r="AG73" s="448"/>
      <c r="AH73" s="448"/>
      <c r="AI73" s="448"/>
      <c r="AJ73" s="448"/>
      <c r="AK73" s="448"/>
      <c r="AL73" s="448"/>
      <c r="AM73" s="448"/>
      <c r="AN73" s="448"/>
      <c r="AO73" s="448"/>
      <c r="AP73" s="448"/>
      <c r="AQ73" s="448"/>
      <c r="AR73" s="448"/>
      <c r="AS73" s="448"/>
      <c r="AT73" s="448"/>
      <c r="AU73" s="448"/>
      <c r="AV73" s="448"/>
      <c r="AW73" s="448"/>
      <c r="AX73" s="448"/>
      <c r="AY73" s="448"/>
      <c r="AZ73" s="448"/>
      <c r="BA73" s="448"/>
    </row>
    <row r="74" spans="1:53" ht="12.75" customHeight="1" x14ac:dyDescent="0.2">
      <c r="A74" s="485" t="str">
        <f>'Kalkulation Herstellungskosten'!B170</f>
        <v>Sonstige MitarbeiterInnen</v>
      </c>
      <c r="B74" s="472"/>
      <c r="C74" s="472"/>
      <c r="D74" s="473"/>
      <c r="E74" s="472"/>
      <c r="F74" s="472"/>
      <c r="G74" s="472"/>
      <c r="H74" s="472"/>
      <c r="I74" s="472"/>
      <c r="J74" s="458"/>
      <c r="K74" s="371"/>
      <c r="L74" s="371"/>
      <c r="M74" s="458"/>
      <c r="N74" s="371"/>
      <c r="O74" s="371"/>
      <c r="P74" s="371"/>
      <c r="Q74" s="371"/>
      <c r="R74" s="371"/>
      <c r="S74" s="371"/>
      <c r="T74" s="371"/>
      <c r="U74" s="371"/>
      <c r="V74" s="371"/>
      <c r="W74" s="458"/>
      <c r="X74" s="458"/>
      <c r="Y74" s="448"/>
      <c r="Z74" s="448"/>
      <c r="AA74" s="448"/>
      <c r="AB74" s="448"/>
      <c r="AC74" s="448"/>
      <c r="AD74" s="448"/>
      <c r="AE74" s="448"/>
      <c r="AF74" s="448"/>
      <c r="AG74" s="448"/>
      <c r="AH74" s="448"/>
      <c r="AI74" s="448"/>
      <c r="AJ74" s="448"/>
      <c r="AK74" s="448"/>
      <c r="AL74" s="448"/>
      <c r="AM74" s="448"/>
      <c r="AN74" s="448"/>
      <c r="AO74" s="448"/>
      <c r="AP74" s="448"/>
      <c r="AQ74" s="448"/>
      <c r="AR74" s="448"/>
      <c r="AS74" s="448"/>
      <c r="AT74" s="448"/>
      <c r="AU74" s="448"/>
      <c r="AV74" s="448"/>
      <c r="AW74" s="448"/>
      <c r="AX74" s="448"/>
      <c r="AY74" s="448"/>
      <c r="AZ74" s="448"/>
      <c r="BA74" s="448"/>
    </row>
    <row r="75" spans="1:53" ht="12.75" customHeight="1" x14ac:dyDescent="0.2">
      <c r="A75" s="484" t="str">
        <f>'Kalkulation Herstellungskosten'!B171</f>
        <v>Green Film Consultant</v>
      </c>
      <c r="B75" s="711"/>
      <c r="C75" s="897"/>
      <c r="D75" s="715"/>
      <c r="E75" s="713"/>
      <c r="F75" s="481">
        <f t="shared" ref="F75:F138" si="266">NETWORKDAYS(D75,E75)/5</f>
        <v>0</v>
      </c>
      <c r="G75" s="898"/>
      <c r="H75" s="479">
        <f t="shared" ref="H75" si="267">F75*G75</f>
        <v>0</v>
      </c>
      <c r="I75" s="472"/>
      <c r="J75" s="456">
        <f>'Kalkulation Herstellungskosten'!F171/((1+1/6)*1.1041)</f>
        <v>0</v>
      </c>
      <c r="K75" s="457">
        <f>J75/6</f>
        <v>0</v>
      </c>
      <c r="L75" s="457">
        <f>(J75+K75)*10.41%</f>
        <v>0</v>
      </c>
      <c r="M75" s="449">
        <f>SUM(J75:L75)</f>
        <v>0</v>
      </c>
      <c r="N75" s="457">
        <f>IF('Kalkulation Herstellungskosten'!C171=0,0,IF(J75/'Kalkulation Herstellungskosten'!C171&gt;SVGrund_lfd_wö,'Kalkulation Herstellungskosten'!C171*Höchst_Woche,J75*SV_lfd))</f>
        <v>0</v>
      </c>
      <c r="O75" s="457">
        <f t="shared" ref="O75:O84" si="268">IF(K75&gt;SVGrund_SZ, Höchst_Mo_SZ,K75*SV_SZ)</f>
        <v>0</v>
      </c>
      <c r="P75" s="457">
        <f>IF(J75*10.41%&gt;(0.5833*'Kalkulation Herstellungskosten'!C171*SVGrund_lfd_tä),(0.5833*'Kalkulation Herstellungskosten'!C171*Höchst_Tag),J75*10.41%*SV_lfd)</f>
        <v>0</v>
      </c>
      <c r="Q75" s="457">
        <f t="shared" ref="Q75:Q84" si="269">IF(K75&gt;SVGrund_SZ,0,IF(K75*10.41%&gt;(SVGrund_SZ-K75),(SVGrund_SZ-K75)*SV_SZ,K75*10.41%*SV_SZ))</f>
        <v>0</v>
      </c>
      <c r="R75" s="457">
        <f t="shared" ref="R75:R84" si="270">M75*MV</f>
        <v>0</v>
      </c>
      <c r="S75" s="457">
        <f t="shared" ref="S75:S84" si="271">M75*DB</f>
        <v>0</v>
      </c>
      <c r="T75" s="457">
        <f t="shared" ref="T75:T84" si="272">M75*DZ</f>
        <v>0</v>
      </c>
      <c r="U75" s="457">
        <f t="shared" ref="U75:U84" si="273">M75*KommSt</f>
        <v>0</v>
      </c>
      <c r="V75" s="457">
        <f>'Kalkulation Herstellungskosten'!C171*U_Bahn</f>
        <v>0</v>
      </c>
      <c r="W75" s="449">
        <f>SUM(N75:V75)</f>
        <v>0</v>
      </c>
      <c r="X75" s="449">
        <f>SUM(M75,W75)</f>
        <v>0</v>
      </c>
      <c r="Y75" s="448"/>
      <c r="Z75" s="448"/>
      <c r="AA75" s="448"/>
      <c r="AB75" s="448"/>
      <c r="AC75" s="448"/>
      <c r="AD75" s="448"/>
      <c r="AE75" s="448"/>
      <c r="AF75" s="448"/>
      <c r="AG75" s="448"/>
      <c r="AH75" s="448"/>
      <c r="AI75" s="448"/>
      <c r="AJ75" s="448"/>
      <c r="AK75" s="448"/>
      <c r="AL75" s="448"/>
      <c r="AM75" s="448"/>
      <c r="AN75" s="448"/>
      <c r="AO75" s="448"/>
      <c r="AP75" s="448"/>
      <c r="AQ75" s="448"/>
      <c r="AR75" s="448"/>
      <c r="AS75" s="448"/>
      <c r="AT75" s="448"/>
      <c r="AU75" s="448"/>
      <c r="AV75" s="448"/>
      <c r="AW75" s="448"/>
      <c r="AX75" s="448"/>
      <c r="AY75" s="448"/>
      <c r="AZ75" s="448"/>
      <c r="BA75" s="448"/>
    </row>
    <row r="76" spans="1:53" ht="12.75" customHeight="1" x14ac:dyDescent="0.2">
      <c r="A76" s="484" t="str">
        <f>'Kalkulation Herstellungskosten'!B172</f>
        <v>Green Runner</v>
      </c>
      <c r="B76" s="711"/>
      <c r="C76" s="897"/>
      <c r="D76" s="714"/>
      <c r="E76" s="714"/>
      <c r="F76" s="482">
        <f t="shared" si="266"/>
        <v>0</v>
      </c>
      <c r="G76" s="899"/>
      <c r="H76" s="480">
        <f t="shared" ref="H76:H84" si="274">F76*G76</f>
        <v>0</v>
      </c>
      <c r="I76" s="477"/>
      <c r="J76" s="456">
        <f>'Kalkulation Herstellungskosten'!F172/((1+1/6)*1.1041)</f>
        <v>0</v>
      </c>
      <c r="K76" s="457">
        <f t="shared" ref="K76:K84" si="275">J76/6</f>
        <v>0</v>
      </c>
      <c r="L76" s="457">
        <f t="shared" ref="L76:L84" si="276">(J76+K76)*10.41%</f>
        <v>0</v>
      </c>
      <c r="M76" s="449">
        <f t="shared" ref="M76:M84" si="277">SUM(J76:L76)</f>
        <v>0</v>
      </c>
      <c r="N76" s="457">
        <f>IF('Kalkulation Herstellungskosten'!C172=0,0,IF(J76/'Kalkulation Herstellungskosten'!C172&gt;SVGrund_lfd_wö,'Kalkulation Herstellungskosten'!C172*Höchst_Woche,J76*SV_lfd))</f>
        <v>0</v>
      </c>
      <c r="O76" s="457">
        <f t="shared" si="268"/>
        <v>0</v>
      </c>
      <c r="P76" s="457">
        <f>IF(J76*10.41%&gt;(0.5833*'Kalkulation Herstellungskosten'!C172*SVGrund_lfd_tä),(0.5833*'Kalkulation Herstellungskosten'!C172*Höchst_Tag),J76*10.41%*SV_lfd)</f>
        <v>0</v>
      </c>
      <c r="Q76" s="457">
        <f t="shared" si="269"/>
        <v>0</v>
      </c>
      <c r="R76" s="457">
        <f t="shared" si="270"/>
        <v>0</v>
      </c>
      <c r="S76" s="457">
        <f t="shared" si="271"/>
        <v>0</v>
      </c>
      <c r="T76" s="457">
        <f t="shared" si="272"/>
        <v>0</v>
      </c>
      <c r="U76" s="457">
        <f t="shared" si="273"/>
        <v>0</v>
      </c>
      <c r="V76" s="457">
        <f>'Kalkulation Herstellungskosten'!C172*U_Bahn</f>
        <v>0</v>
      </c>
      <c r="W76" s="449">
        <f t="shared" ref="W76:W84" si="278">SUM(N76:V76)</f>
        <v>0</v>
      </c>
      <c r="X76" s="449">
        <f t="shared" ref="X76:X95" si="279">SUM(M76,W76)</f>
        <v>0</v>
      </c>
      <c r="Y76" s="448"/>
      <c r="Z76" s="448"/>
      <c r="AA76" s="448"/>
      <c r="AB76" s="448"/>
      <c r="AC76" s="448"/>
      <c r="AD76" s="448"/>
      <c r="AE76" s="448"/>
      <c r="AF76" s="448"/>
      <c r="AG76" s="448"/>
      <c r="AH76" s="448"/>
      <c r="AI76" s="448"/>
      <c r="AJ76" s="448"/>
      <c r="AK76" s="448"/>
      <c r="AL76" s="448"/>
      <c r="AM76" s="448"/>
      <c r="AN76" s="448"/>
      <c r="AO76" s="448"/>
      <c r="AP76" s="448"/>
      <c r="AQ76" s="448"/>
      <c r="AR76" s="448"/>
      <c r="AS76" s="448"/>
      <c r="AT76" s="448"/>
      <c r="AU76" s="448"/>
      <c r="AV76" s="448"/>
      <c r="AW76" s="448"/>
      <c r="AX76" s="448"/>
      <c r="AY76" s="448"/>
      <c r="AZ76" s="448"/>
      <c r="BA76" s="448"/>
    </row>
    <row r="77" spans="1:53" ht="12.75" customHeight="1" x14ac:dyDescent="0.2">
      <c r="A77" s="484">
        <f>'Kalkulation Herstellungskosten'!B173</f>
        <v>0</v>
      </c>
      <c r="B77" s="711"/>
      <c r="C77" s="897"/>
      <c r="D77" s="714"/>
      <c r="E77" s="714"/>
      <c r="F77" s="482">
        <f t="shared" si="266"/>
        <v>0</v>
      </c>
      <c r="G77" s="899"/>
      <c r="H77" s="480">
        <f t="shared" si="274"/>
        <v>0</v>
      </c>
      <c r="I77" s="477"/>
      <c r="J77" s="456">
        <f>'Kalkulation Herstellungskosten'!F173/((1+1/6)*1.1041)</f>
        <v>0</v>
      </c>
      <c r="K77" s="457">
        <f t="shared" si="275"/>
        <v>0</v>
      </c>
      <c r="L77" s="457">
        <f t="shared" si="276"/>
        <v>0</v>
      </c>
      <c r="M77" s="449">
        <f t="shared" si="277"/>
        <v>0</v>
      </c>
      <c r="N77" s="457">
        <f>IF('Kalkulation Herstellungskosten'!C173=0,0,IF(J77/'Kalkulation Herstellungskosten'!C173&gt;SVGrund_lfd_wö,'Kalkulation Herstellungskosten'!C173*Höchst_Woche,J77*SV_lfd))</f>
        <v>0</v>
      </c>
      <c r="O77" s="457">
        <f t="shared" si="268"/>
        <v>0</v>
      </c>
      <c r="P77" s="457">
        <f>IF(J77*10.41%&gt;(0.5833*'Kalkulation Herstellungskosten'!C173*SVGrund_lfd_tä),(0.5833*'Kalkulation Herstellungskosten'!C173*Höchst_Tag),J77*10.41%*SV_lfd)</f>
        <v>0</v>
      </c>
      <c r="Q77" s="457">
        <f t="shared" si="269"/>
        <v>0</v>
      </c>
      <c r="R77" s="457">
        <f t="shared" si="270"/>
        <v>0</v>
      </c>
      <c r="S77" s="457">
        <f t="shared" si="271"/>
        <v>0</v>
      </c>
      <c r="T77" s="457">
        <f t="shared" si="272"/>
        <v>0</v>
      </c>
      <c r="U77" s="457">
        <f t="shared" si="273"/>
        <v>0</v>
      </c>
      <c r="V77" s="457">
        <f>'Kalkulation Herstellungskosten'!C173*U_Bahn</f>
        <v>0</v>
      </c>
      <c r="W77" s="449">
        <f t="shared" si="278"/>
        <v>0</v>
      </c>
      <c r="X77" s="449">
        <f t="shared" si="279"/>
        <v>0</v>
      </c>
      <c r="Y77" s="448"/>
      <c r="Z77" s="448"/>
      <c r="AA77" s="448"/>
      <c r="AB77" s="448"/>
      <c r="AC77" s="448"/>
      <c r="AD77" s="448"/>
      <c r="AE77" s="448"/>
      <c r="AF77" s="448"/>
      <c r="AG77" s="448"/>
      <c r="AH77" s="448"/>
      <c r="AI77" s="448"/>
      <c r="AJ77" s="448"/>
      <c r="AK77" s="448"/>
      <c r="AL77" s="448"/>
      <c r="AM77" s="448"/>
      <c r="AN77" s="448"/>
      <c r="AO77" s="448"/>
      <c r="AP77" s="448"/>
      <c r="AQ77" s="448"/>
      <c r="AR77" s="448"/>
      <c r="AS77" s="448"/>
      <c r="AT77" s="448"/>
      <c r="AU77" s="448"/>
      <c r="AV77" s="448"/>
      <c r="AW77" s="448"/>
      <c r="AX77" s="448"/>
      <c r="AY77" s="448"/>
      <c r="AZ77" s="448"/>
      <c r="BA77" s="448"/>
    </row>
    <row r="78" spans="1:53" ht="12.75" customHeight="1" x14ac:dyDescent="0.2">
      <c r="A78" s="484">
        <f>'Kalkulation Herstellungskosten'!B174</f>
        <v>0</v>
      </c>
      <c r="B78" s="711"/>
      <c r="C78" s="897"/>
      <c r="D78" s="714"/>
      <c r="E78" s="714"/>
      <c r="F78" s="482">
        <f t="shared" si="266"/>
        <v>0</v>
      </c>
      <c r="G78" s="899"/>
      <c r="H78" s="480">
        <f t="shared" si="274"/>
        <v>0</v>
      </c>
      <c r="I78" s="477"/>
      <c r="J78" s="456">
        <f>'Kalkulation Herstellungskosten'!F174/((1+1/6)*1.1041)</f>
        <v>0</v>
      </c>
      <c r="K78" s="457">
        <f t="shared" si="275"/>
        <v>0</v>
      </c>
      <c r="L78" s="457">
        <f t="shared" si="276"/>
        <v>0</v>
      </c>
      <c r="M78" s="449">
        <f t="shared" si="277"/>
        <v>0</v>
      </c>
      <c r="N78" s="457">
        <f>IF('Kalkulation Herstellungskosten'!C174=0,0,IF(J78/'Kalkulation Herstellungskosten'!C174&gt;SVGrund_lfd_wö,'Kalkulation Herstellungskosten'!C174*Höchst_Woche,J78*SV_lfd))</f>
        <v>0</v>
      </c>
      <c r="O78" s="457">
        <f t="shared" si="268"/>
        <v>0</v>
      </c>
      <c r="P78" s="457">
        <f>IF(J78*10.41%&gt;(0.5833*'Kalkulation Herstellungskosten'!C174*SVGrund_lfd_tä),(0.5833*'Kalkulation Herstellungskosten'!C174*Höchst_Tag),J78*10.41%*SV_lfd)</f>
        <v>0</v>
      </c>
      <c r="Q78" s="457">
        <f t="shared" si="269"/>
        <v>0</v>
      </c>
      <c r="R78" s="457">
        <f t="shared" si="270"/>
        <v>0</v>
      </c>
      <c r="S78" s="457">
        <f t="shared" si="271"/>
        <v>0</v>
      </c>
      <c r="T78" s="457">
        <f t="shared" si="272"/>
        <v>0</v>
      </c>
      <c r="U78" s="457">
        <f t="shared" si="273"/>
        <v>0</v>
      </c>
      <c r="V78" s="457">
        <f>'Kalkulation Herstellungskosten'!C174*U_Bahn</f>
        <v>0</v>
      </c>
      <c r="W78" s="449">
        <f t="shared" si="278"/>
        <v>0</v>
      </c>
      <c r="X78" s="449">
        <f t="shared" si="279"/>
        <v>0</v>
      </c>
      <c r="Y78" s="448"/>
      <c r="Z78" s="448"/>
      <c r="AA78" s="448"/>
      <c r="AB78" s="448"/>
      <c r="AC78" s="448"/>
      <c r="AD78" s="448"/>
      <c r="AE78" s="448"/>
      <c r="AF78" s="448"/>
      <c r="AG78" s="448"/>
      <c r="AH78" s="448"/>
      <c r="AI78" s="448"/>
      <c r="AJ78" s="448"/>
      <c r="AK78" s="448"/>
      <c r="AL78" s="448"/>
      <c r="AM78" s="448"/>
      <c r="AN78" s="448"/>
      <c r="AO78" s="448"/>
      <c r="AP78" s="448"/>
      <c r="AQ78" s="448"/>
      <c r="AR78" s="448"/>
      <c r="AS78" s="448"/>
      <c r="AT78" s="448"/>
      <c r="AU78" s="448"/>
      <c r="AV78" s="448"/>
      <c r="AW78" s="448"/>
      <c r="AX78" s="448"/>
      <c r="AY78" s="448"/>
      <c r="AZ78" s="448"/>
      <c r="BA78" s="448"/>
    </row>
    <row r="79" spans="1:53" ht="12.75" customHeight="1" x14ac:dyDescent="0.2">
      <c r="A79" s="484">
        <f>'Kalkulation Herstellungskosten'!B175</f>
        <v>0</v>
      </c>
      <c r="B79" s="711"/>
      <c r="C79" s="897"/>
      <c r="D79" s="714"/>
      <c r="E79" s="714"/>
      <c r="F79" s="482">
        <f t="shared" si="266"/>
        <v>0</v>
      </c>
      <c r="G79" s="899"/>
      <c r="H79" s="480">
        <f t="shared" si="274"/>
        <v>0</v>
      </c>
      <c r="I79" s="477"/>
      <c r="J79" s="456">
        <f>'Kalkulation Herstellungskosten'!F175/((1+1/6)*1.1041)</f>
        <v>0</v>
      </c>
      <c r="K79" s="457">
        <f t="shared" si="275"/>
        <v>0</v>
      </c>
      <c r="L79" s="457">
        <f t="shared" si="276"/>
        <v>0</v>
      </c>
      <c r="M79" s="449">
        <f t="shared" si="277"/>
        <v>0</v>
      </c>
      <c r="N79" s="457">
        <f>IF('Kalkulation Herstellungskosten'!C175=0,0,IF(J79/'Kalkulation Herstellungskosten'!C175&gt;SVGrund_lfd_wö,'Kalkulation Herstellungskosten'!C175*Höchst_Woche,J79*SV_lfd))</f>
        <v>0</v>
      </c>
      <c r="O79" s="457">
        <f t="shared" si="268"/>
        <v>0</v>
      </c>
      <c r="P79" s="457">
        <f>IF(J79*10.41%&gt;(0.5833*'Kalkulation Herstellungskosten'!C175*SVGrund_lfd_tä),(0.5833*'Kalkulation Herstellungskosten'!C175*Höchst_Tag),J79*10.41%*SV_lfd)</f>
        <v>0</v>
      </c>
      <c r="Q79" s="457">
        <f t="shared" si="269"/>
        <v>0</v>
      </c>
      <c r="R79" s="457">
        <f t="shared" si="270"/>
        <v>0</v>
      </c>
      <c r="S79" s="457">
        <f t="shared" si="271"/>
        <v>0</v>
      </c>
      <c r="T79" s="457">
        <f t="shared" si="272"/>
        <v>0</v>
      </c>
      <c r="U79" s="457">
        <f t="shared" si="273"/>
        <v>0</v>
      </c>
      <c r="V79" s="457">
        <f>'Kalkulation Herstellungskosten'!C175*U_Bahn</f>
        <v>0</v>
      </c>
      <c r="W79" s="449">
        <f t="shared" si="278"/>
        <v>0</v>
      </c>
      <c r="X79" s="449">
        <f t="shared" si="279"/>
        <v>0</v>
      </c>
      <c r="Y79" s="448"/>
      <c r="Z79" s="448"/>
      <c r="AA79" s="448"/>
      <c r="AB79" s="448"/>
      <c r="AC79" s="448"/>
      <c r="AD79" s="448"/>
      <c r="AE79" s="448"/>
      <c r="AF79" s="448"/>
      <c r="AG79" s="448"/>
      <c r="AH79" s="448"/>
      <c r="AI79" s="448"/>
      <c r="AJ79" s="448"/>
      <c r="AK79" s="448"/>
      <c r="AL79" s="448"/>
      <c r="AM79" s="448"/>
      <c r="AN79" s="448"/>
      <c r="AO79" s="448"/>
      <c r="AP79" s="448"/>
      <c r="AQ79" s="448"/>
      <c r="AR79" s="448"/>
      <c r="AS79" s="448"/>
      <c r="AT79" s="448"/>
      <c r="AU79" s="448"/>
      <c r="AV79" s="448"/>
      <c r="AW79" s="448"/>
      <c r="AX79" s="448"/>
      <c r="AY79" s="448"/>
      <c r="AZ79" s="448"/>
      <c r="BA79" s="448"/>
    </row>
    <row r="80" spans="1:53" ht="12.75" customHeight="1" x14ac:dyDescent="0.2">
      <c r="A80" s="484">
        <f>'Kalkulation Herstellungskosten'!B176</f>
        <v>0</v>
      </c>
      <c r="B80" s="711"/>
      <c r="C80" s="897"/>
      <c r="D80" s="714"/>
      <c r="E80" s="714"/>
      <c r="F80" s="482">
        <f t="shared" si="266"/>
        <v>0</v>
      </c>
      <c r="G80" s="899"/>
      <c r="H80" s="480">
        <f t="shared" si="274"/>
        <v>0</v>
      </c>
      <c r="I80" s="477"/>
      <c r="J80" s="456">
        <f>'Kalkulation Herstellungskosten'!F176/((1+1/6)*1.1041)</f>
        <v>0</v>
      </c>
      <c r="K80" s="457">
        <f t="shared" si="275"/>
        <v>0</v>
      </c>
      <c r="L80" s="457">
        <f t="shared" si="276"/>
        <v>0</v>
      </c>
      <c r="M80" s="449">
        <f t="shared" si="277"/>
        <v>0</v>
      </c>
      <c r="N80" s="457">
        <f>IF('Kalkulation Herstellungskosten'!C176=0,0,IF(J80/'Kalkulation Herstellungskosten'!C176&gt;SVGrund_lfd_wö,'Kalkulation Herstellungskosten'!C176*Höchst_Woche,J80*SV_lfd))</f>
        <v>0</v>
      </c>
      <c r="O80" s="457">
        <f t="shared" si="268"/>
        <v>0</v>
      </c>
      <c r="P80" s="457">
        <f>IF(J80*10.41%&gt;(0.5833*'Kalkulation Herstellungskosten'!C176*SVGrund_lfd_tä),(0.5833*'Kalkulation Herstellungskosten'!C176*Höchst_Tag),J80*10.41%*SV_lfd)</f>
        <v>0</v>
      </c>
      <c r="Q80" s="457">
        <f t="shared" si="269"/>
        <v>0</v>
      </c>
      <c r="R80" s="457">
        <f t="shared" si="270"/>
        <v>0</v>
      </c>
      <c r="S80" s="457">
        <f t="shared" si="271"/>
        <v>0</v>
      </c>
      <c r="T80" s="457">
        <f t="shared" si="272"/>
        <v>0</v>
      </c>
      <c r="U80" s="457">
        <f t="shared" si="273"/>
        <v>0</v>
      </c>
      <c r="V80" s="457">
        <f>'Kalkulation Herstellungskosten'!C176*U_Bahn</f>
        <v>0</v>
      </c>
      <c r="W80" s="449">
        <f t="shared" si="278"/>
        <v>0</v>
      </c>
      <c r="X80" s="449">
        <f t="shared" si="279"/>
        <v>0</v>
      </c>
      <c r="Y80" s="448"/>
      <c r="Z80" s="448"/>
      <c r="AA80" s="448"/>
      <c r="AB80" s="448"/>
      <c r="AC80" s="448"/>
      <c r="AD80" s="448"/>
      <c r="AE80" s="448"/>
      <c r="AF80" s="448"/>
      <c r="AG80" s="448"/>
      <c r="AH80" s="448"/>
      <c r="AI80" s="448"/>
      <c r="AJ80" s="448"/>
      <c r="AK80" s="448"/>
      <c r="AL80" s="448"/>
      <c r="AM80" s="448"/>
      <c r="AN80" s="448"/>
      <c r="AO80" s="448"/>
      <c r="AP80" s="448"/>
      <c r="AQ80" s="448"/>
      <c r="AR80" s="448"/>
      <c r="AS80" s="448"/>
      <c r="AT80" s="448"/>
      <c r="AU80" s="448"/>
      <c r="AV80" s="448"/>
      <c r="AW80" s="448"/>
      <c r="AX80" s="448"/>
      <c r="AY80" s="448"/>
      <c r="AZ80" s="448"/>
      <c r="BA80" s="448"/>
    </row>
    <row r="81" spans="1:53" ht="12.75" customHeight="1" x14ac:dyDescent="0.2">
      <c r="A81" s="484">
        <f>'Kalkulation Herstellungskosten'!B177</f>
        <v>0</v>
      </c>
      <c r="B81" s="711"/>
      <c r="C81" s="897"/>
      <c r="D81" s="714"/>
      <c r="E81" s="714"/>
      <c r="F81" s="482">
        <f t="shared" si="266"/>
        <v>0</v>
      </c>
      <c r="G81" s="899"/>
      <c r="H81" s="480">
        <f t="shared" si="274"/>
        <v>0</v>
      </c>
      <c r="I81" s="477"/>
      <c r="J81" s="456">
        <f>'Kalkulation Herstellungskosten'!F177/((1+1/6)*1.1041)</f>
        <v>0</v>
      </c>
      <c r="K81" s="457">
        <f t="shared" si="275"/>
        <v>0</v>
      </c>
      <c r="L81" s="457">
        <f t="shared" si="276"/>
        <v>0</v>
      </c>
      <c r="M81" s="449">
        <f t="shared" si="277"/>
        <v>0</v>
      </c>
      <c r="N81" s="457">
        <f>IF('Kalkulation Herstellungskosten'!C177=0,0,IF(J81/'Kalkulation Herstellungskosten'!C177&gt;SVGrund_lfd_wö,'Kalkulation Herstellungskosten'!C177*Höchst_Woche,J81*SV_lfd))</f>
        <v>0</v>
      </c>
      <c r="O81" s="457">
        <f t="shared" si="268"/>
        <v>0</v>
      </c>
      <c r="P81" s="457">
        <f>IF(J81*10.41%&gt;(0.5833*'Kalkulation Herstellungskosten'!C177*SVGrund_lfd_tä),(0.5833*'Kalkulation Herstellungskosten'!C177*Höchst_Tag),J81*10.41%*SV_lfd)</f>
        <v>0</v>
      </c>
      <c r="Q81" s="457">
        <f t="shared" si="269"/>
        <v>0</v>
      </c>
      <c r="R81" s="457">
        <f t="shared" si="270"/>
        <v>0</v>
      </c>
      <c r="S81" s="457">
        <f t="shared" si="271"/>
        <v>0</v>
      </c>
      <c r="T81" s="457">
        <f t="shared" si="272"/>
        <v>0</v>
      </c>
      <c r="U81" s="457">
        <f t="shared" si="273"/>
        <v>0</v>
      </c>
      <c r="V81" s="457">
        <f>'Kalkulation Herstellungskosten'!C177*U_Bahn</f>
        <v>0</v>
      </c>
      <c r="W81" s="449">
        <f t="shared" si="278"/>
        <v>0</v>
      </c>
      <c r="X81" s="449">
        <f t="shared" si="279"/>
        <v>0</v>
      </c>
      <c r="Y81" s="448"/>
      <c r="Z81" s="448"/>
      <c r="AA81" s="448"/>
      <c r="AB81" s="448"/>
      <c r="AC81" s="448"/>
      <c r="AD81" s="448"/>
      <c r="AE81" s="448"/>
      <c r="AF81" s="448"/>
      <c r="AG81" s="448"/>
      <c r="AH81" s="448"/>
      <c r="AI81" s="448"/>
      <c r="AJ81" s="448"/>
      <c r="AK81" s="448"/>
      <c r="AL81" s="448"/>
      <c r="AM81" s="448"/>
      <c r="AN81" s="448"/>
      <c r="AO81" s="448"/>
      <c r="AP81" s="448"/>
      <c r="AQ81" s="448"/>
      <c r="AR81" s="448"/>
      <c r="AS81" s="448"/>
      <c r="AT81" s="448"/>
      <c r="AU81" s="448"/>
      <c r="AV81" s="448"/>
      <c r="AW81" s="448"/>
      <c r="AX81" s="448"/>
      <c r="AY81" s="448"/>
      <c r="AZ81" s="448"/>
      <c r="BA81" s="448"/>
    </row>
    <row r="82" spans="1:53" ht="12.75" customHeight="1" x14ac:dyDescent="0.2">
      <c r="A82" s="484">
        <f>'Kalkulation Herstellungskosten'!B178</f>
        <v>0</v>
      </c>
      <c r="B82" s="711"/>
      <c r="C82" s="897"/>
      <c r="D82" s="714"/>
      <c r="E82" s="714"/>
      <c r="F82" s="482">
        <f t="shared" si="266"/>
        <v>0</v>
      </c>
      <c r="G82" s="899"/>
      <c r="H82" s="480">
        <f t="shared" si="274"/>
        <v>0</v>
      </c>
      <c r="I82" s="477"/>
      <c r="J82" s="456">
        <f>'Kalkulation Herstellungskosten'!F178/((1+1/6)*1.1041)</f>
        <v>0</v>
      </c>
      <c r="K82" s="457">
        <f t="shared" si="275"/>
        <v>0</v>
      </c>
      <c r="L82" s="457">
        <f t="shared" si="276"/>
        <v>0</v>
      </c>
      <c r="M82" s="449">
        <f t="shared" si="277"/>
        <v>0</v>
      </c>
      <c r="N82" s="457">
        <f>IF('Kalkulation Herstellungskosten'!C178=0,0,IF(J82/'Kalkulation Herstellungskosten'!C178&gt;SVGrund_lfd_wö,'Kalkulation Herstellungskosten'!C178*Höchst_Woche,J82*SV_lfd))</f>
        <v>0</v>
      </c>
      <c r="O82" s="457">
        <f t="shared" si="268"/>
        <v>0</v>
      </c>
      <c r="P82" s="457">
        <f>IF(J82*10.41%&gt;(0.5833*'Kalkulation Herstellungskosten'!C178*SVGrund_lfd_tä),(0.5833*'Kalkulation Herstellungskosten'!C178*Höchst_Tag),J82*10.41%*SV_lfd)</f>
        <v>0</v>
      </c>
      <c r="Q82" s="457">
        <f t="shared" si="269"/>
        <v>0</v>
      </c>
      <c r="R82" s="457">
        <f t="shared" si="270"/>
        <v>0</v>
      </c>
      <c r="S82" s="457">
        <f t="shared" si="271"/>
        <v>0</v>
      </c>
      <c r="T82" s="457">
        <f t="shared" si="272"/>
        <v>0</v>
      </c>
      <c r="U82" s="457">
        <f t="shared" si="273"/>
        <v>0</v>
      </c>
      <c r="V82" s="457">
        <f>'Kalkulation Herstellungskosten'!C178*U_Bahn</f>
        <v>0</v>
      </c>
      <c r="W82" s="449">
        <f t="shared" si="278"/>
        <v>0</v>
      </c>
      <c r="X82" s="449">
        <f t="shared" si="279"/>
        <v>0</v>
      </c>
      <c r="Y82" s="448"/>
      <c r="Z82" s="448"/>
      <c r="AA82" s="448"/>
      <c r="AB82" s="448"/>
      <c r="AC82" s="448"/>
      <c r="AD82" s="448"/>
      <c r="AE82" s="448"/>
      <c r="AF82" s="448"/>
      <c r="AG82" s="448"/>
      <c r="AH82" s="448"/>
      <c r="AI82" s="448"/>
      <c r="AJ82" s="448"/>
      <c r="AK82" s="448"/>
      <c r="AL82" s="448"/>
      <c r="AM82" s="448"/>
      <c r="AN82" s="448"/>
      <c r="AO82" s="448"/>
      <c r="AP82" s="448"/>
      <c r="AQ82" s="448"/>
      <c r="AR82" s="448"/>
      <c r="AS82" s="448"/>
      <c r="AT82" s="448"/>
      <c r="AU82" s="448"/>
      <c r="AV82" s="448"/>
      <c r="AW82" s="448"/>
      <c r="AX82" s="448"/>
      <c r="AY82" s="448"/>
      <c r="AZ82" s="448"/>
      <c r="BA82" s="448"/>
    </row>
    <row r="83" spans="1:53" ht="12.75" customHeight="1" x14ac:dyDescent="0.2">
      <c r="A83" s="484">
        <f>'Kalkulation Herstellungskosten'!B179</f>
        <v>0</v>
      </c>
      <c r="B83" s="711"/>
      <c r="C83" s="897"/>
      <c r="D83" s="714"/>
      <c r="E83" s="714"/>
      <c r="F83" s="482">
        <f t="shared" si="266"/>
        <v>0</v>
      </c>
      <c r="G83" s="899"/>
      <c r="H83" s="480">
        <f t="shared" si="274"/>
        <v>0</v>
      </c>
      <c r="I83" s="477"/>
      <c r="J83" s="456">
        <f>'Kalkulation Herstellungskosten'!F179/((1+1/6)*1.1041)</f>
        <v>0</v>
      </c>
      <c r="K83" s="457">
        <f t="shared" si="275"/>
        <v>0</v>
      </c>
      <c r="L83" s="457">
        <f t="shared" si="276"/>
        <v>0</v>
      </c>
      <c r="M83" s="449">
        <f t="shared" si="277"/>
        <v>0</v>
      </c>
      <c r="N83" s="457">
        <f>IF('Kalkulation Herstellungskosten'!C179=0,0,IF(J83/'Kalkulation Herstellungskosten'!C179&gt;SVGrund_lfd_wö,'Kalkulation Herstellungskosten'!C179*Höchst_Woche,J83*SV_lfd))</f>
        <v>0</v>
      </c>
      <c r="O83" s="457">
        <f t="shared" si="268"/>
        <v>0</v>
      </c>
      <c r="P83" s="457">
        <f>IF(J83*10.41%&gt;(0.5833*'Kalkulation Herstellungskosten'!C179*SVGrund_lfd_tä),(0.5833*'Kalkulation Herstellungskosten'!C179*Höchst_Tag),J83*10.41%*SV_lfd)</f>
        <v>0</v>
      </c>
      <c r="Q83" s="457">
        <f t="shared" si="269"/>
        <v>0</v>
      </c>
      <c r="R83" s="457">
        <f t="shared" si="270"/>
        <v>0</v>
      </c>
      <c r="S83" s="457">
        <f t="shared" si="271"/>
        <v>0</v>
      </c>
      <c r="T83" s="457">
        <f t="shared" si="272"/>
        <v>0</v>
      </c>
      <c r="U83" s="457">
        <f t="shared" si="273"/>
        <v>0</v>
      </c>
      <c r="V83" s="457">
        <f>'Kalkulation Herstellungskosten'!C179*U_Bahn</f>
        <v>0</v>
      </c>
      <c r="W83" s="449">
        <f t="shared" si="278"/>
        <v>0</v>
      </c>
      <c r="X83" s="449">
        <f t="shared" si="279"/>
        <v>0</v>
      </c>
      <c r="Y83" s="448"/>
      <c r="Z83" s="448"/>
      <c r="AA83" s="448"/>
      <c r="AB83" s="448"/>
      <c r="AC83" s="448"/>
      <c r="AD83" s="448"/>
      <c r="AE83" s="448"/>
      <c r="AF83" s="448"/>
      <c r="AG83" s="448"/>
      <c r="AH83" s="448"/>
      <c r="AI83" s="448"/>
      <c r="AJ83" s="448"/>
      <c r="AK83" s="448"/>
      <c r="AL83" s="448"/>
      <c r="AM83" s="448"/>
      <c r="AN83" s="448"/>
      <c r="AO83" s="448"/>
      <c r="AP83" s="448"/>
      <c r="AQ83" s="448"/>
      <c r="AR83" s="448"/>
      <c r="AS83" s="448"/>
      <c r="AT83" s="448"/>
      <c r="AU83" s="448"/>
      <c r="AV83" s="448"/>
      <c r="AW83" s="448"/>
      <c r="AX83" s="448"/>
      <c r="AY83" s="448"/>
      <c r="AZ83" s="448"/>
      <c r="BA83" s="448"/>
    </row>
    <row r="84" spans="1:53" ht="12.75" customHeight="1" x14ac:dyDescent="0.2">
      <c r="A84" s="484">
        <f>'Kalkulation Herstellungskosten'!B180</f>
        <v>0</v>
      </c>
      <c r="B84" s="711"/>
      <c r="C84" s="897"/>
      <c r="D84" s="714"/>
      <c r="E84" s="714"/>
      <c r="F84" s="482">
        <f t="shared" si="266"/>
        <v>0</v>
      </c>
      <c r="G84" s="899"/>
      <c r="H84" s="480">
        <f t="shared" si="274"/>
        <v>0</v>
      </c>
      <c r="I84" s="477"/>
      <c r="J84" s="456">
        <f>'Kalkulation Herstellungskosten'!F180/((1+1/6)*1.1041)</f>
        <v>0</v>
      </c>
      <c r="K84" s="457">
        <f t="shared" si="275"/>
        <v>0</v>
      </c>
      <c r="L84" s="457">
        <f t="shared" si="276"/>
        <v>0</v>
      </c>
      <c r="M84" s="449">
        <f t="shared" si="277"/>
        <v>0</v>
      </c>
      <c r="N84" s="457">
        <f>IF('Kalkulation Herstellungskosten'!C180=0,0,IF(J84/'Kalkulation Herstellungskosten'!C180&gt;SVGrund_lfd_wö,'Kalkulation Herstellungskosten'!C180*Höchst_Woche,J84*SV_lfd))</f>
        <v>0</v>
      </c>
      <c r="O84" s="457">
        <f t="shared" si="268"/>
        <v>0</v>
      </c>
      <c r="P84" s="457">
        <f>IF(J84*10.41%&gt;(0.5833*'Kalkulation Herstellungskosten'!C180*SVGrund_lfd_tä),(0.5833*'Kalkulation Herstellungskosten'!C180*Höchst_Tag),J84*10.41%*SV_lfd)</f>
        <v>0</v>
      </c>
      <c r="Q84" s="457">
        <f t="shared" si="269"/>
        <v>0</v>
      </c>
      <c r="R84" s="457">
        <f t="shared" si="270"/>
        <v>0</v>
      </c>
      <c r="S84" s="457">
        <f t="shared" si="271"/>
        <v>0</v>
      </c>
      <c r="T84" s="457">
        <f t="shared" si="272"/>
        <v>0</v>
      </c>
      <c r="U84" s="457">
        <f t="shared" si="273"/>
        <v>0</v>
      </c>
      <c r="V84" s="457">
        <f>'Kalkulation Herstellungskosten'!C180*U_Bahn</f>
        <v>0</v>
      </c>
      <c r="W84" s="449">
        <f t="shared" si="278"/>
        <v>0</v>
      </c>
      <c r="X84" s="449">
        <f t="shared" si="279"/>
        <v>0</v>
      </c>
      <c r="Y84" s="448"/>
      <c r="Z84" s="448"/>
      <c r="AA84" s="448"/>
      <c r="AB84" s="448"/>
      <c r="AC84" s="448"/>
      <c r="AD84" s="448"/>
      <c r="AE84" s="448"/>
      <c r="AF84" s="448"/>
      <c r="AG84" s="448"/>
      <c r="AH84" s="448"/>
      <c r="AI84" s="448"/>
      <c r="AJ84" s="448"/>
      <c r="AK84" s="448"/>
      <c r="AL84" s="448"/>
      <c r="AM84" s="448"/>
      <c r="AN84" s="448"/>
      <c r="AO84" s="448"/>
      <c r="AP84" s="448"/>
      <c r="AQ84" s="448"/>
      <c r="AR84" s="448"/>
      <c r="AS84" s="448"/>
      <c r="AT84" s="448"/>
      <c r="AU84" s="448"/>
      <c r="AV84" s="448"/>
      <c r="AW84" s="448"/>
      <c r="AX84" s="448"/>
      <c r="AY84" s="448"/>
      <c r="AZ84" s="448"/>
      <c r="BA84" s="448"/>
    </row>
    <row r="85" spans="1:53" ht="12.75" customHeight="1" x14ac:dyDescent="0.2">
      <c r="A85" s="484">
        <f>'Kalkulation Herstellungskosten'!B181</f>
        <v>0</v>
      </c>
      <c r="B85" s="711"/>
      <c r="C85" s="897"/>
      <c r="D85" s="714"/>
      <c r="E85" s="714"/>
      <c r="F85" s="482">
        <f t="shared" si="266"/>
        <v>0</v>
      </c>
      <c r="G85" s="899"/>
      <c r="H85" s="480">
        <f t="shared" ref="H85:H145" si="280">F85*G85</f>
        <v>0</v>
      </c>
      <c r="I85" s="477"/>
      <c r="J85" s="456">
        <f>'Kalkulation Herstellungskosten'!F181/((1+1/6)*1.1041)</f>
        <v>0</v>
      </c>
      <c r="K85" s="457">
        <f t="shared" ref="K85:K95" si="281">J85/6</f>
        <v>0</v>
      </c>
      <c r="L85" s="457">
        <f t="shared" ref="L85:L95" si="282">(J85+K85)*10.41%</f>
        <v>0</v>
      </c>
      <c r="M85" s="449">
        <f t="shared" ref="M85:M95" si="283">SUM(J85:L85)</f>
        <v>0</v>
      </c>
      <c r="N85" s="457">
        <f>IF('Kalkulation Herstellungskosten'!C181=0,0,IF(J85/'Kalkulation Herstellungskosten'!C181&gt;SVGrund_lfd_wö,'Kalkulation Herstellungskosten'!C181*Höchst_Woche,J85*SV_lfd))</f>
        <v>0</v>
      </c>
      <c r="O85" s="457">
        <f t="shared" ref="O85:O95" si="284">IF(K85&gt;SVGrund_SZ, Höchst_Mo_SZ,K85*SV_SZ)</f>
        <v>0</v>
      </c>
      <c r="P85" s="457">
        <f>IF(J85*10.41%&gt;(0.5833*'Kalkulation Herstellungskosten'!C181*SVGrund_lfd_tä),(0.5833*'Kalkulation Herstellungskosten'!C181*Höchst_Tag),J85*10.41%*SV_lfd)</f>
        <v>0</v>
      </c>
      <c r="Q85" s="457">
        <f t="shared" ref="Q85:Q95" si="285">IF(K85&gt;SVGrund_SZ,0,IF(K85*10.41%&gt;(SVGrund_SZ-K85),(SVGrund_SZ-K85)*SV_SZ,K85*10.41%*SV_SZ))</f>
        <v>0</v>
      </c>
      <c r="R85" s="457">
        <f t="shared" ref="R85:R95" si="286">M85*MV</f>
        <v>0</v>
      </c>
      <c r="S85" s="457">
        <f t="shared" ref="S85:S95" si="287">M85*DB</f>
        <v>0</v>
      </c>
      <c r="T85" s="457">
        <f t="shared" ref="T85:T95" si="288">M85*DZ</f>
        <v>0</v>
      </c>
      <c r="U85" s="457">
        <f t="shared" ref="U85:U95" si="289">M85*KommSt</f>
        <v>0</v>
      </c>
      <c r="V85" s="457">
        <f>'Kalkulation Herstellungskosten'!C181*U_Bahn</f>
        <v>0</v>
      </c>
      <c r="W85" s="449">
        <f t="shared" ref="W85:W95" si="290">SUM(N85:V85)</f>
        <v>0</v>
      </c>
      <c r="X85" s="449">
        <f t="shared" si="279"/>
        <v>0</v>
      </c>
      <c r="Y85" s="448"/>
      <c r="Z85" s="448"/>
      <c r="AA85" s="448"/>
      <c r="AB85" s="448"/>
      <c r="AC85" s="448"/>
      <c r="AD85" s="448"/>
      <c r="AE85" s="448"/>
      <c r="AF85" s="448"/>
      <c r="AG85" s="448"/>
      <c r="AH85" s="448"/>
      <c r="AI85" s="448"/>
      <c r="AJ85" s="448"/>
      <c r="AK85" s="448"/>
      <c r="AL85" s="448"/>
      <c r="AM85" s="448"/>
      <c r="AN85" s="448"/>
      <c r="AO85" s="448"/>
      <c r="AP85" s="448"/>
      <c r="AQ85" s="448"/>
      <c r="AR85" s="448"/>
      <c r="AS85" s="448"/>
      <c r="AT85" s="448"/>
      <c r="AU85" s="448"/>
      <c r="AV85" s="448"/>
      <c r="AW85" s="448"/>
      <c r="AX85" s="448"/>
      <c r="AY85" s="448"/>
      <c r="AZ85" s="448"/>
      <c r="BA85" s="448"/>
    </row>
    <row r="86" spans="1:53" ht="12.75" customHeight="1" x14ac:dyDescent="0.2">
      <c r="A86" s="484">
        <f>'Kalkulation Herstellungskosten'!B182</f>
        <v>0</v>
      </c>
      <c r="B86" s="711"/>
      <c r="C86" s="897"/>
      <c r="D86" s="714"/>
      <c r="E86" s="714"/>
      <c r="F86" s="482">
        <f t="shared" si="266"/>
        <v>0</v>
      </c>
      <c r="G86" s="899"/>
      <c r="H86" s="480">
        <f t="shared" si="280"/>
        <v>0</v>
      </c>
      <c r="I86" s="477"/>
      <c r="J86" s="456">
        <f>'Kalkulation Herstellungskosten'!F182/((1+1/6)*1.1041)</f>
        <v>0</v>
      </c>
      <c r="K86" s="457">
        <f t="shared" si="281"/>
        <v>0</v>
      </c>
      <c r="L86" s="457">
        <f t="shared" si="282"/>
        <v>0</v>
      </c>
      <c r="M86" s="449">
        <f t="shared" si="283"/>
        <v>0</v>
      </c>
      <c r="N86" s="457">
        <f>IF('Kalkulation Herstellungskosten'!C182=0,0,IF(J86/'Kalkulation Herstellungskosten'!C182&gt;SVGrund_lfd_wö,'Kalkulation Herstellungskosten'!C182*Höchst_Woche,J86*SV_lfd))</f>
        <v>0</v>
      </c>
      <c r="O86" s="457">
        <f t="shared" si="284"/>
        <v>0</v>
      </c>
      <c r="P86" s="457">
        <f>IF(J86*10.41%&gt;(0.5833*'Kalkulation Herstellungskosten'!C182*SVGrund_lfd_tä),(0.5833*'Kalkulation Herstellungskosten'!C182*Höchst_Tag),J86*10.41%*SV_lfd)</f>
        <v>0</v>
      </c>
      <c r="Q86" s="457">
        <f t="shared" si="285"/>
        <v>0</v>
      </c>
      <c r="R86" s="457">
        <f t="shared" si="286"/>
        <v>0</v>
      </c>
      <c r="S86" s="457">
        <f t="shared" si="287"/>
        <v>0</v>
      </c>
      <c r="T86" s="457">
        <f t="shared" si="288"/>
        <v>0</v>
      </c>
      <c r="U86" s="457">
        <f t="shared" si="289"/>
        <v>0</v>
      </c>
      <c r="V86" s="457">
        <f>'Kalkulation Herstellungskosten'!C182*U_Bahn</f>
        <v>0</v>
      </c>
      <c r="W86" s="449">
        <f t="shared" si="290"/>
        <v>0</v>
      </c>
      <c r="X86" s="449">
        <f t="shared" si="279"/>
        <v>0</v>
      </c>
      <c r="Y86" s="448"/>
      <c r="Z86" s="448"/>
      <c r="AA86" s="448"/>
      <c r="AB86" s="448"/>
      <c r="AC86" s="448"/>
      <c r="AD86" s="448"/>
      <c r="AE86" s="448"/>
      <c r="AF86" s="448"/>
      <c r="AG86" s="448"/>
      <c r="AH86" s="448"/>
      <c r="AI86" s="448"/>
      <c r="AJ86" s="448"/>
      <c r="AK86" s="448"/>
      <c r="AL86" s="448"/>
      <c r="AM86" s="448"/>
      <c r="AN86" s="448"/>
      <c r="AO86" s="448"/>
      <c r="AP86" s="448"/>
      <c r="AQ86" s="448"/>
      <c r="AR86" s="448"/>
      <c r="AS86" s="448"/>
      <c r="AT86" s="448"/>
      <c r="AU86" s="448"/>
      <c r="AV86" s="448"/>
      <c r="AW86" s="448"/>
      <c r="AX86" s="448"/>
      <c r="AY86" s="448"/>
      <c r="AZ86" s="448"/>
      <c r="BA86" s="448"/>
    </row>
    <row r="87" spans="1:53" ht="12.75" customHeight="1" x14ac:dyDescent="0.2">
      <c r="A87" s="484">
        <f>'Kalkulation Herstellungskosten'!B183</f>
        <v>0</v>
      </c>
      <c r="B87" s="711"/>
      <c r="C87" s="897"/>
      <c r="D87" s="714"/>
      <c r="E87" s="714"/>
      <c r="F87" s="482">
        <f t="shared" si="266"/>
        <v>0</v>
      </c>
      <c r="G87" s="899"/>
      <c r="H87" s="480">
        <f t="shared" si="280"/>
        <v>0</v>
      </c>
      <c r="I87" s="477"/>
      <c r="J87" s="456">
        <f>'Kalkulation Herstellungskosten'!F183/((1+1/6)*1.1041)</f>
        <v>0</v>
      </c>
      <c r="K87" s="457">
        <f t="shared" si="281"/>
        <v>0</v>
      </c>
      <c r="L87" s="457">
        <f t="shared" si="282"/>
        <v>0</v>
      </c>
      <c r="M87" s="449">
        <f t="shared" si="283"/>
        <v>0</v>
      </c>
      <c r="N87" s="457">
        <f>IF('Kalkulation Herstellungskosten'!C183=0,0,IF(J87/'Kalkulation Herstellungskosten'!C183&gt;SVGrund_lfd_wö,'Kalkulation Herstellungskosten'!C183*Höchst_Woche,J87*SV_lfd))</f>
        <v>0</v>
      </c>
      <c r="O87" s="457">
        <f t="shared" si="284"/>
        <v>0</v>
      </c>
      <c r="P87" s="457">
        <f>IF(J87*10.41%&gt;(0.5833*'Kalkulation Herstellungskosten'!C183*SVGrund_lfd_tä),(0.5833*'Kalkulation Herstellungskosten'!C183*Höchst_Tag),J87*10.41%*SV_lfd)</f>
        <v>0</v>
      </c>
      <c r="Q87" s="457">
        <f t="shared" si="285"/>
        <v>0</v>
      </c>
      <c r="R87" s="457">
        <f t="shared" si="286"/>
        <v>0</v>
      </c>
      <c r="S87" s="457">
        <f t="shared" si="287"/>
        <v>0</v>
      </c>
      <c r="T87" s="457">
        <f t="shared" si="288"/>
        <v>0</v>
      </c>
      <c r="U87" s="457">
        <f t="shared" si="289"/>
        <v>0</v>
      </c>
      <c r="V87" s="457">
        <f>'Kalkulation Herstellungskosten'!C183*U_Bahn</f>
        <v>0</v>
      </c>
      <c r="W87" s="449">
        <f t="shared" si="290"/>
        <v>0</v>
      </c>
      <c r="X87" s="449">
        <f t="shared" si="279"/>
        <v>0</v>
      </c>
      <c r="Y87" s="448"/>
      <c r="Z87" s="448"/>
      <c r="AA87" s="448"/>
      <c r="AB87" s="448"/>
      <c r="AC87" s="448"/>
      <c r="AD87" s="448"/>
      <c r="AE87" s="448"/>
      <c r="AF87" s="448"/>
      <c r="AG87" s="448"/>
      <c r="AH87" s="448"/>
      <c r="AI87" s="448"/>
      <c r="AJ87" s="448"/>
      <c r="AK87" s="448"/>
      <c r="AL87" s="448"/>
      <c r="AM87" s="448"/>
      <c r="AN87" s="448"/>
      <c r="AO87" s="448"/>
      <c r="AP87" s="448"/>
      <c r="AQ87" s="448"/>
      <c r="AR87" s="448"/>
      <c r="AS87" s="448"/>
      <c r="AT87" s="448"/>
      <c r="AU87" s="448"/>
      <c r="AV87" s="448"/>
      <c r="AW87" s="448"/>
      <c r="AX87" s="448"/>
      <c r="AY87" s="448"/>
      <c r="AZ87" s="448"/>
      <c r="BA87" s="448"/>
    </row>
    <row r="88" spans="1:53" ht="12.75" customHeight="1" x14ac:dyDescent="0.2">
      <c r="A88" s="484">
        <f>'Kalkulation Herstellungskosten'!B184</f>
        <v>0</v>
      </c>
      <c r="B88" s="711"/>
      <c r="C88" s="897"/>
      <c r="D88" s="714"/>
      <c r="E88" s="714"/>
      <c r="F88" s="482">
        <f t="shared" si="266"/>
        <v>0</v>
      </c>
      <c r="G88" s="899"/>
      <c r="H88" s="480">
        <f t="shared" si="280"/>
        <v>0</v>
      </c>
      <c r="I88" s="477"/>
      <c r="J88" s="456">
        <f>'Kalkulation Herstellungskosten'!F184/((1+1/6)*1.1041)</f>
        <v>0</v>
      </c>
      <c r="K88" s="457">
        <f t="shared" si="281"/>
        <v>0</v>
      </c>
      <c r="L88" s="457">
        <f t="shared" si="282"/>
        <v>0</v>
      </c>
      <c r="M88" s="449">
        <f t="shared" si="283"/>
        <v>0</v>
      </c>
      <c r="N88" s="457">
        <f>IF('Kalkulation Herstellungskosten'!C184=0,0,IF(J88/'Kalkulation Herstellungskosten'!C184&gt;SVGrund_lfd_wö,'Kalkulation Herstellungskosten'!C184*Höchst_Woche,J88*SV_lfd))</f>
        <v>0</v>
      </c>
      <c r="O88" s="457">
        <f t="shared" si="284"/>
        <v>0</v>
      </c>
      <c r="P88" s="457">
        <f>IF(J88*10.41%&gt;(0.5833*'Kalkulation Herstellungskosten'!C184*SVGrund_lfd_tä),(0.5833*'Kalkulation Herstellungskosten'!C184*Höchst_Tag),J88*10.41%*SV_lfd)</f>
        <v>0</v>
      </c>
      <c r="Q88" s="457">
        <f t="shared" si="285"/>
        <v>0</v>
      </c>
      <c r="R88" s="457">
        <f t="shared" si="286"/>
        <v>0</v>
      </c>
      <c r="S88" s="457">
        <f t="shared" si="287"/>
        <v>0</v>
      </c>
      <c r="T88" s="457">
        <f t="shared" si="288"/>
        <v>0</v>
      </c>
      <c r="U88" s="457">
        <f t="shared" si="289"/>
        <v>0</v>
      </c>
      <c r="V88" s="457">
        <f>'Kalkulation Herstellungskosten'!C184*U_Bahn</f>
        <v>0</v>
      </c>
      <c r="W88" s="449">
        <f t="shared" si="290"/>
        <v>0</v>
      </c>
      <c r="X88" s="449">
        <f t="shared" si="279"/>
        <v>0</v>
      </c>
      <c r="Y88" s="448"/>
      <c r="Z88" s="448"/>
      <c r="AA88" s="448"/>
      <c r="AB88" s="448"/>
      <c r="AC88" s="448"/>
      <c r="AD88" s="448"/>
      <c r="AE88" s="448"/>
      <c r="AF88" s="448"/>
      <c r="AG88" s="448"/>
      <c r="AH88" s="448"/>
      <c r="AI88" s="448"/>
      <c r="AJ88" s="448"/>
      <c r="AK88" s="448"/>
      <c r="AL88" s="448"/>
      <c r="AM88" s="448"/>
      <c r="AN88" s="448"/>
      <c r="AO88" s="448"/>
      <c r="AP88" s="448"/>
      <c r="AQ88" s="448"/>
      <c r="AR88" s="448"/>
      <c r="AS88" s="448"/>
      <c r="AT88" s="448"/>
      <c r="AU88" s="448"/>
      <c r="AV88" s="448"/>
      <c r="AW88" s="448"/>
      <c r="AX88" s="448"/>
      <c r="AY88" s="448"/>
      <c r="AZ88" s="448"/>
      <c r="BA88" s="448"/>
    </row>
    <row r="89" spans="1:53" ht="12.75" customHeight="1" x14ac:dyDescent="0.2">
      <c r="A89" s="484">
        <f>'Kalkulation Herstellungskosten'!B185</f>
        <v>0</v>
      </c>
      <c r="B89" s="711"/>
      <c r="C89" s="897"/>
      <c r="D89" s="714"/>
      <c r="E89" s="714"/>
      <c r="F89" s="482">
        <f t="shared" si="266"/>
        <v>0</v>
      </c>
      <c r="G89" s="899"/>
      <c r="H89" s="480">
        <f t="shared" si="280"/>
        <v>0</v>
      </c>
      <c r="I89" s="477"/>
      <c r="J89" s="456">
        <f>'Kalkulation Herstellungskosten'!F185/((1+1/6)*1.1041)</f>
        <v>0</v>
      </c>
      <c r="K89" s="457">
        <f t="shared" si="281"/>
        <v>0</v>
      </c>
      <c r="L89" s="457">
        <f t="shared" si="282"/>
        <v>0</v>
      </c>
      <c r="M89" s="449">
        <f t="shared" si="283"/>
        <v>0</v>
      </c>
      <c r="N89" s="457">
        <f>IF('Kalkulation Herstellungskosten'!C185=0,0,IF(J89/'Kalkulation Herstellungskosten'!C185&gt;SVGrund_lfd_wö,'Kalkulation Herstellungskosten'!C185*Höchst_Woche,J89*SV_lfd))</f>
        <v>0</v>
      </c>
      <c r="O89" s="457">
        <f t="shared" si="284"/>
        <v>0</v>
      </c>
      <c r="P89" s="457">
        <f>IF(J89*10.41%&gt;(0.5833*'Kalkulation Herstellungskosten'!C185*SVGrund_lfd_tä),(0.5833*'Kalkulation Herstellungskosten'!C185*Höchst_Tag),J89*10.41%*SV_lfd)</f>
        <v>0</v>
      </c>
      <c r="Q89" s="457">
        <f t="shared" si="285"/>
        <v>0</v>
      </c>
      <c r="R89" s="457">
        <f t="shared" si="286"/>
        <v>0</v>
      </c>
      <c r="S89" s="457">
        <f t="shared" si="287"/>
        <v>0</v>
      </c>
      <c r="T89" s="457">
        <f t="shared" si="288"/>
        <v>0</v>
      </c>
      <c r="U89" s="457">
        <f t="shared" si="289"/>
        <v>0</v>
      </c>
      <c r="V89" s="457">
        <f>'Kalkulation Herstellungskosten'!C185*U_Bahn</f>
        <v>0</v>
      </c>
      <c r="W89" s="449">
        <f t="shared" si="290"/>
        <v>0</v>
      </c>
      <c r="X89" s="449">
        <f t="shared" si="279"/>
        <v>0</v>
      </c>
      <c r="Y89" s="448"/>
      <c r="Z89" s="448"/>
      <c r="AA89" s="448"/>
      <c r="AB89" s="448"/>
      <c r="AC89" s="448"/>
      <c r="AD89" s="448"/>
      <c r="AE89" s="448"/>
      <c r="AF89" s="448"/>
      <c r="AG89" s="448"/>
      <c r="AH89" s="448"/>
      <c r="AI89" s="448"/>
      <c r="AJ89" s="448"/>
      <c r="AK89" s="448"/>
      <c r="AL89" s="448"/>
      <c r="AM89" s="448"/>
      <c r="AN89" s="448"/>
      <c r="AO89" s="448"/>
      <c r="AP89" s="448"/>
      <c r="AQ89" s="448"/>
      <c r="AR89" s="448"/>
      <c r="AS89" s="448"/>
      <c r="AT89" s="448"/>
      <c r="AU89" s="448"/>
      <c r="AV89" s="448"/>
      <c r="AW89" s="448"/>
      <c r="AX89" s="448"/>
      <c r="AY89" s="448"/>
      <c r="AZ89" s="448"/>
      <c r="BA89" s="448"/>
    </row>
    <row r="90" spans="1:53" ht="12.75" customHeight="1" x14ac:dyDescent="0.2">
      <c r="A90" s="484">
        <f>'Kalkulation Herstellungskosten'!B186</f>
        <v>0</v>
      </c>
      <c r="B90" s="711"/>
      <c r="C90" s="897"/>
      <c r="D90" s="714"/>
      <c r="E90" s="714"/>
      <c r="F90" s="482">
        <f t="shared" si="266"/>
        <v>0</v>
      </c>
      <c r="G90" s="899"/>
      <c r="H90" s="480">
        <f t="shared" si="280"/>
        <v>0</v>
      </c>
      <c r="I90" s="477"/>
      <c r="J90" s="456">
        <f>'Kalkulation Herstellungskosten'!F186/((1+1/6)*1.1041)</f>
        <v>0</v>
      </c>
      <c r="K90" s="457">
        <f t="shared" si="281"/>
        <v>0</v>
      </c>
      <c r="L90" s="457">
        <f t="shared" si="282"/>
        <v>0</v>
      </c>
      <c r="M90" s="449">
        <f t="shared" si="283"/>
        <v>0</v>
      </c>
      <c r="N90" s="457">
        <f>IF('Kalkulation Herstellungskosten'!C186=0,0,IF(J90/'Kalkulation Herstellungskosten'!C186&gt;SVGrund_lfd_wö,'Kalkulation Herstellungskosten'!C186*Höchst_Woche,J90*SV_lfd))</f>
        <v>0</v>
      </c>
      <c r="O90" s="457">
        <f t="shared" si="284"/>
        <v>0</v>
      </c>
      <c r="P90" s="457">
        <f>IF(J90*10.41%&gt;(0.5833*'Kalkulation Herstellungskosten'!C186*SVGrund_lfd_tä),(0.5833*'Kalkulation Herstellungskosten'!C186*Höchst_Tag),J90*10.41%*SV_lfd)</f>
        <v>0</v>
      </c>
      <c r="Q90" s="457">
        <f t="shared" si="285"/>
        <v>0</v>
      </c>
      <c r="R90" s="457">
        <f t="shared" si="286"/>
        <v>0</v>
      </c>
      <c r="S90" s="457">
        <f t="shared" si="287"/>
        <v>0</v>
      </c>
      <c r="T90" s="457">
        <f t="shared" si="288"/>
        <v>0</v>
      </c>
      <c r="U90" s="457">
        <f t="shared" si="289"/>
        <v>0</v>
      </c>
      <c r="V90" s="457">
        <f>'Kalkulation Herstellungskosten'!C186*U_Bahn</f>
        <v>0</v>
      </c>
      <c r="W90" s="449">
        <f t="shared" si="290"/>
        <v>0</v>
      </c>
      <c r="X90" s="449">
        <f t="shared" si="279"/>
        <v>0</v>
      </c>
      <c r="Y90" s="448"/>
      <c r="Z90" s="448"/>
      <c r="AA90" s="448"/>
      <c r="AB90" s="448"/>
      <c r="AC90" s="448"/>
      <c r="AD90" s="448"/>
      <c r="AE90" s="448"/>
      <c r="AF90" s="448"/>
      <c r="AG90" s="448"/>
      <c r="AH90" s="448"/>
      <c r="AI90" s="448"/>
      <c r="AJ90" s="448"/>
      <c r="AK90" s="448"/>
      <c r="AL90" s="448"/>
      <c r="AM90" s="448"/>
      <c r="AN90" s="448"/>
      <c r="AO90" s="448"/>
      <c r="AP90" s="448"/>
      <c r="AQ90" s="448"/>
      <c r="AR90" s="448"/>
      <c r="AS90" s="448"/>
      <c r="AT90" s="448"/>
      <c r="AU90" s="448"/>
      <c r="AV90" s="448"/>
      <c r="AW90" s="448"/>
      <c r="AX90" s="448"/>
      <c r="AY90" s="448"/>
      <c r="AZ90" s="448"/>
      <c r="BA90" s="448"/>
    </row>
    <row r="91" spans="1:53" ht="12.75" customHeight="1" x14ac:dyDescent="0.2">
      <c r="A91" s="484">
        <f>'Kalkulation Herstellungskosten'!B187</f>
        <v>0</v>
      </c>
      <c r="B91" s="711"/>
      <c r="C91" s="897"/>
      <c r="D91" s="714"/>
      <c r="E91" s="714"/>
      <c r="F91" s="482">
        <f t="shared" si="266"/>
        <v>0</v>
      </c>
      <c r="G91" s="899"/>
      <c r="H91" s="480">
        <f t="shared" si="280"/>
        <v>0</v>
      </c>
      <c r="I91" s="477"/>
      <c r="J91" s="456">
        <f>'Kalkulation Herstellungskosten'!F187/((1+1/6)*1.1041)</f>
        <v>0</v>
      </c>
      <c r="K91" s="457">
        <f t="shared" si="281"/>
        <v>0</v>
      </c>
      <c r="L91" s="457">
        <f t="shared" si="282"/>
        <v>0</v>
      </c>
      <c r="M91" s="449">
        <f t="shared" si="283"/>
        <v>0</v>
      </c>
      <c r="N91" s="457">
        <f>IF('Kalkulation Herstellungskosten'!C187=0,0,IF(J91/'Kalkulation Herstellungskosten'!C187&gt;SVGrund_lfd_wö,'Kalkulation Herstellungskosten'!C187*Höchst_Woche,J91*SV_lfd))</f>
        <v>0</v>
      </c>
      <c r="O91" s="457">
        <f t="shared" si="284"/>
        <v>0</v>
      </c>
      <c r="P91" s="457">
        <f>IF(J91*10.41%&gt;(0.5833*'Kalkulation Herstellungskosten'!C187*SVGrund_lfd_tä),(0.5833*'Kalkulation Herstellungskosten'!C187*Höchst_Tag),J91*10.41%*SV_lfd)</f>
        <v>0</v>
      </c>
      <c r="Q91" s="457">
        <f t="shared" si="285"/>
        <v>0</v>
      </c>
      <c r="R91" s="457">
        <f t="shared" si="286"/>
        <v>0</v>
      </c>
      <c r="S91" s="457">
        <f t="shared" si="287"/>
        <v>0</v>
      </c>
      <c r="T91" s="457">
        <f t="shared" si="288"/>
        <v>0</v>
      </c>
      <c r="U91" s="457">
        <f t="shared" si="289"/>
        <v>0</v>
      </c>
      <c r="V91" s="457">
        <f>'Kalkulation Herstellungskosten'!C187*U_Bahn</f>
        <v>0</v>
      </c>
      <c r="W91" s="449">
        <f t="shared" si="290"/>
        <v>0</v>
      </c>
      <c r="X91" s="449">
        <f t="shared" si="279"/>
        <v>0</v>
      </c>
      <c r="Y91" s="448"/>
      <c r="Z91" s="448"/>
      <c r="AA91" s="448"/>
      <c r="AB91" s="448"/>
      <c r="AC91" s="448"/>
      <c r="AD91" s="448"/>
      <c r="AE91" s="448"/>
      <c r="AF91" s="448"/>
      <c r="AG91" s="448"/>
      <c r="AH91" s="448"/>
      <c r="AI91" s="448"/>
      <c r="AJ91" s="448"/>
      <c r="AK91" s="448"/>
      <c r="AL91" s="448"/>
      <c r="AM91" s="448"/>
      <c r="AN91" s="448"/>
      <c r="AO91" s="448"/>
      <c r="AP91" s="448"/>
      <c r="AQ91" s="448"/>
      <c r="AR91" s="448"/>
      <c r="AS91" s="448"/>
      <c r="AT91" s="448"/>
      <c r="AU91" s="448"/>
      <c r="AV91" s="448"/>
      <c r="AW91" s="448"/>
      <c r="AX91" s="448"/>
      <c r="AY91" s="448"/>
      <c r="AZ91" s="448"/>
      <c r="BA91" s="448"/>
    </row>
    <row r="92" spans="1:53" ht="12.75" customHeight="1" x14ac:dyDescent="0.2">
      <c r="A92" s="484">
        <f>'Kalkulation Herstellungskosten'!B188</f>
        <v>0</v>
      </c>
      <c r="B92" s="711"/>
      <c r="C92" s="897"/>
      <c r="D92" s="714"/>
      <c r="E92" s="714"/>
      <c r="F92" s="482">
        <f t="shared" si="266"/>
        <v>0</v>
      </c>
      <c r="G92" s="899"/>
      <c r="H92" s="480">
        <f t="shared" si="280"/>
        <v>0</v>
      </c>
      <c r="I92" s="477"/>
      <c r="J92" s="456">
        <f>'Kalkulation Herstellungskosten'!F188/((1+1/6)*1.1041)</f>
        <v>0</v>
      </c>
      <c r="K92" s="457">
        <f t="shared" si="281"/>
        <v>0</v>
      </c>
      <c r="L92" s="457">
        <f t="shared" si="282"/>
        <v>0</v>
      </c>
      <c r="M92" s="449">
        <f t="shared" si="283"/>
        <v>0</v>
      </c>
      <c r="N92" s="457">
        <f>IF('Kalkulation Herstellungskosten'!C188=0,0,IF(J92/'Kalkulation Herstellungskosten'!C188&gt;SVGrund_lfd_wö,'Kalkulation Herstellungskosten'!C188*Höchst_Woche,J92*SV_lfd))</f>
        <v>0</v>
      </c>
      <c r="O92" s="457">
        <f t="shared" si="284"/>
        <v>0</v>
      </c>
      <c r="P92" s="457">
        <f>IF(J92*10.41%&gt;(0.5833*'Kalkulation Herstellungskosten'!C188*SVGrund_lfd_tä),(0.5833*'Kalkulation Herstellungskosten'!C188*Höchst_Tag),J92*10.41%*SV_lfd)</f>
        <v>0</v>
      </c>
      <c r="Q92" s="457">
        <f t="shared" si="285"/>
        <v>0</v>
      </c>
      <c r="R92" s="457">
        <f t="shared" si="286"/>
        <v>0</v>
      </c>
      <c r="S92" s="457">
        <f t="shared" si="287"/>
        <v>0</v>
      </c>
      <c r="T92" s="457">
        <f t="shared" si="288"/>
        <v>0</v>
      </c>
      <c r="U92" s="457">
        <f t="shared" si="289"/>
        <v>0</v>
      </c>
      <c r="V92" s="457">
        <f>'Kalkulation Herstellungskosten'!C188*U_Bahn</f>
        <v>0</v>
      </c>
      <c r="W92" s="449">
        <f t="shared" si="290"/>
        <v>0</v>
      </c>
      <c r="X92" s="449">
        <f t="shared" si="279"/>
        <v>0</v>
      </c>
      <c r="Y92" s="448"/>
      <c r="Z92" s="448"/>
      <c r="AA92" s="448"/>
      <c r="AB92" s="448"/>
      <c r="AC92" s="448"/>
      <c r="AD92" s="448"/>
      <c r="AE92" s="448"/>
      <c r="AF92" s="448"/>
      <c r="AG92" s="448"/>
      <c r="AH92" s="448"/>
      <c r="AI92" s="448"/>
      <c r="AJ92" s="448"/>
      <c r="AK92" s="448"/>
      <c r="AL92" s="448"/>
      <c r="AM92" s="448"/>
      <c r="AN92" s="448"/>
      <c r="AO92" s="448"/>
      <c r="AP92" s="448"/>
      <c r="AQ92" s="448"/>
      <c r="AR92" s="448"/>
      <c r="AS92" s="448"/>
      <c r="AT92" s="448"/>
      <c r="AU92" s="448"/>
      <c r="AV92" s="448"/>
      <c r="AW92" s="448"/>
      <c r="AX92" s="448"/>
      <c r="AY92" s="448"/>
      <c r="AZ92" s="448"/>
      <c r="BA92" s="448"/>
    </row>
    <row r="93" spans="1:53" ht="12.75" customHeight="1" x14ac:dyDescent="0.2">
      <c r="A93" s="484">
        <f>'Kalkulation Herstellungskosten'!B189</f>
        <v>0</v>
      </c>
      <c r="B93" s="711"/>
      <c r="C93" s="897"/>
      <c r="D93" s="714"/>
      <c r="E93" s="714"/>
      <c r="F93" s="482">
        <f t="shared" si="266"/>
        <v>0</v>
      </c>
      <c r="G93" s="899"/>
      <c r="H93" s="480">
        <f t="shared" si="280"/>
        <v>0</v>
      </c>
      <c r="I93" s="477"/>
      <c r="J93" s="456">
        <f>'Kalkulation Herstellungskosten'!F189/((1+1/6)*1.1041)</f>
        <v>0</v>
      </c>
      <c r="K93" s="457">
        <f t="shared" si="281"/>
        <v>0</v>
      </c>
      <c r="L93" s="457">
        <f t="shared" si="282"/>
        <v>0</v>
      </c>
      <c r="M93" s="449">
        <f t="shared" si="283"/>
        <v>0</v>
      </c>
      <c r="N93" s="457">
        <f>IF('Kalkulation Herstellungskosten'!C189=0,0,IF(J93/'Kalkulation Herstellungskosten'!C189&gt;SVGrund_lfd_wö,'Kalkulation Herstellungskosten'!C189*Höchst_Woche,J93*SV_lfd))</f>
        <v>0</v>
      </c>
      <c r="O93" s="457">
        <f t="shared" si="284"/>
        <v>0</v>
      </c>
      <c r="P93" s="457">
        <f>IF(J93*10.41%&gt;(0.5833*'Kalkulation Herstellungskosten'!C189*SVGrund_lfd_tä),(0.5833*'Kalkulation Herstellungskosten'!C189*Höchst_Tag),J93*10.41%*SV_lfd)</f>
        <v>0</v>
      </c>
      <c r="Q93" s="457">
        <f t="shared" si="285"/>
        <v>0</v>
      </c>
      <c r="R93" s="457">
        <f t="shared" si="286"/>
        <v>0</v>
      </c>
      <c r="S93" s="457">
        <f t="shared" si="287"/>
        <v>0</v>
      </c>
      <c r="T93" s="457">
        <f t="shared" si="288"/>
        <v>0</v>
      </c>
      <c r="U93" s="457">
        <f t="shared" si="289"/>
        <v>0</v>
      </c>
      <c r="V93" s="457">
        <f>'Kalkulation Herstellungskosten'!C189*U_Bahn</f>
        <v>0</v>
      </c>
      <c r="W93" s="449">
        <f t="shared" si="290"/>
        <v>0</v>
      </c>
      <c r="X93" s="449">
        <f t="shared" si="279"/>
        <v>0</v>
      </c>
      <c r="Y93" s="448"/>
      <c r="Z93" s="448"/>
      <c r="AA93" s="448"/>
      <c r="AB93" s="448"/>
      <c r="AC93" s="448"/>
      <c r="AD93" s="448"/>
      <c r="AE93" s="448"/>
      <c r="AF93" s="448"/>
      <c r="AG93" s="448"/>
      <c r="AH93" s="448"/>
      <c r="AI93" s="448"/>
      <c r="AJ93" s="448"/>
      <c r="AK93" s="448"/>
      <c r="AL93" s="448"/>
      <c r="AM93" s="448"/>
      <c r="AN93" s="448"/>
      <c r="AO93" s="448"/>
      <c r="AP93" s="448"/>
      <c r="AQ93" s="448"/>
      <c r="AR93" s="448"/>
      <c r="AS93" s="448"/>
      <c r="AT93" s="448"/>
      <c r="AU93" s="448"/>
      <c r="AV93" s="448"/>
      <c r="AW93" s="448"/>
      <c r="AX93" s="448"/>
      <c r="AY93" s="448"/>
      <c r="AZ93" s="448"/>
      <c r="BA93" s="448"/>
    </row>
    <row r="94" spans="1:53" ht="12.75" customHeight="1" x14ac:dyDescent="0.2">
      <c r="A94" s="484">
        <f>'Kalkulation Herstellungskosten'!B190</f>
        <v>0</v>
      </c>
      <c r="B94" s="711"/>
      <c r="C94" s="897"/>
      <c r="D94" s="714"/>
      <c r="E94" s="714"/>
      <c r="F94" s="482">
        <f t="shared" si="266"/>
        <v>0</v>
      </c>
      <c r="G94" s="899"/>
      <c r="H94" s="480">
        <f t="shared" si="280"/>
        <v>0</v>
      </c>
      <c r="I94" s="477"/>
      <c r="J94" s="456">
        <f>'Kalkulation Herstellungskosten'!F190/((1+1/6)*1.1041)</f>
        <v>0</v>
      </c>
      <c r="K94" s="457">
        <f t="shared" si="281"/>
        <v>0</v>
      </c>
      <c r="L94" s="457">
        <f t="shared" si="282"/>
        <v>0</v>
      </c>
      <c r="M94" s="449">
        <f t="shared" si="283"/>
        <v>0</v>
      </c>
      <c r="N94" s="457">
        <f>IF('Kalkulation Herstellungskosten'!C190=0,0,IF(J94/'Kalkulation Herstellungskosten'!C190&gt;SVGrund_lfd_wö,'Kalkulation Herstellungskosten'!C190*Höchst_Woche,J94*SV_lfd))</f>
        <v>0</v>
      </c>
      <c r="O94" s="457">
        <f t="shared" si="284"/>
        <v>0</v>
      </c>
      <c r="P94" s="457">
        <f>IF(J94*10.41%&gt;(0.5833*'Kalkulation Herstellungskosten'!C190*SVGrund_lfd_tä),(0.5833*'Kalkulation Herstellungskosten'!C190*Höchst_Tag),J94*10.41%*SV_lfd)</f>
        <v>0</v>
      </c>
      <c r="Q94" s="457">
        <f t="shared" si="285"/>
        <v>0</v>
      </c>
      <c r="R94" s="457">
        <f t="shared" si="286"/>
        <v>0</v>
      </c>
      <c r="S94" s="457">
        <f t="shared" si="287"/>
        <v>0</v>
      </c>
      <c r="T94" s="457">
        <f t="shared" si="288"/>
        <v>0</v>
      </c>
      <c r="U94" s="457">
        <f t="shared" si="289"/>
        <v>0</v>
      </c>
      <c r="V94" s="457">
        <f>'Kalkulation Herstellungskosten'!C190*U_Bahn</f>
        <v>0</v>
      </c>
      <c r="W94" s="449">
        <f t="shared" si="290"/>
        <v>0</v>
      </c>
      <c r="X94" s="449">
        <f t="shared" si="279"/>
        <v>0</v>
      </c>
      <c r="Y94" s="448"/>
      <c r="Z94" s="448"/>
      <c r="AA94" s="448"/>
      <c r="AB94" s="448"/>
      <c r="AC94" s="448"/>
      <c r="AD94" s="448"/>
      <c r="AE94" s="448"/>
      <c r="AF94" s="448"/>
      <c r="AG94" s="448"/>
      <c r="AH94" s="448"/>
      <c r="AI94" s="448"/>
      <c r="AJ94" s="448"/>
      <c r="AK94" s="448"/>
      <c r="AL94" s="448"/>
      <c r="AM94" s="448"/>
      <c r="AN94" s="448"/>
      <c r="AO94" s="448"/>
      <c r="AP94" s="448"/>
      <c r="AQ94" s="448"/>
      <c r="AR94" s="448"/>
      <c r="AS94" s="448"/>
      <c r="AT94" s="448"/>
      <c r="AU94" s="448"/>
      <c r="AV94" s="448"/>
      <c r="AW94" s="448"/>
      <c r="AX94" s="448"/>
      <c r="AY94" s="448"/>
      <c r="AZ94" s="448"/>
      <c r="BA94" s="448"/>
    </row>
    <row r="95" spans="1:53" ht="12.75" customHeight="1" x14ac:dyDescent="0.2">
      <c r="A95" s="484">
        <f>'Kalkulation Herstellungskosten'!B191</f>
        <v>0</v>
      </c>
      <c r="B95" s="711"/>
      <c r="C95" s="897"/>
      <c r="D95" s="714"/>
      <c r="E95" s="714"/>
      <c r="F95" s="482">
        <f t="shared" si="266"/>
        <v>0</v>
      </c>
      <c r="G95" s="899"/>
      <c r="H95" s="480">
        <f t="shared" si="280"/>
        <v>0</v>
      </c>
      <c r="I95" s="477"/>
      <c r="J95" s="456">
        <f>'Kalkulation Herstellungskosten'!F191/((1+1/6)*1.1041)</f>
        <v>0</v>
      </c>
      <c r="K95" s="457">
        <f t="shared" si="281"/>
        <v>0</v>
      </c>
      <c r="L95" s="457">
        <f t="shared" si="282"/>
        <v>0</v>
      </c>
      <c r="M95" s="449">
        <f t="shared" si="283"/>
        <v>0</v>
      </c>
      <c r="N95" s="457">
        <f>IF('Kalkulation Herstellungskosten'!C191=0,0,IF(J95/'Kalkulation Herstellungskosten'!C191&gt;SVGrund_lfd_wö,'Kalkulation Herstellungskosten'!C191*Höchst_Woche,J95*SV_lfd))</f>
        <v>0</v>
      </c>
      <c r="O95" s="457">
        <f t="shared" si="284"/>
        <v>0</v>
      </c>
      <c r="P95" s="457">
        <f>IF(J95*10.41%&gt;(0.5833*'Kalkulation Herstellungskosten'!C191*SVGrund_lfd_tä),(0.5833*'Kalkulation Herstellungskosten'!C191*Höchst_Tag),J95*10.41%*SV_lfd)</f>
        <v>0</v>
      </c>
      <c r="Q95" s="457">
        <f t="shared" si="285"/>
        <v>0</v>
      </c>
      <c r="R95" s="457">
        <f t="shared" si="286"/>
        <v>0</v>
      </c>
      <c r="S95" s="457">
        <f t="shared" si="287"/>
        <v>0</v>
      </c>
      <c r="T95" s="457">
        <f t="shared" si="288"/>
        <v>0</v>
      </c>
      <c r="U95" s="457">
        <f t="shared" si="289"/>
        <v>0</v>
      </c>
      <c r="V95" s="457">
        <f>'Kalkulation Herstellungskosten'!C191*U_Bahn</f>
        <v>0</v>
      </c>
      <c r="W95" s="449">
        <f t="shared" si="290"/>
        <v>0</v>
      </c>
      <c r="X95" s="449">
        <f t="shared" si="279"/>
        <v>0</v>
      </c>
      <c r="Y95" s="448"/>
      <c r="Z95" s="448"/>
      <c r="AA95" s="448"/>
      <c r="AB95" s="448"/>
      <c r="AC95" s="448"/>
      <c r="AD95" s="448"/>
      <c r="AE95" s="448"/>
      <c r="AF95" s="448"/>
      <c r="AG95" s="448"/>
      <c r="AH95" s="448"/>
      <c r="AI95" s="448"/>
      <c r="AJ95" s="448"/>
      <c r="AK95" s="448"/>
      <c r="AL95" s="448"/>
      <c r="AM95" s="448"/>
      <c r="AN95" s="448"/>
      <c r="AO95" s="448"/>
      <c r="AP95" s="448"/>
      <c r="AQ95" s="448"/>
      <c r="AR95" s="448"/>
      <c r="AS95" s="448"/>
      <c r="AT95" s="448"/>
      <c r="AU95" s="448"/>
      <c r="AV95" s="448"/>
      <c r="AW95" s="448"/>
      <c r="AX95" s="448"/>
      <c r="AY95" s="448"/>
      <c r="AZ95" s="448"/>
      <c r="BA95" s="448"/>
    </row>
    <row r="96" spans="1:53" ht="12.75" customHeight="1" x14ac:dyDescent="0.2">
      <c r="A96" s="484">
        <f>'Kalkulation Herstellungskosten'!B192</f>
        <v>0</v>
      </c>
      <c r="B96" s="711"/>
      <c r="C96" s="897"/>
      <c r="D96" s="714"/>
      <c r="E96" s="714"/>
      <c r="F96" s="482">
        <f t="shared" si="266"/>
        <v>0</v>
      </c>
      <c r="G96" s="899"/>
      <c r="H96" s="480">
        <f t="shared" si="280"/>
        <v>0</v>
      </c>
      <c r="I96" s="477"/>
      <c r="J96" s="456">
        <f>'Kalkulation Herstellungskosten'!F192/((1+1/6)*1.1041)</f>
        <v>0</v>
      </c>
      <c r="K96" s="457">
        <f t="shared" ref="K96:K103" si="291">J96/6</f>
        <v>0</v>
      </c>
      <c r="L96" s="457">
        <f t="shared" ref="L96:L103" si="292">(J96+K96)*10.41%</f>
        <v>0</v>
      </c>
      <c r="M96" s="449">
        <f t="shared" ref="M96:M103" si="293">SUM(J96:L96)</f>
        <v>0</v>
      </c>
      <c r="N96" s="457">
        <f>IF('Kalkulation Herstellungskosten'!C192=0,0,IF(J96/'Kalkulation Herstellungskosten'!C192&gt;SVGrund_lfd_wö,'Kalkulation Herstellungskosten'!C192*Höchst_Woche,J96*SV_lfd))</f>
        <v>0</v>
      </c>
      <c r="O96" s="457">
        <f t="shared" ref="O96:O103" si="294">IF(K96&gt;SVGrund_SZ, Höchst_Mo_SZ,K96*SV_SZ)</f>
        <v>0</v>
      </c>
      <c r="P96" s="457">
        <f>IF(J96*10.41%&gt;(0.5833*'Kalkulation Herstellungskosten'!C192*SVGrund_lfd_tä),(0.5833*'Kalkulation Herstellungskosten'!C192*Höchst_Tag),J96*10.41%*SV_lfd)</f>
        <v>0</v>
      </c>
      <c r="Q96" s="457">
        <f t="shared" ref="Q96:Q103" si="295">IF(K96&gt;SVGrund_SZ,0,IF(K96*10.41%&gt;(SVGrund_SZ-K96),(SVGrund_SZ-K96)*SV_SZ,K96*10.41%*SV_SZ))</f>
        <v>0</v>
      </c>
      <c r="R96" s="457">
        <f t="shared" ref="R96:R103" si="296">M96*MV</f>
        <v>0</v>
      </c>
      <c r="S96" s="457">
        <f t="shared" ref="S96:S103" si="297">M96*DB</f>
        <v>0</v>
      </c>
      <c r="T96" s="457">
        <f t="shared" ref="T96:T103" si="298">M96*DZ</f>
        <v>0</v>
      </c>
      <c r="U96" s="457">
        <f t="shared" ref="U96:U103" si="299">M96*KommSt</f>
        <v>0</v>
      </c>
      <c r="V96" s="457">
        <f>'Kalkulation Herstellungskosten'!C192*U_Bahn</f>
        <v>0</v>
      </c>
      <c r="W96" s="449">
        <f t="shared" ref="W96:W103" si="300">SUM(N96:V96)</f>
        <v>0</v>
      </c>
      <c r="X96" s="449">
        <f t="shared" ref="X96:X103" si="301">SUM(M96,W96)</f>
        <v>0</v>
      </c>
      <c r="Y96" s="448"/>
      <c r="Z96" s="448"/>
      <c r="AA96" s="448"/>
      <c r="AB96" s="448"/>
      <c r="AC96" s="448"/>
      <c r="AD96" s="448"/>
      <c r="AE96" s="448"/>
      <c r="AF96" s="448"/>
      <c r="AG96" s="448"/>
      <c r="AH96" s="448"/>
      <c r="AI96" s="448"/>
      <c r="AJ96" s="448"/>
      <c r="AK96" s="448"/>
      <c r="AL96" s="448"/>
      <c r="AM96" s="448"/>
      <c r="AN96" s="448"/>
      <c r="AO96" s="448"/>
      <c r="AP96" s="448"/>
      <c r="AQ96" s="448"/>
      <c r="AR96" s="448"/>
      <c r="AS96" s="448"/>
      <c r="AT96" s="448"/>
      <c r="AU96" s="448"/>
      <c r="AV96" s="448"/>
      <c r="AW96" s="448"/>
      <c r="AX96" s="448"/>
      <c r="AY96" s="448"/>
      <c r="AZ96" s="448"/>
      <c r="BA96" s="448"/>
    </row>
    <row r="97" spans="1:53" ht="12.75" customHeight="1" x14ac:dyDescent="0.2">
      <c r="A97" s="484">
        <f>'Kalkulation Herstellungskosten'!B193</f>
        <v>0</v>
      </c>
      <c r="B97" s="711"/>
      <c r="C97" s="897"/>
      <c r="D97" s="714"/>
      <c r="E97" s="714"/>
      <c r="F97" s="482">
        <f t="shared" si="266"/>
        <v>0</v>
      </c>
      <c r="G97" s="899"/>
      <c r="H97" s="480">
        <f t="shared" si="280"/>
        <v>0</v>
      </c>
      <c r="I97" s="477"/>
      <c r="J97" s="456">
        <f>'Kalkulation Herstellungskosten'!F193/((1+1/6)*1.1041)</f>
        <v>0</v>
      </c>
      <c r="K97" s="457">
        <f t="shared" si="291"/>
        <v>0</v>
      </c>
      <c r="L97" s="457">
        <f t="shared" si="292"/>
        <v>0</v>
      </c>
      <c r="M97" s="449">
        <f t="shared" si="293"/>
        <v>0</v>
      </c>
      <c r="N97" s="457">
        <f>IF('Kalkulation Herstellungskosten'!C193=0,0,IF(J97/'Kalkulation Herstellungskosten'!C193&gt;SVGrund_lfd_wö,'Kalkulation Herstellungskosten'!C193*Höchst_Woche,J97*SV_lfd))</f>
        <v>0</v>
      </c>
      <c r="O97" s="457">
        <f t="shared" si="294"/>
        <v>0</v>
      </c>
      <c r="P97" s="457">
        <f>IF(J97*10.41%&gt;(0.5833*'Kalkulation Herstellungskosten'!C193*SVGrund_lfd_tä),(0.5833*'Kalkulation Herstellungskosten'!C193*Höchst_Tag),J97*10.41%*SV_lfd)</f>
        <v>0</v>
      </c>
      <c r="Q97" s="457">
        <f t="shared" si="295"/>
        <v>0</v>
      </c>
      <c r="R97" s="457">
        <f t="shared" si="296"/>
        <v>0</v>
      </c>
      <c r="S97" s="457">
        <f t="shared" si="297"/>
        <v>0</v>
      </c>
      <c r="T97" s="457">
        <f t="shared" si="298"/>
        <v>0</v>
      </c>
      <c r="U97" s="457">
        <f t="shared" si="299"/>
        <v>0</v>
      </c>
      <c r="V97" s="457">
        <f>'Kalkulation Herstellungskosten'!C193*U_Bahn</f>
        <v>0</v>
      </c>
      <c r="W97" s="449">
        <f t="shared" si="300"/>
        <v>0</v>
      </c>
      <c r="X97" s="449">
        <f t="shared" si="301"/>
        <v>0</v>
      </c>
      <c r="Y97" s="448"/>
      <c r="Z97" s="448"/>
      <c r="AA97" s="448"/>
      <c r="AB97" s="448"/>
      <c r="AC97" s="448"/>
      <c r="AD97" s="448"/>
      <c r="AE97" s="448"/>
      <c r="AF97" s="448"/>
      <c r="AG97" s="448"/>
      <c r="AH97" s="448"/>
      <c r="AI97" s="448"/>
      <c r="AJ97" s="448"/>
      <c r="AK97" s="448"/>
      <c r="AL97" s="448"/>
      <c r="AM97" s="448"/>
      <c r="AN97" s="448"/>
      <c r="AO97" s="448"/>
      <c r="AP97" s="448"/>
      <c r="AQ97" s="448"/>
      <c r="AR97" s="448"/>
      <c r="AS97" s="448"/>
      <c r="AT97" s="448"/>
      <c r="AU97" s="448"/>
      <c r="AV97" s="448"/>
      <c r="AW97" s="448"/>
      <c r="AX97" s="448"/>
      <c r="AY97" s="448"/>
      <c r="AZ97" s="448"/>
      <c r="BA97" s="448"/>
    </row>
    <row r="98" spans="1:53" ht="12.75" customHeight="1" x14ac:dyDescent="0.2">
      <c r="A98" s="484">
        <f>'Kalkulation Herstellungskosten'!B194</f>
        <v>0</v>
      </c>
      <c r="B98" s="711"/>
      <c r="C98" s="897"/>
      <c r="D98" s="714"/>
      <c r="E98" s="714"/>
      <c r="F98" s="482">
        <f t="shared" si="266"/>
        <v>0</v>
      </c>
      <c r="G98" s="899"/>
      <c r="H98" s="480">
        <f t="shared" si="280"/>
        <v>0</v>
      </c>
      <c r="I98" s="477"/>
      <c r="J98" s="456">
        <f>'Kalkulation Herstellungskosten'!F194/((1+1/6)*1.1041)</f>
        <v>0</v>
      </c>
      <c r="K98" s="457">
        <f t="shared" si="291"/>
        <v>0</v>
      </c>
      <c r="L98" s="457">
        <f t="shared" si="292"/>
        <v>0</v>
      </c>
      <c r="M98" s="449">
        <f t="shared" si="293"/>
        <v>0</v>
      </c>
      <c r="N98" s="457">
        <f>IF('Kalkulation Herstellungskosten'!C194=0,0,IF(J98/'Kalkulation Herstellungskosten'!C194&gt;SVGrund_lfd_wö,'Kalkulation Herstellungskosten'!C194*Höchst_Woche,J98*SV_lfd))</f>
        <v>0</v>
      </c>
      <c r="O98" s="457">
        <f t="shared" si="294"/>
        <v>0</v>
      </c>
      <c r="P98" s="457">
        <f>IF(J98*10.41%&gt;(0.5833*'Kalkulation Herstellungskosten'!C194*SVGrund_lfd_tä),(0.5833*'Kalkulation Herstellungskosten'!C194*Höchst_Tag),J98*10.41%*SV_lfd)</f>
        <v>0</v>
      </c>
      <c r="Q98" s="457">
        <f t="shared" si="295"/>
        <v>0</v>
      </c>
      <c r="R98" s="457">
        <f t="shared" si="296"/>
        <v>0</v>
      </c>
      <c r="S98" s="457">
        <f t="shared" si="297"/>
        <v>0</v>
      </c>
      <c r="T98" s="457">
        <f t="shared" si="298"/>
        <v>0</v>
      </c>
      <c r="U98" s="457">
        <f t="shared" si="299"/>
        <v>0</v>
      </c>
      <c r="V98" s="457">
        <f>'Kalkulation Herstellungskosten'!C194*U_Bahn</f>
        <v>0</v>
      </c>
      <c r="W98" s="449">
        <f t="shared" si="300"/>
        <v>0</v>
      </c>
      <c r="X98" s="449">
        <f t="shared" si="301"/>
        <v>0</v>
      </c>
      <c r="Y98" s="448"/>
      <c r="Z98" s="448"/>
      <c r="AA98" s="448"/>
      <c r="AB98" s="448"/>
      <c r="AC98" s="448"/>
      <c r="AD98" s="448"/>
      <c r="AE98" s="448"/>
      <c r="AF98" s="448"/>
      <c r="AG98" s="448"/>
      <c r="AH98" s="448"/>
      <c r="AI98" s="448"/>
      <c r="AJ98" s="448"/>
      <c r="AK98" s="448"/>
      <c r="AL98" s="448"/>
      <c r="AM98" s="448"/>
      <c r="AN98" s="448"/>
      <c r="AO98" s="448"/>
      <c r="AP98" s="448"/>
      <c r="AQ98" s="448"/>
      <c r="AR98" s="448"/>
      <c r="AS98" s="448"/>
      <c r="AT98" s="448"/>
      <c r="AU98" s="448"/>
      <c r="AV98" s="448"/>
      <c r="AW98" s="448"/>
      <c r="AX98" s="448"/>
      <c r="AY98" s="448"/>
      <c r="AZ98" s="448"/>
      <c r="BA98" s="448"/>
    </row>
    <row r="99" spans="1:53" ht="12.75" customHeight="1" x14ac:dyDescent="0.2">
      <c r="A99" s="484">
        <f>'Kalkulation Herstellungskosten'!B195</f>
        <v>0</v>
      </c>
      <c r="B99" s="711"/>
      <c r="C99" s="897"/>
      <c r="D99" s="714"/>
      <c r="E99" s="714"/>
      <c r="F99" s="482">
        <f t="shared" si="266"/>
        <v>0</v>
      </c>
      <c r="G99" s="899"/>
      <c r="H99" s="480">
        <f t="shared" si="280"/>
        <v>0</v>
      </c>
      <c r="I99" s="477"/>
      <c r="J99" s="456">
        <f>'Kalkulation Herstellungskosten'!F195/((1+1/6)*1.1041)</f>
        <v>0</v>
      </c>
      <c r="K99" s="457">
        <f t="shared" si="291"/>
        <v>0</v>
      </c>
      <c r="L99" s="457">
        <f t="shared" si="292"/>
        <v>0</v>
      </c>
      <c r="M99" s="449">
        <f t="shared" si="293"/>
        <v>0</v>
      </c>
      <c r="N99" s="457">
        <f>IF('Kalkulation Herstellungskosten'!C195=0,0,IF(J99/'Kalkulation Herstellungskosten'!C195&gt;SVGrund_lfd_wö,'Kalkulation Herstellungskosten'!C195*Höchst_Woche,J99*SV_lfd))</f>
        <v>0</v>
      </c>
      <c r="O99" s="457">
        <f t="shared" si="294"/>
        <v>0</v>
      </c>
      <c r="P99" s="457">
        <f>IF(J99*10.41%&gt;(0.5833*'Kalkulation Herstellungskosten'!C195*SVGrund_lfd_tä),(0.5833*'Kalkulation Herstellungskosten'!C195*Höchst_Tag),J99*10.41%*SV_lfd)</f>
        <v>0</v>
      </c>
      <c r="Q99" s="457">
        <f t="shared" si="295"/>
        <v>0</v>
      </c>
      <c r="R99" s="457">
        <f t="shared" si="296"/>
        <v>0</v>
      </c>
      <c r="S99" s="457">
        <f t="shared" si="297"/>
        <v>0</v>
      </c>
      <c r="T99" s="457">
        <f t="shared" si="298"/>
        <v>0</v>
      </c>
      <c r="U99" s="457">
        <f t="shared" si="299"/>
        <v>0</v>
      </c>
      <c r="V99" s="457">
        <f>'Kalkulation Herstellungskosten'!C195*U_Bahn</f>
        <v>0</v>
      </c>
      <c r="W99" s="449">
        <f t="shared" si="300"/>
        <v>0</v>
      </c>
      <c r="X99" s="449">
        <f t="shared" si="301"/>
        <v>0</v>
      </c>
      <c r="Y99" s="448"/>
      <c r="Z99" s="448"/>
      <c r="AA99" s="448"/>
      <c r="AB99" s="448"/>
      <c r="AC99" s="448"/>
      <c r="AD99" s="448"/>
      <c r="AE99" s="448"/>
      <c r="AF99" s="448"/>
      <c r="AG99" s="448"/>
      <c r="AH99" s="448"/>
      <c r="AI99" s="448"/>
      <c r="AJ99" s="448"/>
      <c r="AK99" s="448"/>
      <c r="AL99" s="448"/>
      <c r="AM99" s="448"/>
      <c r="AN99" s="448"/>
      <c r="AO99" s="448"/>
      <c r="AP99" s="448"/>
      <c r="AQ99" s="448"/>
      <c r="AR99" s="448"/>
      <c r="AS99" s="448"/>
      <c r="AT99" s="448"/>
      <c r="AU99" s="448"/>
      <c r="AV99" s="448"/>
      <c r="AW99" s="448"/>
      <c r="AX99" s="448"/>
      <c r="AY99" s="448"/>
      <c r="AZ99" s="448"/>
      <c r="BA99" s="448"/>
    </row>
    <row r="100" spans="1:53" ht="12.75" customHeight="1" x14ac:dyDescent="0.2">
      <c r="A100" s="484">
        <f>'Kalkulation Herstellungskosten'!B196</f>
        <v>0</v>
      </c>
      <c r="B100" s="711"/>
      <c r="C100" s="897"/>
      <c r="D100" s="714"/>
      <c r="E100" s="714"/>
      <c r="F100" s="482">
        <f t="shared" si="266"/>
        <v>0</v>
      </c>
      <c r="G100" s="899"/>
      <c r="H100" s="480">
        <f t="shared" si="280"/>
        <v>0</v>
      </c>
      <c r="I100" s="477"/>
      <c r="J100" s="456">
        <f>'Kalkulation Herstellungskosten'!F196/((1+1/6)*1.1041)</f>
        <v>0</v>
      </c>
      <c r="K100" s="457">
        <f t="shared" si="291"/>
        <v>0</v>
      </c>
      <c r="L100" s="457">
        <f t="shared" si="292"/>
        <v>0</v>
      </c>
      <c r="M100" s="449">
        <f t="shared" si="293"/>
        <v>0</v>
      </c>
      <c r="N100" s="457">
        <f>IF('Kalkulation Herstellungskosten'!C196=0,0,IF(J100/'Kalkulation Herstellungskosten'!C196&gt;SVGrund_lfd_wö,'Kalkulation Herstellungskosten'!C196*Höchst_Woche,J100*SV_lfd))</f>
        <v>0</v>
      </c>
      <c r="O100" s="457">
        <f t="shared" si="294"/>
        <v>0</v>
      </c>
      <c r="P100" s="457">
        <f>IF(J100*10.41%&gt;(0.5833*'Kalkulation Herstellungskosten'!C196*SVGrund_lfd_tä),(0.5833*'Kalkulation Herstellungskosten'!C196*Höchst_Tag),J100*10.41%*SV_lfd)</f>
        <v>0</v>
      </c>
      <c r="Q100" s="457">
        <f t="shared" si="295"/>
        <v>0</v>
      </c>
      <c r="R100" s="457">
        <f t="shared" si="296"/>
        <v>0</v>
      </c>
      <c r="S100" s="457">
        <f t="shared" si="297"/>
        <v>0</v>
      </c>
      <c r="T100" s="457">
        <f t="shared" si="298"/>
        <v>0</v>
      </c>
      <c r="U100" s="457">
        <f t="shared" si="299"/>
        <v>0</v>
      </c>
      <c r="V100" s="457">
        <f>'Kalkulation Herstellungskosten'!C196*U_Bahn</f>
        <v>0</v>
      </c>
      <c r="W100" s="449">
        <f t="shared" si="300"/>
        <v>0</v>
      </c>
      <c r="X100" s="449">
        <f t="shared" si="301"/>
        <v>0</v>
      </c>
      <c r="Y100" s="448"/>
      <c r="Z100" s="448"/>
      <c r="AA100" s="448"/>
      <c r="AB100" s="448"/>
      <c r="AC100" s="448"/>
      <c r="AD100" s="448"/>
      <c r="AE100" s="448"/>
      <c r="AF100" s="448"/>
      <c r="AG100" s="448"/>
      <c r="AH100" s="448"/>
      <c r="AI100" s="448"/>
      <c r="AJ100" s="448"/>
      <c r="AK100" s="448"/>
      <c r="AL100" s="448"/>
      <c r="AM100" s="448"/>
      <c r="AN100" s="448"/>
      <c r="AO100" s="448"/>
      <c r="AP100" s="448"/>
      <c r="AQ100" s="448"/>
      <c r="AR100" s="448"/>
      <c r="AS100" s="448"/>
      <c r="AT100" s="448"/>
      <c r="AU100" s="448"/>
      <c r="AV100" s="448"/>
      <c r="AW100" s="448"/>
      <c r="AX100" s="448"/>
      <c r="AY100" s="448"/>
      <c r="AZ100" s="448"/>
      <c r="BA100" s="448"/>
    </row>
    <row r="101" spans="1:53" ht="12.75" customHeight="1" x14ac:dyDescent="0.2">
      <c r="A101" s="484">
        <f>'Kalkulation Herstellungskosten'!B197</f>
        <v>0</v>
      </c>
      <c r="B101" s="711"/>
      <c r="C101" s="897"/>
      <c r="D101" s="714"/>
      <c r="E101" s="714"/>
      <c r="F101" s="482">
        <f t="shared" si="266"/>
        <v>0</v>
      </c>
      <c r="G101" s="899"/>
      <c r="H101" s="480">
        <f t="shared" si="280"/>
        <v>0</v>
      </c>
      <c r="I101" s="477"/>
      <c r="J101" s="456">
        <f>'Kalkulation Herstellungskosten'!F197/((1+1/6)*1.1041)</f>
        <v>0</v>
      </c>
      <c r="K101" s="457">
        <f t="shared" si="291"/>
        <v>0</v>
      </c>
      <c r="L101" s="457">
        <f t="shared" si="292"/>
        <v>0</v>
      </c>
      <c r="M101" s="449">
        <f t="shared" si="293"/>
        <v>0</v>
      </c>
      <c r="N101" s="457">
        <f>IF('Kalkulation Herstellungskosten'!C197=0,0,IF(J101/'Kalkulation Herstellungskosten'!C197&gt;SVGrund_lfd_wö,'Kalkulation Herstellungskosten'!C197*Höchst_Woche,J101*SV_lfd))</f>
        <v>0</v>
      </c>
      <c r="O101" s="457">
        <f t="shared" si="294"/>
        <v>0</v>
      </c>
      <c r="P101" s="457">
        <f>IF(J101*10.41%&gt;(0.5833*'Kalkulation Herstellungskosten'!C197*SVGrund_lfd_tä),(0.5833*'Kalkulation Herstellungskosten'!C197*Höchst_Tag),J101*10.41%*SV_lfd)</f>
        <v>0</v>
      </c>
      <c r="Q101" s="457">
        <f t="shared" si="295"/>
        <v>0</v>
      </c>
      <c r="R101" s="457">
        <f t="shared" si="296"/>
        <v>0</v>
      </c>
      <c r="S101" s="457">
        <f t="shared" si="297"/>
        <v>0</v>
      </c>
      <c r="T101" s="457">
        <f t="shared" si="298"/>
        <v>0</v>
      </c>
      <c r="U101" s="457">
        <f t="shared" si="299"/>
        <v>0</v>
      </c>
      <c r="V101" s="457">
        <f>'Kalkulation Herstellungskosten'!C197*U_Bahn</f>
        <v>0</v>
      </c>
      <c r="W101" s="449">
        <f t="shared" si="300"/>
        <v>0</v>
      </c>
      <c r="X101" s="449">
        <f t="shared" si="301"/>
        <v>0</v>
      </c>
      <c r="Y101" s="448"/>
      <c r="Z101" s="448"/>
      <c r="AA101" s="448"/>
      <c r="AB101" s="448"/>
      <c r="AC101" s="448"/>
      <c r="AD101" s="448"/>
      <c r="AE101" s="448"/>
      <c r="AF101" s="448"/>
      <c r="AG101" s="448"/>
      <c r="AH101" s="448"/>
      <c r="AI101" s="448"/>
      <c r="AJ101" s="448"/>
      <c r="AK101" s="448"/>
      <c r="AL101" s="448"/>
      <c r="AM101" s="448"/>
      <c r="AN101" s="448"/>
      <c r="AO101" s="448"/>
      <c r="AP101" s="448"/>
      <c r="AQ101" s="448"/>
      <c r="AR101" s="448"/>
      <c r="AS101" s="448"/>
      <c r="AT101" s="448"/>
      <c r="AU101" s="448"/>
      <c r="AV101" s="448"/>
      <c r="AW101" s="448"/>
      <c r="AX101" s="448"/>
      <c r="AY101" s="448"/>
      <c r="AZ101" s="448"/>
      <c r="BA101" s="448"/>
    </row>
    <row r="102" spans="1:53" ht="12.75" customHeight="1" x14ac:dyDescent="0.2">
      <c r="A102" s="484">
        <f>'Kalkulation Herstellungskosten'!B198</f>
        <v>0</v>
      </c>
      <c r="B102" s="711"/>
      <c r="C102" s="897"/>
      <c r="D102" s="714"/>
      <c r="E102" s="714"/>
      <c r="F102" s="482">
        <f t="shared" si="266"/>
        <v>0</v>
      </c>
      <c r="G102" s="899"/>
      <c r="H102" s="480">
        <f t="shared" si="280"/>
        <v>0</v>
      </c>
      <c r="I102" s="477"/>
      <c r="J102" s="456">
        <f>'Kalkulation Herstellungskosten'!F198/((1+1/6)*1.1041)</f>
        <v>0</v>
      </c>
      <c r="K102" s="457">
        <f t="shared" si="291"/>
        <v>0</v>
      </c>
      <c r="L102" s="457">
        <f t="shared" si="292"/>
        <v>0</v>
      </c>
      <c r="M102" s="449">
        <f t="shared" si="293"/>
        <v>0</v>
      </c>
      <c r="N102" s="457">
        <f>IF('Kalkulation Herstellungskosten'!C198=0,0,IF(J102/'Kalkulation Herstellungskosten'!C198&gt;SVGrund_lfd_wö,'Kalkulation Herstellungskosten'!C198*Höchst_Woche,J102*SV_lfd))</f>
        <v>0</v>
      </c>
      <c r="O102" s="457">
        <f t="shared" si="294"/>
        <v>0</v>
      </c>
      <c r="P102" s="457">
        <f>IF(J102*10.41%&gt;(0.5833*'Kalkulation Herstellungskosten'!C198*SVGrund_lfd_tä),(0.5833*'Kalkulation Herstellungskosten'!C198*Höchst_Tag),J102*10.41%*SV_lfd)</f>
        <v>0</v>
      </c>
      <c r="Q102" s="457">
        <f t="shared" si="295"/>
        <v>0</v>
      </c>
      <c r="R102" s="457">
        <f t="shared" si="296"/>
        <v>0</v>
      </c>
      <c r="S102" s="457">
        <f t="shared" si="297"/>
        <v>0</v>
      </c>
      <c r="T102" s="457">
        <f t="shared" si="298"/>
        <v>0</v>
      </c>
      <c r="U102" s="457">
        <f t="shared" si="299"/>
        <v>0</v>
      </c>
      <c r="V102" s="457">
        <f>'Kalkulation Herstellungskosten'!C198*U_Bahn</f>
        <v>0</v>
      </c>
      <c r="W102" s="449">
        <f t="shared" si="300"/>
        <v>0</v>
      </c>
      <c r="X102" s="449">
        <f t="shared" si="301"/>
        <v>0</v>
      </c>
      <c r="Y102" s="448"/>
      <c r="Z102" s="448"/>
      <c r="AA102" s="448"/>
      <c r="AB102" s="448"/>
      <c r="AC102" s="448"/>
      <c r="AD102" s="448"/>
      <c r="AE102" s="448"/>
      <c r="AF102" s="448"/>
      <c r="AG102" s="448"/>
      <c r="AH102" s="448"/>
      <c r="AI102" s="448"/>
      <c r="AJ102" s="448"/>
      <c r="AK102" s="448"/>
      <c r="AL102" s="448"/>
      <c r="AM102" s="448"/>
      <c r="AN102" s="448"/>
      <c r="AO102" s="448"/>
      <c r="AP102" s="448"/>
      <c r="AQ102" s="448"/>
      <c r="AR102" s="448"/>
      <c r="AS102" s="448"/>
      <c r="AT102" s="448"/>
      <c r="AU102" s="448"/>
      <c r="AV102" s="448"/>
      <c r="AW102" s="448"/>
      <c r="AX102" s="448"/>
      <c r="AY102" s="448"/>
      <c r="AZ102" s="448"/>
      <c r="BA102" s="448"/>
    </row>
    <row r="103" spans="1:53" ht="12.75" customHeight="1" x14ac:dyDescent="0.2">
      <c r="A103" s="484">
        <f>'Kalkulation Herstellungskosten'!B199</f>
        <v>0</v>
      </c>
      <c r="B103" s="711"/>
      <c r="C103" s="897"/>
      <c r="D103" s="714"/>
      <c r="E103" s="714"/>
      <c r="F103" s="482">
        <f t="shared" si="266"/>
        <v>0</v>
      </c>
      <c r="G103" s="899"/>
      <c r="H103" s="480">
        <f t="shared" si="280"/>
        <v>0</v>
      </c>
      <c r="I103" s="477"/>
      <c r="J103" s="456">
        <f>'Kalkulation Herstellungskosten'!F199/((1+1/6)*1.1041)</f>
        <v>0</v>
      </c>
      <c r="K103" s="457">
        <f t="shared" si="291"/>
        <v>0</v>
      </c>
      <c r="L103" s="457">
        <f t="shared" si="292"/>
        <v>0</v>
      </c>
      <c r="M103" s="449">
        <f t="shared" si="293"/>
        <v>0</v>
      </c>
      <c r="N103" s="457">
        <f>IF('Kalkulation Herstellungskosten'!C199=0,0,IF(J103/'Kalkulation Herstellungskosten'!C199&gt;SVGrund_lfd_wö,'Kalkulation Herstellungskosten'!C199*Höchst_Woche,J103*SV_lfd))</f>
        <v>0</v>
      </c>
      <c r="O103" s="457">
        <f t="shared" si="294"/>
        <v>0</v>
      </c>
      <c r="P103" s="457">
        <f>IF(J103*10.41%&gt;(0.5833*'Kalkulation Herstellungskosten'!C199*SVGrund_lfd_tä),(0.5833*'Kalkulation Herstellungskosten'!C199*Höchst_Tag),J103*10.41%*SV_lfd)</f>
        <v>0</v>
      </c>
      <c r="Q103" s="457">
        <f t="shared" si="295"/>
        <v>0</v>
      </c>
      <c r="R103" s="457">
        <f t="shared" si="296"/>
        <v>0</v>
      </c>
      <c r="S103" s="457">
        <f t="shared" si="297"/>
        <v>0</v>
      </c>
      <c r="T103" s="457">
        <f t="shared" si="298"/>
        <v>0</v>
      </c>
      <c r="U103" s="457">
        <f t="shared" si="299"/>
        <v>0</v>
      </c>
      <c r="V103" s="457">
        <f>'Kalkulation Herstellungskosten'!C199*U_Bahn</f>
        <v>0</v>
      </c>
      <c r="W103" s="449">
        <f t="shared" si="300"/>
        <v>0</v>
      </c>
      <c r="X103" s="449">
        <f t="shared" si="301"/>
        <v>0</v>
      </c>
      <c r="Y103" s="448"/>
      <c r="Z103" s="448"/>
      <c r="AA103" s="448"/>
      <c r="AB103" s="448"/>
      <c r="AC103" s="448"/>
      <c r="AD103" s="448"/>
      <c r="AE103" s="448"/>
      <c r="AF103" s="448"/>
      <c r="AG103" s="448"/>
      <c r="AH103" s="448"/>
      <c r="AI103" s="448"/>
      <c r="AJ103" s="448"/>
      <c r="AK103" s="448"/>
      <c r="AL103" s="448"/>
      <c r="AM103" s="448"/>
      <c r="AN103" s="448"/>
      <c r="AO103" s="448"/>
      <c r="AP103" s="448"/>
      <c r="AQ103" s="448"/>
      <c r="AR103" s="448"/>
      <c r="AS103" s="448"/>
      <c r="AT103" s="448"/>
      <c r="AU103" s="448"/>
      <c r="AV103" s="448"/>
      <c r="AW103" s="448"/>
      <c r="AX103" s="448"/>
      <c r="AY103" s="448"/>
      <c r="AZ103" s="448"/>
      <c r="BA103" s="448"/>
    </row>
    <row r="104" spans="1:53" ht="12.75" customHeight="1" x14ac:dyDescent="0.2">
      <c r="A104" s="484">
        <f>'Kalkulation Herstellungskosten'!B200</f>
        <v>0</v>
      </c>
      <c r="B104" s="711"/>
      <c r="C104" s="897"/>
      <c r="D104" s="714"/>
      <c r="E104" s="714"/>
      <c r="F104" s="482">
        <f t="shared" si="266"/>
        <v>0</v>
      </c>
      <c r="G104" s="899"/>
      <c r="H104" s="480">
        <f t="shared" si="280"/>
        <v>0</v>
      </c>
      <c r="I104" s="477"/>
      <c r="J104" s="456">
        <f>'Kalkulation Herstellungskosten'!F200/((1+1/6)*1.1041)</f>
        <v>0</v>
      </c>
      <c r="K104" s="457">
        <f t="shared" ref="K104:K105" si="302">J104/6</f>
        <v>0</v>
      </c>
      <c r="L104" s="457">
        <f t="shared" ref="L104:L105" si="303">(J104+K104)*10.41%</f>
        <v>0</v>
      </c>
      <c r="M104" s="449">
        <f t="shared" ref="M104:M105" si="304">SUM(J104:L104)</f>
        <v>0</v>
      </c>
      <c r="N104" s="457">
        <f>IF('Kalkulation Herstellungskosten'!C200=0,0,IF(J104/'Kalkulation Herstellungskosten'!C200&gt;SVGrund_lfd_wö,'Kalkulation Herstellungskosten'!C200*Höchst_Woche,J104*SV_lfd))</f>
        <v>0</v>
      </c>
      <c r="O104" s="457">
        <f t="shared" ref="O104:O105" si="305">IF(K104&gt;SVGrund_SZ, Höchst_Mo_SZ,K104*SV_SZ)</f>
        <v>0</v>
      </c>
      <c r="P104" s="457">
        <f>IF(J104*10.41%&gt;(0.5833*'Kalkulation Herstellungskosten'!C200*SVGrund_lfd_tä),(0.5833*'Kalkulation Herstellungskosten'!C200*Höchst_Tag),J104*10.41%*SV_lfd)</f>
        <v>0</v>
      </c>
      <c r="Q104" s="457">
        <f t="shared" ref="Q104:Q105" si="306">IF(K104&gt;SVGrund_SZ,0,IF(K104*10.41%&gt;(SVGrund_SZ-K104),(SVGrund_SZ-K104)*SV_SZ,K104*10.41%*SV_SZ))</f>
        <v>0</v>
      </c>
      <c r="R104" s="457">
        <f t="shared" ref="R104:R105" si="307">M104*MV</f>
        <v>0</v>
      </c>
      <c r="S104" s="457">
        <f t="shared" ref="S104:S105" si="308">M104*DB</f>
        <v>0</v>
      </c>
      <c r="T104" s="457">
        <f t="shared" ref="T104:T105" si="309">M104*DZ</f>
        <v>0</v>
      </c>
      <c r="U104" s="457">
        <f t="shared" ref="U104:U105" si="310">M104*KommSt</f>
        <v>0</v>
      </c>
      <c r="V104" s="457">
        <f>'Kalkulation Herstellungskosten'!C200*U_Bahn</f>
        <v>0</v>
      </c>
      <c r="W104" s="449">
        <f t="shared" ref="W104:W105" si="311">SUM(N104:V104)</f>
        <v>0</v>
      </c>
      <c r="X104" s="449">
        <f t="shared" ref="X104:X105" si="312">SUM(M104,W104)</f>
        <v>0</v>
      </c>
      <c r="Y104" s="448"/>
      <c r="Z104" s="448"/>
      <c r="AA104" s="448"/>
      <c r="AB104" s="448"/>
      <c r="AC104" s="448"/>
      <c r="AD104" s="448"/>
      <c r="AE104" s="448"/>
      <c r="AF104" s="448"/>
      <c r="AG104" s="448"/>
      <c r="AH104" s="448"/>
      <c r="AI104" s="448"/>
      <c r="AJ104" s="448"/>
      <c r="AK104" s="448"/>
      <c r="AL104" s="448"/>
      <c r="AM104" s="448"/>
      <c r="AN104" s="448"/>
      <c r="AO104" s="448"/>
      <c r="AP104" s="448"/>
      <c r="AQ104" s="448"/>
      <c r="AR104" s="448"/>
      <c r="AS104" s="448"/>
      <c r="AT104" s="448"/>
      <c r="AU104" s="448"/>
      <c r="AV104" s="448"/>
      <c r="AW104" s="448"/>
      <c r="AX104" s="448"/>
      <c r="AY104" s="448"/>
      <c r="AZ104" s="448"/>
      <c r="BA104" s="448"/>
    </row>
    <row r="105" spans="1:53" ht="12.75" customHeight="1" x14ac:dyDescent="0.2">
      <c r="A105" s="484">
        <f>'Kalkulation Herstellungskosten'!B201</f>
        <v>0</v>
      </c>
      <c r="B105" s="711"/>
      <c r="C105" s="897"/>
      <c r="D105" s="714"/>
      <c r="E105" s="714"/>
      <c r="F105" s="482">
        <f t="shared" si="266"/>
        <v>0</v>
      </c>
      <c r="G105" s="899"/>
      <c r="H105" s="480">
        <f t="shared" si="280"/>
        <v>0</v>
      </c>
      <c r="I105" s="477"/>
      <c r="J105" s="456">
        <f>'Kalkulation Herstellungskosten'!F201/((1+1/6)*1.1041)</f>
        <v>0</v>
      </c>
      <c r="K105" s="457">
        <f t="shared" si="302"/>
        <v>0</v>
      </c>
      <c r="L105" s="457">
        <f t="shared" si="303"/>
        <v>0</v>
      </c>
      <c r="M105" s="449">
        <f t="shared" si="304"/>
        <v>0</v>
      </c>
      <c r="N105" s="457">
        <f>IF('Kalkulation Herstellungskosten'!C201=0,0,IF(J105/'Kalkulation Herstellungskosten'!C201&gt;SVGrund_lfd_wö,'Kalkulation Herstellungskosten'!C201*Höchst_Woche,J105*SV_lfd))</f>
        <v>0</v>
      </c>
      <c r="O105" s="457">
        <f t="shared" si="305"/>
        <v>0</v>
      </c>
      <c r="P105" s="457">
        <f>IF(J105*10.41%&gt;(0.5833*'Kalkulation Herstellungskosten'!C201*SVGrund_lfd_tä),(0.5833*'Kalkulation Herstellungskosten'!C201*Höchst_Tag),J105*10.41%*SV_lfd)</f>
        <v>0</v>
      </c>
      <c r="Q105" s="457">
        <f t="shared" si="306"/>
        <v>0</v>
      </c>
      <c r="R105" s="457">
        <f t="shared" si="307"/>
        <v>0</v>
      </c>
      <c r="S105" s="457">
        <f t="shared" si="308"/>
        <v>0</v>
      </c>
      <c r="T105" s="457">
        <f t="shared" si="309"/>
        <v>0</v>
      </c>
      <c r="U105" s="457">
        <f t="shared" si="310"/>
        <v>0</v>
      </c>
      <c r="V105" s="457">
        <f>'Kalkulation Herstellungskosten'!C201*U_Bahn</f>
        <v>0</v>
      </c>
      <c r="W105" s="449">
        <f t="shared" si="311"/>
        <v>0</v>
      </c>
      <c r="X105" s="449">
        <f t="shared" si="312"/>
        <v>0</v>
      </c>
      <c r="Y105" s="448"/>
      <c r="Z105" s="448"/>
      <c r="AA105" s="448"/>
      <c r="AB105" s="448"/>
      <c r="AC105" s="448"/>
      <c r="AD105" s="448"/>
      <c r="AE105" s="448"/>
      <c r="AF105" s="448"/>
      <c r="AG105" s="448"/>
      <c r="AH105" s="448"/>
      <c r="AI105" s="448"/>
      <c r="AJ105" s="448"/>
      <c r="AK105" s="448"/>
      <c r="AL105" s="448"/>
      <c r="AM105" s="448"/>
      <c r="AN105" s="448"/>
      <c r="AO105" s="448"/>
      <c r="AP105" s="448"/>
      <c r="AQ105" s="448"/>
      <c r="AR105" s="448"/>
      <c r="AS105" s="448"/>
      <c r="AT105" s="448"/>
      <c r="AU105" s="448"/>
      <c r="AV105" s="448"/>
      <c r="AW105" s="448"/>
      <c r="AX105" s="448"/>
      <c r="AY105" s="448"/>
      <c r="AZ105" s="448"/>
      <c r="BA105" s="448"/>
    </row>
    <row r="106" spans="1:53" ht="12.75" customHeight="1" x14ac:dyDescent="0.2">
      <c r="A106" s="484">
        <f>'Kalkulation Herstellungskosten'!B202</f>
        <v>0</v>
      </c>
      <c r="B106" s="711"/>
      <c r="C106" s="897"/>
      <c r="D106" s="714"/>
      <c r="E106" s="714"/>
      <c r="F106" s="482">
        <f t="shared" si="266"/>
        <v>0</v>
      </c>
      <c r="G106" s="899"/>
      <c r="H106" s="480">
        <f t="shared" si="280"/>
        <v>0</v>
      </c>
      <c r="I106" s="477"/>
      <c r="J106" s="456">
        <f>'Kalkulation Herstellungskosten'!F202/((1+1/6)*1.1041)</f>
        <v>0</v>
      </c>
      <c r="K106" s="457">
        <f t="shared" ref="K106:K108" si="313">J106/6</f>
        <v>0</v>
      </c>
      <c r="L106" s="457">
        <f t="shared" ref="L106:L108" si="314">(J106+K106)*10.41%</f>
        <v>0</v>
      </c>
      <c r="M106" s="449">
        <f t="shared" ref="M106:M108" si="315">SUM(J106:L106)</f>
        <v>0</v>
      </c>
      <c r="N106" s="457">
        <f>IF('Kalkulation Herstellungskosten'!C202=0,0,IF(J106/'Kalkulation Herstellungskosten'!C202&gt;SVGrund_lfd_wö,'Kalkulation Herstellungskosten'!C202*Höchst_Woche,J106*SV_lfd))</f>
        <v>0</v>
      </c>
      <c r="O106" s="457">
        <f t="shared" ref="O106:O108" si="316">IF(K106&gt;SVGrund_SZ, Höchst_Mo_SZ,K106*SV_SZ)</f>
        <v>0</v>
      </c>
      <c r="P106" s="457">
        <f>IF(J106*10.41%&gt;(0.5833*'Kalkulation Herstellungskosten'!C202*SVGrund_lfd_tä),(0.5833*'Kalkulation Herstellungskosten'!C202*Höchst_Tag),J106*10.41%*SV_lfd)</f>
        <v>0</v>
      </c>
      <c r="Q106" s="457">
        <f t="shared" ref="Q106:Q108" si="317">IF(K106&gt;SVGrund_SZ,0,IF(K106*10.41%&gt;(SVGrund_SZ-K106),(SVGrund_SZ-K106)*SV_SZ,K106*10.41%*SV_SZ))</f>
        <v>0</v>
      </c>
      <c r="R106" s="457">
        <f t="shared" ref="R106:R108" si="318">M106*MV</f>
        <v>0</v>
      </c>
      <c r="S106" s="457">
        <f t="shared" ref="S106:S108" si="319">M106*DB</f>
        <v>0</v>
      </c>
      <c r="T106" s="457">
        <f t="shared" ref="T106:T108" si="320">M106*DZ</f>
        <v>0</v>
      </c>
      <c r="U106" s="457">
        <f t="shared" ref="U106:U108" si="321">M106*KommSt</f>
        <v>0</v>
      </c>
      <c r="V106" s="457">
        <f>'Kalkulation Herstellungskosten'!C202*U_Bahn</f>
        <v>0</v>
      </c>
      <c r="W106" s="449">
        <f t="shared" ref="W106:W108" si="322">SUM(N106:V106)</f>
        <v>0</v>
      </c>
      <c r="X106" s="449">
        <f t="shared" ref="X106:X108" si="323">SUM(M106,W106)</f>
        <v>0</v>
      </c>
      <c r="Y106" s="448"/>
      <c r="Z106" s="448"/>
      <c r="AA106" s="448"/>
      <c r="AB106" s="448"/>
      <c r="AC106" s="448"/>
      <c r="AD106" s="448"/>
      <c r="AE106" s="448"/>
      <c r="AF106" s="448"/>
      <c r="AG106" s="448"/>
      <c r="AH106" s="448"/>
      <c r="AI106" s="448"/>
      <c r="AJ106" s="448"/>
      <c r="AK106" s="448"/>
      <c r="AL106" s="448"/>
      <c r="AM106" s="448"/>
      <c r="AN106" s="448"/>
      <c r="AO106" s="448"/>
      <c r="AP106" s="448"/>
      <c r="AQ106" s="448"/>
      <c r="AR106" s="448"/>
      <c r="AS106" s="448"/>
      <c r="AT106" s="448"/>
      <c r="AU106" s="448"/>
      <c r="AV106" s="448"/>
      <c r="AW106" s="448"/>
      <c r="AX106" s="448"/>
      <c r="AY106" s="448"/>
      <c r="AZ106" s="448"/>
      <c r="BA106" s="448"/>
    </row>
    <row r="107" spans="1:53" ht="12.75" customHeight="1" x14ac:dyDescent="0.2">
      <c r="A107" s="484">
        <f>'Kalkulation Herstellungskosten'!B203</f>
        <v>0</v>
      </c>
      <c r="B107" s="711"/>
      <c r="C107" s="897"/>
      <c r="D107" s="714"/>
      <c r="E107" s="714"/>
      <c r="F107" s="482">
        <f t="shared" si="266"/>
        <v>0</v>
      </c>
      <c r="G107" s="899"/>
      <c r="H107" s="480">
        <f t="shared" si="280"/>
        <v>0</v>
      </c>
      <c r="I107" s="477"/>
      <c r="J107" s="456">
        <f>'Kalkulation Herstellungskosten'!F203/((1+1/6)*1.1041)</f>
        <v>0</v>
      </c>
      <c r="K107" s="457">
        <f t="shared" si="313"/>
        <v>0</v>
      </c>
      <c r="L107" s="457">
        <f t="shared" si="314"/>
        <v>0</v>
      </c>
      <c r="M107" s="449">
        <f t="shared" si="315"/>
        <v>0</v>
      </c>
      <c r="N107" s="457">
        <f>IF('Kalkulation Herstellungskosten'!C203=0,0,IF(J107/'Kalkulation Herstellungskosten'!C203&gt;SVGrund_lfd_wö,'Kalkulation Herstellungskosten'!C203*Höchst_Woche,J107*SV_lfd))</f>
        <v>0</v>
      </c>
      <c r="O107" s="457">
        <f t="shared" si="316"/>
        <v>0</v>
      </c>
      <c r="P107" s="457">
        <f>IF(J107*10.41%&gt;(0.5833*'Kalkulation Herstellungskosten'!C203*SVGrund_lfd_tä),(0.5833*'Kalkulation Herstellungskosten'!C203*Höchst_Tag),J107*10.41%*SV_lfd)</f>
        <v>0</v>
      </c>
      <c r="Q107" s="457">
        <f t="shared" si="317"/>
        <v>0</v>
      </c>
      <c r="R107" s="457">
        <f t="shared" si="318"/>
        <v>0</v>
      </c>
      <c r="S107" s="457">
        <f t="shared" si="319"/>
        <v>0</v>
      </c>
      <c r="T107" s="457">
        <f t="shared" si="320"/>
        <v>0</v>
      </c>
      <c r="U107" s="457">
        <f t="shared" si="321"/>
        <v>0</v>
      </c>
      <c r="V107" s="457">
        <f>'Kalkulation Herstellungskosten'!C203*U_Bahn</f>
        <v>0</v>
      </c>
      <c r="W107" s="449">
        <f t="shared" si="322"/>
        <v>0</v>
      </c>
      <c r="X107" s="449">
        <f t="shared" si="323"/>
        <v>0</v>
      </c>
      <c r="Y107" s="448"/>
      <c r="Z107" s="448"/>
      <c r="AA107" s="448"/>
      <c r="AB107" s="448"/>
      <c r="AC107" s="448"/>
      <c r="AD107" s="448"/>
      <c r="AE107" s="448"/>
      <c r="AF107" s="448"/>
      <c r="AG107" s="448"/>
      <c r="AH107" s="448"/>
      <c r="AI107" s="448"/>
      <c r="AJ107" s="448"/>
      <c r="AK107" s="448"/>
      <c r="AL107" s="448"/>
      <c r="AM107" s="448"/>
      <c r="AN107" s="448"/>
      <c r="AO107" s="448"/>
      <c r="AP107" s="448"/>
      <c r="AQ107" s="448"/>
      <c r="AR107" s="448"/>
      <c r="AS107" s="448"/>
      <c r="AT107" s="448"/>
      <c r="AU107" s="448"/>
      <c r="AV107" s="448"/>
      <c r="AW107" s="448"/>
      <c r="AX107" s="448"/>
      <c r="AY107" s="448"/>
      <c r="AZ107" s="448"/>
      <c r="BA107" s="448"/>
    </row>
    <row r="108" spans="1:53" ht="12.75" customHeight="1" x14ac:dyDescent="0.2">
      <c r="A108" s="484">
        <f>'Kalkulation Herstellungskosten'!B204</f>
        <v>0</v>
      </c>
      <c r="B108" s="711"/>
      <c r="C108" s="897"/>
      <c r="D108" s="714"/>
      <c r="E108" s="714"/>
      <c r="F108" s="482">
        <f t="shared" si="266"/>
        <v>0</v>
      </c>
      <c r="G108" s="899"/>
      <c r="H108" s="480">
        <f t="shared" si="280"/>
        <v>0</v>
      </c>
      <c r="I108" s="477"/>
      <c r="J108" s="456">
        <f>'Kalkulation Herstellungskosten'!F204/((1+1/6)*1.1041)</f>
        <v>0</v>
      </c>
      <c r="K108" s="457">
        <f t="shared" si="313"/>
        <v>0</v>
      </c>
      <c r="L108" s="457">
        <f t="shared" si="314"/>
        <v>0</v>
      </c>
      <c r="M108" s="449">
        <f t="shared" si="315"/>
        <v>0</v>
      </c>
      <c r="N108" s="457">
        <f>IF('Kalkulation Herstellungskosten'!C204=0,0,IF(J108/'Kalkulation Herstellungskosten'!C204&gt;SVGrund_lfd_wö,'Kalkulation Herstellungskosten'!C204*Höchst_Woche,J108*SV_lfd))</f>
        <v>0</v>
      </c>
      <c r="O108" s="457">
        <f t="shared" si="316"/>
        <v>0</v>
      </c>
      <c r="P108" s="457">
        <f>IF(J108*10.41%&gt;(0.5833*'Kalkulation Herstellungskosten'!C204*SVGrund_lfd_tä),(0.5833*'Kalkulation Herstellungskosten'!C204*Höchst_Tag),J108*10.41%*SV_lfd)</f>
        <v>0</v>
      </c>
      <c r="Q108" s="457">
        <f t="shared" si="317"/>
        <v>0</v>
      </c>
      <c r="R108" s="457">
        <f t="shared" si="318"/>
        <v>0</v>
      </c>
      <c r="S108" s="457">
        <f t="shared" si="319"/>
        <v>0</v>
      </c>
      <c r="T108" s="457">
        <f t="shared" si="320"/>
        <v>0</v>
      </c>
      <c r="U108" s="457">
        <f t="shared" si="321"/>
        <v>0</v>
      </c>
      <c r="V108" s="457">
        <f>'Kalkulation Herstellungskosten'!C204*U_Bahn</f>
        <v>0</v>
      </c>
      <c r="W108" s="449">
        <f t="shared" si="322"/>
        <v>0</v>
      </c>
      <c r="X108" s="449">
        <f t="shared" si="323"/>
        <v>0</v>
      </c>
      <c r="Y108" s="448"/>
      <c r="Z108" s="448"/>
      <c r="AA108" s="448"/>
      <c r="AB108" s="448"/>
      <c r="AC108" s="448"/>
      <c r="AD108" s="448"/>
      <c r="AE108" s="448"/>
      <c r="AF108" s="448"/>
      <c r="AG108" s="448"/>
      <c r="AH108" s="448"/>
      <c r="AI108" s="448"/>
      <c r="AJ108" s="448"/>
      <c r="AK108" s="448"/>
      <c r="AL108" s="448"/>
      <c r="AM108" s="448"/>
      <c r="AN108" s="448"/>
      <c r="AO108" s="448"/>
      <c r="AP108" s="448"/>
      <c r="AQ108" s="448"/>
      <c r="AR108" s="448"/>
      <c r="AS108" s="448"/>
      <c r="AT108" s="448"/>
      <c r="AU108" s="448"/>
      <c r="AV108" s="448"/>
      <c r="AW108" s="448"/>
      <c r="AX108" s="448"/>
      <c r="AY108" s="448"/>
      <c r="AZ108" s="448"/>
      <c r="BA108" s="448"/>
    </row>
    <row r="109" spans="1:53" ht="12.75" customHeight="1" x14ac:dyDescent="0.2">
      <c r="A109" s="484">
        <f>'Kalkulation Herstellungskosten'!B205</f>
        <v>0</v>
      </c>
      <c r="B109" s="711"/>
      <c r="C109" s="897"/>
      <c r="D109" s="714"/>
      <c r="E109" s="714"/>
      <c r="F109" s="482">
        <f t="shared" si="266"/>
        <v>0</v>
      </c>
      <c r="G109" s="899"/>
      <c r="H109" s="480">
        <f t="shared" si="280"/>
        <v>0</v>
      </c>
      <c r="I109" s="477"/>
      <c r="J109" s="456">
        <f>'Kalkulation Herstellungskosten'!F205/((1+1/6)*1.1041)</f>
        <v>0</v>
      </c>
      <c r="K109" s="457">
        <f t="shared" ref="K109:K138" si="324">J109/6</f>
        <v>0</v>
      </c>
      <c r="L109" s="457">
        <f t="shared" ref="L109:L138" si="325">(J109+K109)*10.41%</f>
        <v>0</v>
      </c>
      <c r="M109" s="449">
        <f t="shared" ref="M109:M138" si="326">SUM(J109:L109)</f>
        <v>0</v>
      </c>
      <c r="N109" s="457">
        <f>IF('Kalkulation Herstellungskosten'!C205=0,0,IF(J109/'Kalkulation Herstellungskosten'!C205&gt;SVGrund_lfd_wö,'Kalkulation Herstellungskosten'!C205*Höchst_Woche,J109*SV_lfd))</f>
        <v>0</v>
      </c>
      <c r="O109" s="457">
        <f t="shared" ref="O109:O138" si="327">IF(K109&gt;SVGrund_SZ, Höchst_Mo_SZ,K109*SV_SZ)</f>
        <v>0</v>
      </c>
      <c r="P109" s="457">
        <f>IF(J109*10.41%&gt;(0.5833*'Kalkulation Herstellungskosten'!C205*SVGrund_lfd_tä),(0.5833*'Kalkulation Herstellungskosten'!C205*Höchst_Tag),J109*10.41%*SV_lfd)</f>
        <v>0</v>
      </c>
      <c r="Q109" s="457">
        <f t="shared" ref="Q109:Q138" si="328">IF(K109&gt;SVGrund_SZ,0,IF(K109*10.41%&gt;(SVGrund_SZ-K109),(SVGrund_SZ-K109)*SV_SZ,K109*10.41%*SV_SZ))</f>
        <v>0</v>
      </c>
      <c r="R109" s="457">
        <f t="shared" ref="R109:R138" si="329">M109*MV</f>
        <v>0</v>
      </c>
      <c r="S109" s="457">
        <f t="shared" ref="S109:S138" si="330">M109*DB</f>
        <v>0</v>
      </c>
      <c r="T109" s="457">
        <f t="shared" ref="T109:T138" si="331">M109*DZ</f>
        <v>0</v>
      </c>
      <c r="U109" s="457">
        <f t="shared" ref="U109:U138" si="332">M109*KommSt</f>
        <v>0</v>
      </c>
      <c r="V109" s="457">
        <f>'Kalkulation Herstellungskosten'!C205*U_Bahn</f>
        <v>0</v>
      </c>
      <c r="W109" s="449">
        <f t="shared" ref="W109:W138" si="333">SUM(N109:V109)</f>
        <v>0</v>
      </c>
      <c r="X109" s="449">
        <f t="shared" ref="X109:X138" si="334">SUM(M109,W109)</f>
        <v>0</v>
      </c>
      <c r="Y109" s="448"/>
      <c r="Z109" s="448"/>
      <c r="AA109" s="448"/>
      <c r="AB109" s="448"/>
      <c r="AC109" s="448"/>
      <c r="AD109" s="448"/>
      <c r="AE109" s="448"/>
      <c r="AF109" s="448"/>
      <c r="AG109" s="448"/>
      <c r="AH109" s="448"/>
      <c r="AI109" s="448"/>
      <c r="AJ109" s="448"/>
      <c r="AK109" s="448"/>
      <c r="AL109" s="448"/>
      <c r="AM109" s="448"/>
      <c r="AN109" s="448"/>
      <c r="AO109" s="448"/>
      <c r="AP109" s="448"/>
      <c r="AQ109" s="448"/>
      <c r="AR109" s="448"/>
      <c r="AS109" s="448"/>
      <c r="AT109" s="448"/>
      <c r="AU109" s="448"/>
      <c r="AV109" s="448"/>
      <c r="AW109" s="448"/>
      <c r="AX109" s="448"/>
      <c r="AY109" s="448"/>
      <c r="AZ109" s="448"/>
      <c r="BA109" s="448"/>
    </row>
    <row r="110" spans="1:53" ht="12.75" customHeight="1" x14ac:dyDescent="0.2">
      <c r="A110" s="484">
        <f>'Kalkulation Herstellungskosten'!B206</f>
        <v>0</v>
      </c>
      <c r="B110" s="711"/>
      <c r="C110" s="897"/>
      <c r="D110" s="714"/>
      <c r="E110" s="714"/>
      <c r="F110" s="482">
        <f t="shared" si="266"/>
        <v>0</v>
      </c>
      <c r="G110" s="899"/>
      <c r="H110" s="480">
        <f t="shared" si="280"/>
        <v>0</v>
      </c>
      <c r="I110" s="477"/>
      <c r="J110" s="456">
        <f>'Kalkulation Herstellungskosten'!F206/((1+1/6)*1.1041)</f>
        <v>0</v>
      </c>
      <c r="K110" s="457">
        <f t="shared" si="324"/>
        <v>0</v>
      </c>
      <c r="L110" s="457">
        <f t="shared" si="325"/>
        <v>0</v>
      </c>
      <c r="M110" s="449">
        <f t="shared" si="326"/>
        <v>0</v>
      </c>
      <c r="N110" s="457">
        <f>IF('Kalkulation Herstellungskosten'!C206=0,0,IF(J110/'Kalkulation Herstellungskosten'!C206&gt;SVGrund_lfd_wö,'Kalkulation Herstellungskosten'!C206*Höchst_Woche,J110*SV_lfd))</f>
        <v>0</v>
      </c>
      <c r="O110" s="457">
        <f t="shared" si="327"/>
        <v>0</v>
      </c>
      <c r="P110" s="457">
        <f>IF(J110*10.41%&gt;(0.5833*'Kalkulation Herstellungskosten'!C206*SVGrund_lfd_tä),(0.5833*'Kalkulation Herstellungskosten'!C206*Höchst_Tag),J110*10.41%*SV_lfd)</f>
        <v>0</v>
      </c>
      <c r="Q110" s="457">
        <f t="shared" si="328"/>
        <v>0</v>
      </c>
      <c r="R110" s="457">
        <f t="shared" si="329"/>
        <v>0</v>
      </c>
      <c r="S110" s="457">
        <f t="shared" si="330"/>
        <v>0</v>
      </c>
      <c r="T110" s="457">
        <f t="shared" si="331"/>
        <v>0</v>
      </c>
      <c r="U110" s="457">
        <f t="shared" si="332"/>
        <v>0</v>
      </c>
      <c r="V110" s="457">
        <f>'Kalkulation Herstellungskosten'!C206*U_Bahn</f>
        <v>0</v>
      </c>
      <c r="W110" s="449">
        <f t="shared" si="333"/>
        <v>0</v>
      </c>
      <c r="X110" s="449">
        <f t="shared" si="334"/>
        <v>0</v>
      </c>
      <c r="Y110" s="448"/>
      <c r="Z110" s="448"/>
      <c r="AA110" s="448"/>
      <c r="AB110" s="448"/>
      <c r="AC110" s="448"/>
      <c r="AD110" s="448"/>
      <c r="AE110" s="448"/>
      <c r="AF110" s="448"/>
      <c r="AG110" s="448"/>
      <c r="AH110" s="448"/>
      <c r="AI110" s="448"/>
      <c r="AJ110" s="448"/>
      <c r="AK110" s="448"/>
      <c r="AL110" s="448"/>
      <c r="AM110" s="448"/>
      <c r="AN110" s="448"/>
      <c r="AO110" s="448"/>
      <c r="AP110" s="448"/>
      <c r="AQ110" s="448"/>
      <c r="AR110" s="448"/>
      <c r="AS110" s="448"/>
      <c r="AT110" s="448"/>
      <c r="AU110" s="448"/>
      <c r="AV110" s="448"/>
      <c r="AW110" s="448"/>
      <c r="AX110" s="448"/>
      <c r="AY110" s="448"/>
      <c r="AZ110" s="448"/>
      <c r="BA110" s="448"/>
    </row>
    <row r="111" spans="1:53" ht="12.75" customHeight="1" x14ac:dyDescent="0.2">
      <c r="A111" s="484">
        <f>'Kalkulation Herstellungskosten'!B207</f>
        <v>0</v>
      </c>
      <c r="B111" s="711"/>
      <c r="C111" s="897"/>
      <c r="D111" s="714"/>
      <c r="E111" s="714"/>
      <c r="F111" s="482">
        <f t="shared" si="266"/>
        <v>0</v>
      </c>
      <c r="G111" s="899"/>
      <c r="H111" s="480">
        <f t="shared" si="280"/>
        <v>0</v>
      </c>
      <c r="I111" s="477"/>
      <c r="J111" s="456">
        <f>'Kalkulation Herstellungskosten'!F207/((1+1/6)*1.1041)</f>
        <v>0</v>
      </c>
      <c r="K111" s="457">
        <f t="shared" si="324"/>
        <v>0</v>
      </c>
      <c r="L111" s="457">
        <f t="shared" si="325"/>
        <v>0</v>
      </c>
      <c r="M111" s="449">
        <f t="shared" si="326"/>
        <v>0</v>
      </c>
      <c r="N111" s="457">
        <f>IF('Kalkulation Herstellungskosten'!C207=0,0,IF(J111/'Kalkulation Herstellungskosten'!C207&gt;SVGrund_lfd_wö,'Kalkulation Herstellungskosten'!C207*Höchst_Woche,J111*SV_lfd))</f>
        <v>0</v>
      </c>
      <c r="O111" s="457">
        <f t="shared" si="327"/>
        <v>0</v>
      </c>
      <c r="P111" s="457">
        <f>IF(J111*10.41%&gt;(0.5833*'Kalkulation Herstellungskosten'!C207*SVGrund_lfd_tä),(0.5833*'Kalkulation Herstellungskosten'!C207*Höchst_Tag),J111*10.41%*SV_lfd)</f>
        <v>0</v>
      </c>
      <c r="Q111" s="457">
        <f t="shared" si="328"/>
        <v>0</v>
      </c>
      <c r="R111" s="457">
        <f t="shared" si="329"/>
        <v>0</v>
      </c>
      <c r="S111" s="457">
        <f t="shared" si="330"/>
        <v>0</v>
      </c>
      <c r="T111" s="457">
        <f t="shared" si="331"/>
        <v>0</v>
      </c>
      <c r="U111" s="457">
        <f t="shared" si="332"/>
        <v>0</v>
      </c>
      <c r="V111" s="457">
        <f>'Kalkulation Herstellungskosten'!C207*U_Bahn</f>
        <v>0</v>
      </c>
      <c r="W111" s="449">
        <f t="shared" si="333"/>
        <v>0</v>
      </c>
      <c r="X111" s="449">
        <f t="shared" si="334"/>
        <v>0</v>
      </c>
      <c r="Y111" s="448"/>
      <c r="Z111" s="448"/>
      <c r="AA111" s="448"/>
      <c r="AB111" s="448"/>
      <c r="AC111" s="448"/>
      <c r="AD111" s="448"/>
      <c r="AE111" s="448"/>
      <c r="AF111" s="448"/>
      <c r="AG111" s="448"/>
      <c r="AH111" s="448"/>
      <c r="AI111" s="448"/>
      <c r="AJ111" s="448"/>
      <c r="AK111" s="448"/>
      <c r="AL111" s="448"/>
      <c r="AM111" s="448"/>
      <c r="AN111" s="448"/>
      <c r="AO111" s="448"/>
      <c r="AP111" s="448"/>
      <c r="AQ111" s="448"/>
      <c r="AR111" s="448"/>
      <c r="AS111" s="448"/>
      <c r="AT111" s="448"/>
      <c r="AU111" s="448"/>
      <c r="AV111" s="448"/>
      <c r="AW111" s="448"/>
      <c r="AX111" s="448"/>
      <c r="AY111" s="448"/>
      <c r="AZ111" s="448"/>
      <c r="BA111" s="448"/>
    </row>
    <row r="112" spans="1:53" ht="12.75" customHeight="1" x14ac:dyDescent="0.2">
      <c r="A112" s="484">
        <f>'Kalkulation Herstellungskosten'!B208</f>
        <v>0</v>
      </c>
      <c r="B112" s="711"/>
      <c r="C112" s="897"/>
      <c r="D112" s="714"/>
      <c r="E112" s="714"/>
      <c r="F112" s="482">
        <f t="shared" si="266"/>
        <v>0</v>
      </c>
      <c r="G112" s="899"/>
      <c r="H112" s="480">
        <f t="shared" si="280"/>
        <v>0</v>
      </c>
      <c r="I112" s="477"/>
      <c r="J112" s="456">
        <f>'Kalkulation Herstellungskosten'!F208/((1+1/6)*1.1041)</f>
        <v>0</v>
      </c>
      <c r="K112" s="457">
        <f t="shared" si="324"/>
        <v>0</v>
      </c>
      <c r="L112" s="457">
        <f t="shared" si="325"/>
        <v>0</v>
      </c>
      <c r="M112" s="449">
        <f t="shared" si="326"/>
        <v>0</v>
      </c>
      <c r="N112" s="457">
        <f>IF('Kalkulation Herstellungskosten'!C208=0,0,IF(J112/'Kalkulation Herstellungskosten'!C208&gt;SVGrund_lfd_wö,'Kalkulation Herstellungskosten'!C208*Höchst_Woche,J112*SV_lfd))</f>
        <v>0</v>
      </c>
      <c r="O112" s="457">
        <f t="shared" si="327"/>
        <v>0</v>
      </c>
      <c r="P112" s="457">
        <f>IF(J112*10.41%&gt;(0.5833*'Kalkulation Herstellungskosten'!C208*SVGrund_lfd_tä),(0.5833*'Kalkulation Herstellungskosten'!C208*Höchst_Tag),J112*10.41%*SV_lfd)</f>
        <v>0</v>
      </c>
      <c r="Q112" s="457">
        <f t="shared" si="328"/>
        <v>0</v>
      </c>
      <c r="R112" s="457">
        <f t="shared" si="329"/>
        <v>0</v>
      </c>
      <c r="S112" s="457">
        <f t="shared" si="330"/>
        <v>0</v>
      </c>
      <c r="T112" s="457">
        <f t="shared" si="331"/>
        <v>0</v>
      </c>
      <c r="U112" s="457">
        <f t="shared" si="332"/>
        <v>0</v>
      </c>
      <c r="V112" s="457">
        <f>'Kalkulation Herstellungskosten'!C208*U_Bahn</f>
        <v>0</v>
      </c>
      <c r="W112" s="449">
        <f t="shared" si="333"/>
        <v>0</v>
      </c>
      <c r="X112" s="449">
        <f t="shared" si="334"/>
        <v>0</v>
      </c>
      <c r="Y112" s="448"/>
      <c r="Z112" s="448"/>
      <c r="AA112" s="448"/>
      <c r="AB112" s="448"/>
      <c r="AC112" s="448"/>
      <c r="AD112" s="448"/>
      <c r="AE112" s="448"/>
      <c r="AF112" s="448"/>
      <c r="AG112" s="448"/>
      <c r="AH112" s="448"/>
      <c r="AI112" s="448"/>
      <c r="AJ112" s="448"/>
      <c r="AK112" s="448"/>
      <c r="AL112" s="448"/>
      <c r="AM112" s="448"/>
      <c r="AN112" s="448"/>
      <c r="AO112" s="448"/>
      <c r="AP112" s="448"/>
      <c r="AQ112" s="448"/>
      <c r="AR112" s="448"/>
      <c r="AS112" s="448"/>
      <c r="AT112" s="448"/>
      <c r="AU112" s="448"/>
      <c r="AV112" s="448"/>
      <c r="AW112" s="448"/>
      <c r="AX112" s="448"/>
      <c r="AY112" s="448"/>
      <c r="AZ112" s="448"/>
      <c r="BA112" s="448"/>
    </row>
    <row r="113" spans="1:53" ht="12.75" customHeight="1" x14ac:dyDescent="0.2">
      <c r="A113" s="484">
        <f>'Kalkulation Herstellungskosten'!B209</f>
        <v>0</v>
      </c>
      <c r="B113" s="711"/>
      <c r="C113" s="897"/>
      <c r="D113" s="714"/>
      <c r="E113" s="714"/>
      <c r="F113" s="482">
        <f t="shared" si="266"/>
        <v>0</v>
      </c>
      <c r="G113" s="899"/>
      <c r="H113" s="480">
        <f t="shared" si="280"/>
        <v>0</v>
      </c>
      <c r="I113" s="477"/>
      <c r="J113" s="456">
        <f>'Kalkulation Herstellungskosten'!F209/((1+1/6)*1.1041)</f>
        <v>0</v>
      </c>
      <c r="K113" s="457">
        <f t="shared" si="324"/>
        <v>0</v>
      </c>
      <c r="L113" s="457">
        <f t="shared" si="325"/>
        <v>0</v>
      </c>
      <c r="M113" s="449">
        <f t="shared" si="326"/>
        <v>0</v>
      </c>
      <c r="N113" s="457">
        <f>IF('Kalkulation Herstellungskosten'!C209=0,0,IF(J113/'Kalkulation Herstellungskosten'!C209&gt;SVGrund_lfd_wö,'Kalkulation Herstellungskosten'!C209*Höchst_Woche,J113*SV_lfd))</f>
        <v>0</v>
      </c>
      <c r="O113" s="457">
        <f t="shared" si="327"/>
        <v>0</v>
      </c>
      <c r="P113" s="457">
        <f>IF(J113*10.41%&gt;(0.5833*'Kalkulation Herstellungskosten'!C209*SVGrund_lfd_tä),(0.5833*'Kalkulation Herstellungskosten'!C209*Höchst_Tag),J113*10.41%*SV_lfd)</f>
        <v>0</v>
      </c>
      <c r="Q113" s="457">
        <f t="shared" si="328"/>
        <v>0</v>
      </c>
      <c r="R113" s="457">
        <f t="shared" si="329"/>
        <v>0</v>
      </c>
      <c r="S113" s="457">
        <f t="shared" si="330"/>
        <v>0</v>
      </c>
      <c r="T113" s="457">
        <f t="shared" si="331"/>
        <v>0</v>
      </c>
      <c r="U113" s="457">
        <f t="shared" si="332"/>
        <v>0</v>
      </c>
      <c r="V113" s="457">
        <f>'Kalkulation Herstellungskosten'!C209*U_Bahn</f>
        <v>0</v>
      </c>
      <c r="W113" s="449">
        <f t="shared" si="333"/>
        <v>0</v>
      </c>
      <c r="X113" s="449">
        <f t="shared" si="334"/>
        <v>0</v>
      </c>
      <c r="Y113" s="448"/>
      <c r="Z113" s="448"/>
      <c r="AA113" s="448"/>
      <c r="AB113" s="448"/>
      <c r="AC113" s="448"/>
      <c r="AD113" s="448"/>
      <c r="AE113" s="448"/>
      <c r="AF113" s="448"/>
      <c r="AG113" s="448"/>
      <c r="AH113" s="448"/>
      <c r="AI113" s="448"/>
      <c r="AJ113" s="448"/>
      <c r="AK113" s="448"/>
      <c r="AL113" s="448"/>
      <c r="AM113" s="448"/>
      <c r="AN113" s="448"/>
      <c r="AO113" s="448"/>
      <c r="AP113" s="448"/>
      <c r="AQ113" s="448"/>
      <c r="AR113" s="448"/>
      <c r="AS113" s="448"/>
      <c r="AT113" s="448"/>
      <c r="AU113" s="448"/>
      <c r="AV113" s="448"/>
      <c r="AW113" s="448"/>
      <c r="AX113" s="448"/>
      <c r="AY113" s="448"/>
      <c r="AZ113" s="448"/>
      <c r="BA113" s="448"/>
    </row>
    <row r="114" spans="1:53" ht="12.75" customHeight="1" x14ac:dyDescent="0.2">
      <c r="A114" s="484">
        <f>'Kalkulation Herstellungskosten'!B210</f>
        <v>0</v>
      </c>
      <c r="B114" s="711"/>
      <c r="C114" s="897"/>
      <c r="D114" s="714"/>
      <c r="E114" s="714"/>
      <c r="F114" s="482">
        <f t="shared" si="266"/>
        <v>0</v>
      </c>
      <c r="G114" s="899"/>
      <c r="H114" s="480">
        <f t="shared" si="280"/>
        <v>0</v>
      </c>
      <c r="I114" s="477"/>
      <c r="J114" s="456">
        <f>'Kalkulation Herstellungskosten'!F210/((1+1/6)*1.1041)</f>
        <v>0</v>
      </c>
      <c r="K114" s="457">
        <f t="shared" si="324"/>
        <v>0</v>
      </c>
      <c r="L114" s="457">
        <f t="shared" si="325"/>
        <v>0</v>
      </c>
      <c r="M114" s="449">
        <f t="shared" si="326"/>
        <v>0</v>
      </c>
      <c r="N114" s="457">
        <f>IF('Kalkulation Herstellungskosten'!C210=0,0,IF(J114/'Kalkulation Herstellungskosten'!C210&gt;SVGrund_lfd_wö,'Kalkulation Herstellungskosten'!C210*Höchst_Woche,J114*SV_lfd))</f>
        <v>0</v>
      </c>
      <c r="O114" s="457">
        <f t="shared" si="327"/>
        <v>0</v>
      </c>
      <c r="P114" s="457">
        <f>IF(J114*10.41%&gt;(0.5833*'Kalkulation Herstellungskosten'!C210*SVGrund_lfd_tä),(0.5833*'Kalkulation Herstellungskosten'!C210*Höchst_Tag),J114*10.41%*SV_lfd)</f>
        <v>0</v>
      </c>
      <c r="Q114" s="457">
        <f t="shared" si="328"/>
        <v>0</v>
      </c>
      <c r="R114" s="457">
        <f t="shared" si="329"/>
        <v>0</v>
      </c>
      <c r="S114" s="457">
        <f t="shared" si="330"/>
        <v>0</v>
      </c>
      <c r="T114" s="457">
        <f t="shared" si="331"/>
        <v>0</v>
      </c>
      <c r="U114" s="457">
        <f t="shared" si="332"/>
        <v>0</v>
      </c>
      <c r="V114" s="457">
        <f>'Kalkulation Herstellungskosten'!C210*U_Bahn</f>
        <v>0</v>
      </c>
      <c r="W114" s="449">
        <f t="shared" si="333"/>
        <v>0</v>
      </c>
      <c r="X114" s="449">
        <f t="shared" si="334"/>
        <v>0</v>
      </c>
      <c r="Y114" s="448"/>
      <c r="Z114" s="448"/>
      <c r="AA114" s="448"/>
      <c r="AB114" s="448"/>
      <c r="AC114" s="448"/>
      <c r="AD114" s="448"/>
      <c r="AE114" s="448"/>
      <c r="AF114" s="448"/>
      <c r="AG114" s="448"/>
      <c r="AH114" s="448"/>
      <c r="AI114" s="448"/>
      <c r="AJ114" s="448"/>
      <c r="AK114" s="448"/>
      <c r="AL114" s="448"/>
      <c r="AM114" s="448"/>
      <c r="AN114" s="448"/>
      <c r="AO114" s="448"/>
      <c r="AP114" s="448"/>
      <c r="AQ114" s="448"/>
      <c r="AR114" s="448"/>
      <c r="AS114" s="448"/>
      <c r="AT114" s="448"/>
      <c r="AU114" s="448"/>
      <c r="AV114" s="448"/>
      <c r="AW114" s="448"/>
      <c r="AX114" s="448"/>
      <c r="AY114" s="448"/>
      <c r="AZ114" s="448"/>
      <c r="BA114" s="448"/>
    </row>
    <row r="115" spans="1:53" ht="12.75" customHeight="1" x14ac:dyDescent="0.2">
      <c r="A115" s="484">
        <f>'Kalkulation Herstellungskosten'!B211</f>
        <v>0</v>
      </c>
      <c r="B115" s="711"/>
      <c r="C115" s="897"/>
      <c r="D115" s="714"/>
      <c r="E115" s="714"/>
      <c r="F115" s="482">
        <f t="shared" si="266"/>
        <v>0</v>
      </c>
      <c r="G115" s="899"/>
      <c r="H115" s="480">
        <f t="shared" si="280"/>
        <v>0</v>
      </c>
      <c r="I115" s="477"/>
      <c r="J115" s="456">
        <f>'Kalkulation Herstellungskosten'!F211/((1+1/6)*1.1041)</f>
        <v>0</v>
      </c>
      <c r="K115" s="457">
        <f t="shared" si="324"/>
        <v>0</v>
      </c>
      <c r="L115" s="457">
        <f t="shared" si="325"/>
        <v>0</v>
      </c>
      <c r="M115" s="449">
        <f t="shared" si="326"/>
        <v>0</v>
      </c>
      <c r="N115" s="457">
        <f>IF('Kalkulation Herstellungskosten'!C211=0,0,IF(J115/'Kalkulation Herstellungskosten'!C211&gt;SVGrund_lfd_wö,'Kalkulation Herstellungskosten'!C211*Höchst_Woche,J115*SV_lfd))</f>
        <v>0</v>
      </c>
      <c r="O115" s="457">
        <f t="shared" si="327"/>
        <v>0</v>
      </c>
      <c r="P115" s="457">
        <f>IF(J115*10.41%&gt;(0.5833*'Kalkulation Herstellungskosten'!C211*SVGrund_lfd_tä),(0.5833*'Kalkulation Herstellungskosten'!C211*Höchst_Tag),J115*10.41%*SV_lfd)</f>
        <v>0</v>
      </c>
      <c r="Q115" s="457">
        <f t="shared" si="328"/>
        <v>0</v>
      </c>
      <c r="R115" s="457">
        <f t="shared" si="329"/>
        <v>0</v>
      </c>
      <c r="S115" s="457">
        <f t="shared" si="330"/>
        <v>0</v>
      </c>
      <c r="T115" s="457">
        <f t="shared" si="331"/>
        <v>0</v>
      </c>
      <c r="U115" s="457">
        <f t="shared" si="332"/>
        <v>0</v>
      </c>
      <c r="V115" s="457">
        <f>'Kalkulation Herstellungskosten'!C211*U_Bahn</f>
        <v>0</v>
      </c>
      <c r="W115" s="449">
        <f t="shared" si="333"/>
        <v>0</v>
      </c>
      <c r="X115" s="449">
        <f t="shared" si="334"/>
        <v>0</v>
      </c>
      <c r="Y115" s="448"/>
      <c r="Z115" s="448"/>
      <c r="AA115" s="448"/>
      <c r="AB115" s="448"/>
      <c r="AC115" s="448"/>
      <c r="AD115" s="448"/>
      <c r="AE115" s="448"/>
      <c r="AF115" s="448"/>
      <c r="AG115" s="448"/>
      <c r="AH115" s="448"/>
      <c r="AI115" s="448"/>
      <c r="AJ115" s="448"/>
      <c r="AK115" s="448"/>
      <c r="AL115" s="448"/>
      <c r="AM115" s="448"/>
      <c r="AN115" s="448"/>
      <c r="AO115" s="448"/>
      <c r="AP115" s="448"/>
      <c r="AQ115" s="448"/>
      <c r="AR115" s="448"/>
      <c r="AS115" s="448"/>
      <c r="AT115" s="448"/>
      <c r="AU115" s="448"/>
      <c r="AV115" s="448"/>
      <c r="AW115" s="448"/>
      <c r="AX115" s="448"/>
      <c r="AY115" s="448"/>
      <c r="AZ115" s="448"/>
      <c r="BA115" s="448"/>
    </row>
    <row r="116" spans="1:53" ht="12.75" customHeight="1" x14ac:dyDescent="0.2">
      <c r="A116" s="484">
        <f>'Kalkulation Herstellungskosten'!B212</f>
        <v>0</v>
      </c>
      <c r="B116" s="711"/>
      <c r="C116" s="897"/>
      <c r="D116" s="714"/>
      <c r="E116" s="714"/>
      <c r="F116" s="482">
        <f t="shared" si="266"/>
        <v>0</v>
      </c>
      <c r="G116" s="899"/>
      <c r="H116" s="480">
        <f t="shared" si="280"/>
        <v>0</v>
      </c>
      <c r="I116" s="477"/>
      <c r="J116" s="456">
        <f>'Kalkulation Herstellungskosten'!F212/((1+1/6)*1.1041)</f>
        <v>0</v>
      </c>
      <c r="K116" s="457">
        <f t="shared" si="324"/>
        <v>0</v>
      </c>
      <c r="L116" s="457">
        <f t="shared" si="325"/>
        <v>0</v>
      </c>
      <c r="M116" s="449">
        <f t="shared" si="326"/>
        <v>0</v>
      </c>
      <c r="N116" s="457">
        <f>IF('Kalkulation Herstellungskosten'!C212=0,0,IF(J116/'Kalkulation Herstellungskosten'!C212&gt;SVGrund_lfd_wö,'Kalkulation Herstellungskosten'!C212*Höchst_Woche,J116*SV_lfd))</f>
        <v>0</v>
      </c>
      <c r="O116" s="457">
        <f t="shared" si="327"/>
        <v>0</v>
      </c>
      <c r="P116" s="457">
        <f>IF(J116*10.41%&gt;(0.5833*'Kalkulation Herstellungskosten'!C212*SVGrund_lfd_tä),(0.5833*'Kalkulation Herstellungskosten'!C212*Höchst_Tag),J116*10.41%*SV_lfd)</f>
        <v>0</v>
      </c>
      <c r="Q116" s="457">
        <f t="shared" si="328"/>
        <v>0</v>
      </c>
      <c r="R116" s="457">
        <f t="shared" si="329"/>
        <v>0</v>
      </c>
      <c r="S116" s="457">
        <f t="shared" si="330"/>
        <v>0</v>
      </c>
      <c r="T116" s="457">
        <f t="shared" si="331"/>
        <v>0</v>
      </c>
      <c r="U116" s="457">
        <f t="shared" si="332"/>
        <v>0</v>
      </c>
      <c r="V116" s="457">
        <f>'Kalkulation Herstellungskosten'!C212*U_Bahn</f>
        <v>0</v>
      </c>
      <c r="W116" s="449">
        <f t="shared" si="333"/>
        <v>0</v>
      </c>
      <c r="X116" s="449">
        <f t="shared" si="334"/>
        <v>0</v>
      </c>
      <c r="Y116" s="448"/>
      <c r="Z116" s="448"/>
      <c r="AA116" s="448"/>
      <c r="AB116" s="448"/>
      <c r="AC116" s="448"/>
      <c r="AD116" s="448"/>
      <c r="AE116" s="448"/>
      <c r="AF116" s="448"/>
      <c r="AG116" s="448"/>
      <c r="AH116" s="448"/>
      <c r="AI116" s="448"/>
      <c r="AJ116" s="448"/>
      <c r="AK116" s="448"/>
      <c r="AL116" s="448"/>
      <c r="AM116" s="448"/>
      <c r="AN116" s="448"/>
      <c r="AO116" s="448"/>
      <c r="AP116" s="448"/>
      <c r="AQ116" s="448"/>
      <c r="AR116" s="448"/>
      <c r="AS116" s="448"/>
      <c r="AT116" s="448"/>
      <c r="AU116" s="448"/>
      <c r="AV116" s="448"/>
      <c r="AW116" s="448"/>
      <c r="AX116" s="448"/>
      <c r="AY116" s="448"/>
      <c r="AZ116" s="448"/>
      <c r="BA116" s="448"/>
    </row>
    <row r="117" spans="1:53" ht="12.75" customHeight="1" x14ac:dyDescent="0.2">
      <c r="A117" s="484">
        <f>'Kalkulation Herstellungskosten'!B213</f>
        <v>0</v>
      </c>
      <c r="B117" s="711"/>
      <c r="C117" s="897"/>
      <c r="D117" s="714"/>
      <c r="E117" s="714"/>
      <c r="F117" s="482">
        <f t="shared" si="266"/>
        <v>0</v>
      </c>
      <c r="G117" s="899"/>
      <c r="H117" s="480">
        <f t="shared" si="280"/>
        <v>0</v>
      </c>
      <c r="I117" s="477"/>
      <c r="J117" s="456">
        <f>'Kalkulation Herstellungskosten'!F213/((1+1/6)*1.1041)</f>
        <v>0</v>
      </c>
      <c r="K117" s="457">
        <f t="shared" si="324"/>
        <v>0</v>
      </c>
      <c r="L117" s="457">
        <f t="shared" si="325"/>
        <v>0</v>
      </c>
      <c r="M117" s="449">
        <f t="shared" si="326"/>
        <v>0</v>
      </c>
      <c r="N117" s="457">
        <f>IF('Kalkulation Herstellungskosten'!C213=0,0,IF(J117/'Kalkulation Herstellungskosten'!C213&gt;SVGrund_lfd_wö,'Kalkulation Herstellungskosten'!C213*Höchst_Woche,J117*SV_lfd))</f>
        <v>0</v>
      </c>
      <c r="O117" s="457">
        <f t="shared" si="327"/>
        <v>0</v>
      </c>
      <c r="P117" s="457">
        <f>IF(J117*10.41%&gt;(0.5833*'Kalkulation Herstellungskosten'!C213*SVGrund_lfd_tä),(0.5833*'Kalkulation Herstellungskosten'!C213*Höchst_Tag),J117*10.41%*SV_lfd)</f>
        <v>0</v>
      </c>
      <c r="Q117" s="457">
        <f t="shared" si="328"/>
        <v>0</v>
      </c>
      <c r="R117" s="457">
        <f t="shared" si="329"/>
        <v>0</v>
      </c>
      <c r="S117" s="457">
        <f t="shared" si="330"/>
        <v>0</v>
      </c>
      <c r="T117" s="457">
        <f t="shared" si="331"/>
        <v>0</v>
      </c>
      <c r="U117" s="457">
        <f t="shared" si="332"/>
        <v>0</v>
      </c>
      <c r="V117" s="457">
        <f>'Kalkulation Herstellungskosten'!C213*U_Bahn</f>
        <v>0</v>
      </c>
      <c r="W117" s="449">
        <f t="shared" si="333"/>
        <v>0</v>
      </c>
      <c r="X117" s="449">
        <f t="shared" si="334"/>
        <v>0</v>
      </c>
      <c r="Y117" s="448"/>
      <c r="Z117" s="448"/>
      <c r="AA117" s="448"/>
      <c r="AB117" s="448"/>
      <c r="AC117" s="448"/>
      <c r="AD117" s="448"/>
      <c r="AE117" s="448"/>
      <c r="AF117" s="448"/>
      <c r="AG117" s="448"/>
      <c r="AH117" s="448"/>
      <c r="AI117" s="448"/>
      <c r="AJ117" s="448"/>
      <c r="AK117" s="448"/>
      <c r="AL117" s="448"/>
      <c r="AM117" s="448"/>
      <c r="AN117" s="448"/>
      <c r="AO117" s="448"/>
      <c r="AP117" s="448"/>
      <c r="AQ117" s="448"/>
      <c r="AR117" s="448"/>
      <c r="AS117" s="448"/>
      <c r="AT117" s="448"/>
      <c r="AU117" s="448"/>
      <c r="AV117" s="448"/>
      <c r="AW117" s="448"/>
      <c r="AX117" s="448"/>
      <c r="AY117" s="448"/>
      <c r="AZ117" s="448"/>
      <c r="BA117" s="448"/>
    </row>
    <row r="118" spans="1:53" ht="12.75" customHeight="1" x14ac:dyDescent="0.2">
      <c r="A118" s="484">
        <f>'Kalkulation Herstellungskosten'!B214</f>
        <v>0</v>
      </c>
      <c r="B118" s="711"/>
      <c r="C118" s="897"/>
      <c r="D118" s="714"/>
      <c r="E118" s="714"/>
      <c r="F118" s="482">
        <f t="shared" si="266"/>
        <v>0</v>
      </c>
      <c r="G118" s="899"/>
      <c r="H118" s="480">
        <f t="shared" si="280"/>
        <v>0</v>
      </c>
      <c r="I118" s="477"/>
      <c r="J118" s="456">
        <f>'Kalkulation Herstellungskosten'!F214/((1+1/6)*1.1041)</f>
        <v>0</v>
      </c>
      <c r="K118" s="457">
        <f t="shared" si="324"/>
        <v>0</v>
      </c>
      <c r="L118" s="457">
        <f t="shared" si="325"/>
        <v>0</v>
      </c>
      <c r="M118" s="449">
        <f t="shared" si="326"/>
        <v>0</v>
      </c>
      <c r="N118" s="457">
        <f>IF('Kalkulation Herstellungskosten'!C214=0,0,IF(J118/'Kalkulation Herstellungskosten'!C214&gt;SVGrund_lfd_wö,'Kalkulation Herstellungskosten'!C214*Höchst_Woche,J118*SV_lfd))</f>
        <v>0</v>
      </c>
      <c r="O118" s="457">
        <f t="shared" si="327"/>
        <v>0</v>
      </c>
      <c r="P118" s="457">
        <f>IF(J118*10.41%&gt;(0.5833*'Kalkulation Herstellungskosten'!C214*SVGrund_lfd_tä),(0.5833*'Kalkulation Herstellungskosten'!C214*Höchst_Tag),J118*10.41%*SV_lfd)</f>
        <v>0</v>
      </c>
      <c r="Q118" s="457">
        <f t="shared" si="328"/>
        <v>0</v>
      </c>
      <c r="R118" s="457">
        <f t="shared" si="329"/>
        <v>0</v>
      </c>
      <c r="S118" s="457">
        <f t="shared" si="330"/>
        <v>0</v>
      </c>
      <c r="T118" s="457">
        <f t="shared" si="331"/>
        <v>0</v>
      </c>
      <c r="U118" s="457">
        <f t="shared" si="332"/>
        <v>0</v>
      </c>
      <c r="V118" s="457">
        <f>'Kalkulation Herstellungskosten'!C214*U_Bahn</f>
        <v>0</v>
      </c>
      <c r="W118" s="449">
        <f t="shared" si="333"/>
        <v>0</v>
      </c>
      <c r="X118" s="449">
        <f t="shared" si="334"/>
        <v>0</v>
      </c>
      <c r="Y118" s="448"/>
      <c r="Z118" s="448"/>
      <c r="AA118" s="448"/>
      <c r="AB118" s="448"/>
      <c r="AC118" s="448"/>
      <c r="AD118" s="448"/>
      <c r="AE118" s="448"/>
      <c r="AF118" s="448"/>
      <c r="AG118" s="448"/>
      <c r="AH118" s="448"/>
      <c r="AI118" s="448"/>
      <c r="AJ118" s="448"/>
      <c r="AK118" s="448"/>
      <c r="AL118" s="448"/>
      <c r="AM118" s="448"/>
      <c r="AN118" s="448"/>
      <c r="AO118" s="448"/>
      <c r="AP118" s="448"/>
      <c r="AQ118" s="448"/>
      <c r="AR118" s="448"/>
      <c r="AS118" s="448"/>
      <c r="AT118" s="448"/>
      <c r="AU118" s="448"/>
      <c r="AV118" s="448"/>
      <c r="AW118" s="448"/>
      <c r="AX118" s="448"/>
      <c r="AY118" s="448"/>
      <c r="AZ118" s="448"/>
      <c r="BA118" s="448"/>
    </row>
    <row r="119" spans="1:53" ht="12.75" customHeight="1" x14ac:dyDescent="0.2">
      <c r="A119" s="484">
        <f>'Kalkulation Herstellungskosten'!B215</f>
        <v>0</v>
      </c>
      <c r="B119" s="711"/>
      <c r="C119" s="897"/>
      <c r="D119" s="714"/>
      <c r="E119" s="714"/>
      <c r="F119" s="482">
        <f t="shared" si="266"/>
        <v>0</v>
      </c>
      <c r="G119" s="899"/>
      <c r="H119" s="480">
        <f t="shared" si="280"/>
        <v>0</v>
      </c>
      <c r="I119" s="477"/>
      <c r="J119" s="456">
        <f>'Kalkulation Herstellungskosten'!F215/((1+1/6)*1.1041)</f>
        <v>0</v>
      </c>
      <c r="K119" s="457">
        <f t="shared" si="324"/>
        <v>0</v>
      </c>
      <c r="L119" s="457">
        <f t="shared" si="325"/>
        <v>0</v>
      </c>
      <c r="M119" s="449">
        <f t="shared" si="326"/>
        <v>0</v>
      </c>
      <c r="N119" s="457">
        <f>IF('Kalkulation Herstellungskosten'!C215=0,0,IF(J119/'Kalkulation Herstellungskosten'!C215&gt;SVGrund_lfd_wö,'Kalkulation Herstellungskosten'!C215*Höchst_Woche,J119*SV_lfd))</f>
        <v>0</v>
      </c>
      <c r="O119" s="457">
        <f t="shared" si="327"/>
        <v>0</v>
      </c>
      <c r="P119" s="457">
        <f>IF(J119*10.41%&gt;(0.5833*'Kalkulation Herstellungskosten'!C215*SVGrund_lfd_tä),(0.5833*'Kalkulation Herstellungskosten'!C215*Höchst_Tag),J119*10.41%*SV_lfd)</f>
        <v>0</v>
      </c>
      <c r="Q119" s="457">
        <f t="shared" si="328"/>
        <v>0</v>
      </c>
      <c r="R119" s="457">
        <f t="shared" si="329"/>
        <v>0</v>
      </c>
      <c r="S119" s="457">
        <f t="shared" si="330"/>
        <v>0</v>
      </c>
      <c r="T119" s="457">
        <f t="shared" si="331"/>
        <v>0</v>
      </c>
      <c r="U119" s="457">
        <f t="shared" si="332"/>
        <v>0</v>
      </c>
      <c r="V119" s="457">
        <f>'Kalkulation Herstellungskosten'!C215*U_Bahn</f>
        <v>0</v>
      </c>
      <c r="W119" s="449">
        <f t="shared" si="333"/>
        <v>0</v>
      </c>
      <c r="X119" s="449">
        <f t="shared" si="334"/>
        <v>0</v>
      </c>
      <c r="Y119" s="448"/>
      <c r="Z119" s="448"/>
      <c r="AA119" s="448"/>
      <c r="AB119" s="448"/>
      <c r="AC119" s="448"/>
      <c r="AD119" s="448"/>
      <c r="AE119" s="448"/>
      <c r="AF119" s="448"/>
      <c r="AG119" s="448"/>
      <c r="AH119" s="448"/>
      <c r="AI119" s="448"/>
      <c r="AJ119" s="448"/>
      <c r="AK119" s="448"/>
      <c r="AL119" s="448"/>
      <c r="AM119" s="448"/>
      <c r="AN119" s="448"/>
      <c r="AO119" s="448"/>
      <c r="AP119" s="448"/>
      <c r="AQ119" s="448"/>
      <c r="AR119" s="448"/>
      <c r="AS119" s="448"/>
      <c r="AT119" s="448"/>
      <c r="AU119" s="448"/>
      <c r="AV119" s="448"/>
      <c r="AW119" s="448"/>
      <c r="AX119" s="448"/>
      <c r="AY119" s="448"/>
      <c r="AZ119" s="448"/>
      <c r="BA119" s="448"/>
    </row>
    <row r="120" spans="1:53" ht="12.75" customHeight="1" x14ac:dyDescent="0.2">
      <c r="A120" s="484">
        <f>'Kalkulation Herstellungskosten'!B216</f>
        <v>0</v>
      </c>
      <c r="B120" s="711"/>
      <c r="C120" s="897"/>
      <c r="D120" s="714"/>
      <c r="E120" s="714"/>
      <c r="F120" s="482">
        <f t="shared" si="266"/>
        <v>0</v>
      </c>
      <c r="G120" s="899"/>
      <c r="H120" s="480">
        <f t="shared" si="280"/>
        <v>0</v>
      </c>
      <c r="I120" s="477"/>
      <c r="J120" s="456">
        <f>'Kalkulation Herstellungskosten'!F216/((1+1/6)*1.1041)</f>
        <v>0</v>
      </c>
      <c r="K120" s="457">
        <f t="shared" si="324"/>
        <v>0</v>
      </c>
      <c r="L120" s="457">
        <f t="shared" si="325"/>
        <v>0</v>
      </c>
      <c r="M120" s="449">
        <f t="shared" si="326"/>
        <v>0</v>
      </c>
      <c r="N120" s="457">
        <f>IF('Kalkulation Herstellungskosten'!C216=0,0,IF(J120/'Kalkulation Herstellungskosten'!C216&gt;SVGrund_lfd_wö,'Kalkulation Herstellungskosten'!C216*Höchst_Woche,J120*SV_lfd))</f>
        <v>0</v>
      </c>
      <c r="O120" s="457">
        <f t="shared" si="327"/>
        <v>0</v>
      </c>
      <c r="P120" s="457">
        <f>IF(J120*10.41%&gt;(0.5833*'Kalkulation Herstellungskosten'!C216*SVGrund_lfd_tä),(0.5833*'Kalkulation Herstellungskosten'!C216*Höchst_Tag),J120*10.41%*SV_lfd)</f>
        <v>0</v>
      </c>
      <c r="Q120" s="457">
        <f t="shared" si="328"/>
        <v>0</v>
      </c>
      <c r="R120" s="457">
        <f t="shared" si="329"/>
        <v>0</v>
      </c>
      <c r="S120" s="457">
        <f t="shared" si="330"/>
        <v>0</v>
      </c>
      <c r="T120" s="457">
        <f t="shared" si="331"/>
        <v>0</v>
      </c>
      <c r="U120" s="457">
        <f t="shared" si="332"/>
        <v>0</v>
      </c>
      <c r="V120" s="457">
        <f>'Kalkulation Herstellungskosten'!C216*U_Bahn</f>
        <v>0</v>
      </c>
      <c r="W120" s="449">
        <f t="shared" si="333"/>
        <v>0</v>
      </c>
      <c r="X120" s="449">
        <f t="shared" si="334"/>
        <v>0</v>
      </c>
      <c r="Y120" s="448"/>
      <c r="Z120" s="448"/>
      <c r="AA120" s="448"/>
      <c r="AB120" s="448"/>
      <c r="AC120" s="448"/>
      <c r="AD120" s="448"/>
      <c r="AE120" s="448"/>
      <c r="AF120" s="448"/>
      <c r="AG120" s="448"/>
      <c r="AH120" s="448"/>
      <c r="AI120" s="448"/>
      <c r="AJ120" s="448"/>
      <c r="AK120" s="448"/>
      <c r="AL120" s="448"/>
      <c r="AM120" s="448"/>
      <c r="AN120" s="448"/>
      <c r="AO120" s="448"/>
      <c r="AP120" s="448"/>
      <c r="AQ120" s="448"/>
      <c r="AR120" s="448"/>
      <c r="AS120" s="448"/>
      <c r="AT120" s="448"/>
      <c r="AU120" s="448"/>
      <c r="AV120" s="448"/>
      <c r="AW120" s="448"/>
      <c r="AX120" s="448"/>
      <c r="AY120" s="448"/>
      <c r="AZ120" s="448"/>
      <c r="BA120" s="448"/>
    </row>
    <row r="121" spans="1:53" ht="12.75" customHeight="1" x14ac:dyDescent="0.2">
      <c r="A121" s="484">
        <f>'Kalkulation Herstellungskosten'!B217</f>
        <v>0</v>
      </c>
      <c r="B121" s="711"/>
      <c r="C121" s="897"/>
      <c r="D121" s="714"/>
      <c r="E121" s="714"/>
      <c r="F121" s="482">
        <f t="shared" si="266"/>
        <v>0</v>
      </c>
      <c r="G121" s="899"/>
      <c r="H121" s="480">
        <f t="shared" si="280"/>
        <v>0</v>
      </c>
      <c r="I121" s="477"/>
      <c r="J121" s="456">
        <f>'Kalkulation Herstellungskosten'!F217/((1+1/6)*1.1041)</f>
        <v>0</v>
      </c>
      <c r="K121" s="457">
        <f t="shared" si="324"/>
        <v>0</v>
      </c>
      <c r="L121" s="457">
        <f t="shared" si="325"/>
        <v>0</v>
      </c>
      <c r="M121" s="449">
        <f t="shared" si="326"/>
        <v>0</v>
      </c>
      <c r="N121" s="457">
        <f>IF('Kalkulation Herstellungskosten'!C217=0,0,IF(J121/'Kalkulation Herstellungskosten'!C217&gt;SVGrund_lfd_wö,'Kalkulation Herstellungskosten'!C217*Höchst_Woche,J121*SV_lfd))</f>
        <v>0</v>
      </c>
      <c r="O121" s="457">
        <f t="shared" si="327"/>
        <v>0</v>
      </c>
      <c r="P121" s="457">
        <f>IF(J121*10.41%&gt;(0.5833*'Kalkulation Herstellungskosten'!C217*SVGrund_lfd_tä),(0.5833*'Kalkulation Herstellungskosten'!C217*Höchst_Tag),J121*10.41%*SV_lfd)</f>
        <v>0</v>
      </c>
      <c r="Q121" s="457">
        <f t="shared" si="328"/>
        <v>0</v>
      </c>
      <c r="R121" s="457">
        <f t="shared" si="329"/>
        <v>0</v>
      </c>
      <c r="S121" s="457">
        <f t="shared" si="330"/>
        <v>0</v>
      </c>
      <c r="T121" s="457">
        <f t="shared" si="331"/>
        <v>0</v>
      </c>
      <c r="U121" s="457">
        <f t="shared" si="332"/>
        <v>0</v>
      </c>
      <c r="V121" s="457">
        <f>'Kalkulation Herstellungskosten'!C217*U_Bahn</f>
        <v>0</v>
      </c>
      <c r="W121" s="449">
        <f t="shared" si="333"/>
        <v>0</v>
      </c>
      <c r="X121" s="449">
        <f t="shared" si="334"/>
        <v>0</v>
      </c>
      <c r="Y121" s="448"/>
      <c r="Z121" s="448"/>
      <c r="AA121" s="448"/>
      <c r="AB121" s="448"/>
      <c r="AC121" s="448"/>
      <c r="AD121" s="448"/>
      <c r="AE121" s="448"/>
      <c r="AF121" s="448"/>
      <c r="AG121" s="448"/>
      <c r="AH121" s="448"/>
      <c r="AI121" s="448"/>
      <c r="AJ121" s="448"/>
      <c r="AK121" s="448"/>
      <c r="AL121" s="448"/>
      <c r="AM121" s="448"/>
      <c r="AN121" s="448"/>
      <c r="AO121" s="448"/>
      <c r="AP121" s="448"/>
      <c r="AQ121" s="448"/>
      <c r="AR121" s="448"/>
      <c r="AS121" s="448"/>
      <c r="AT121" s="448"/>
      <c r="AU121" s="448"/>
      <c r="AV121" s="448"/>
      <c r="AW121" s="448"/>
      <c r="AX121" s="448"/>
      <c r="AY121" s="448"/>
      <c r="AZ121" s="448"/>
      <c r="BA121" s="448"/>
    </row>
    <row r="122" spans="1:53" ht="12.75" customHeight="1" x14ac:dyDescent="0.2">
      <c r="A122" s="484">
        <f>'Kalkulation Herstellungskosten'!B218</f>
        <v>0</v>
      </c>
      <c r="B122" s="711"/>
      <c r="C122" s="897"/>
      <c r="D122" s="714"/>
      <c r="E122" s="714"/>
      <c r="F122" s="482">
        <f t="shared" si="266"/>
        <v>0</v>
      </c>
      <c r="G122" s="899"/>
      <c r="H122" s="480">
        <f t="shared" si="280"/>
        <v>0</v>
      </c>
      <c r="I122" s="477"/>
      <c r="J122" s="456">
        <f>'Kalkulation Herstellungskosten'!F218/((1+1/6)*1.1041)</f>
        <v>0</v>
      </c>
      <c r="K122" s="457">
        <f t="shared" si="324"/>
        <v>0</v>
      </c>
      <c r="L122" s="457">
        <f t="shared" si="325"/>
        <v>0</v>
      </c>
      <c r="M122" s="449">
        <f t="shared" si="326"/>
        <v>0</v>
      </c>
      <c r="N122" s="457">
        <f>IF('Kalkulation Herstellungskosten'!C218=0,0,IF(J122/'Kalkulation Herstellungskosten'!C218&gt;SVGrund_lfd_wö,'Kalkulation Herstellungskosten'!C218*Höchst_Woche,J122*SV_lfd))</f>
        <v>0</v>
      </c>
      <c r="O122" s="457">
        <f t="shared" si="327"/>
        <v>0</v>
      </c>
      <c r="P122" s="457">
        <f>IF(J122*10.41%&gt;(0.5833*'Kalkulation Herstellungskosten'!C218*SVGrund_lfd_tä),(0.5833*'Kalkulation Herstellungskosten'!C218*Höchst_Tag),J122*10.41%*SV_lfd)</f>
        <v>0</v>
      </c>
      <c r="Q122" s="457">
        <f t="shared" si="328"/>
        <v>0</v>
      </c>
      <c r="R122" s="457">
        <f t="shared" si="329"/>
        <v>0</v>
      </c>
      <c r="S122" s="457">
        <f t="shared" si="330"/>
        <v>0</v>
      </c>
      <c r="T122" s="457">
        <f t="shared" si="331"/>
        <v>0</v>
      </c>
      <c r="U122" s="457">
        <f t="shared" si="332"/>
        <v>0</v>
      </c>
      <c r="V122" s="457">
        <f>'Kalkulation Herstellungskosten'!C218*U_Bahn</f>
        <v>0</v>
      </c>
      <c r="W122" s="449">
        <f t="shared" si="333"/>
        <v>0</v>
      </c>
      <c r="X122" s="449">
        <f t="shared" si="334"/>
        <v>0</v>
      </c>
      <c r="Y122" s="448"/>
      <c r="Z122" s="448"/>
      <c r="AA122" s="448"/>
      <c r="AB122" s="448"/>
      <c r="AC122" s="448"/>
      <c r="AD122" s="448"/>
      <c r="AE122" s="448"/>
      <c r="AF122" s="448"/>
      <c r="AG122" s="448"/>
      <c r="AH122" s="448"/>
      <c r="AI122" s="448"/>
      <c r="AJ122" s="448"/>
      <c r="AK122" s="448"/>
      <c r="AL122" s="448"/>
      <c r="AM122" s="448"/>
      <c r="AN122" s="448"/>
      <c r="AO122" s="448"/>
      <c r="AP122" s="448"/>
      <c r="AQ122" s="448"/>
      <c r="AR122" s="448"/>
      <c r="AS122" s="448"/>
      <c r="AT122" s="448"/>
      <c r="AU122" s="448"/>
      <c r="AV122" s="448"/>
      <c r="AW122" s="448"/>
      <c r="AX122" s="448"/>
      <c r="AY122" s="448"/>
      <c r="AZ122" s="448"/>
      <c r="BA122" s="448"/>
    </row>
    <row r="123" spans="1:53" ht="12.75" customHeight="1" x14ac:dyDescent="0.2">
      <c r="A123" s="484">
        <f>'Kalkulation Herstellungskosten'!B219</f>
        <v>0</v>
      </c>
      <c r="B123" s="711"/>
      <c r="C123" s="897"/>
      <c r="D123" s="714"/>
      <c r="E123" s="714"/>
      <c r="F123" s="482">
        <f t="shared" si="266"/>
        <v>0</v>
      </c>
      <c r="G123" s="899"/>
      <c r="H123" s="480">
        <f t="shared" si="280"/>
        <v>0</v>
      </c>
      <c r="I123" s="477"/>
      <c r="J123" s="456">
        <f>'Kalkulation Herstellungskosten'!F219/((1+1/6)*1.1041)</f>
        <v>0</v>
      </c>
      <c r="K123" s="457">
        <f t="shared" si="324"/>
        <v>0</v>
      </c>
      <c r="L123" s="457">
        <f t="shared" si="325"/>
        <v>0</v>
      </c>
      <c r="M123" s="449">
        <f t="shared" si="326"/>
        <v>0</v>
      </c>
      <c r="N123" s="457">
        <f>IF('Kalkulation Herstellungskosten'!C219=0,0,IF(J123/'Kalkulation Herstellungskosten'!C219&gt;SVGrund_lfd_wö,'Kalkulation Herstellungskosten'!C219*Höchst_Woche,J123*SV_lfd))</f>
        <v>0</v>
      </c>
      <c r="O123" s="457">
        <f t="shared" si="327"/>
        <v>0</v>
      </c>
      <c r="P123" s="457">
        <f>IF(J123*10.41%&gt;(0.5833*'Kalkulation Herstellungskosten'!C219*SVGrund_lfd_tä),(0.5833*'Kalkulation Herstellungskosten'!C219*Höchst_Tag),J123*10.41%*SV_lfd)</f>
        <v>0</v>
      </c>
      <c r="Q123" s="457">
        <f t="shared" si="328"/>
        <v>0</v>
      </c>
      <c r="R123" s="457">
        <f t="shared" si="329"/>
        <v>0</v>
      </c>
      <c r="S123" s="457">
        <f t="shared" si="330"/>
        <v>0</v>
      </c>
      <c r="T123" s="457">
        <f t="shared" si="331"/>
        <v>0</v>
      </c>
      <c r="U123" s="457">
        <f t="shared" si="332"/>
        <v>0</v>
      </c>
      <c r="V123" s="457">
        <f>'Kalkulation Herstellungskosten'!C219*U_Bahn</f>
        <v>0</v>
      </c>
      <c r="W123" s="449">
        <f t="shared" si="333"/>
        <v>0</v>
      </c>
      <c r="X123" s="449">
        <f t="shared" si="334"/>
        <v>0</v>
      </c>
      <c r="Y123" s="448"/>
      <c r="Z123" s="448"/>
      <c r="AA123" s="448"/>
      <c r="AB123" s="448"/>
      <c r="AC123" s="448"/>
      <c r="AD123" s="448"/>
      <c r="AE123" s="448"/>
      <c r="AF123" s="448"/>
      <c r="AG123" s="448"/>
      <c r="AH123" s="448"/>
      <c r="AI123" s="448"/>
      <c r="AJ123" s="448"/>
      <c r="AK123" s="448"/>
      <c r="AL123" s="448"/>
      <c r="AM123" s="448"/>
      <c r="AN123" s="448"/>
      <c r="AO123" s="448"/>
      <c r="AP123" s="448"/>
      <c r="AQ123" s="448"/>
      <c r="AR123" s="448"/>
      <c r="AS123" s="448"/>
      <c r="AT123" s="448"/>
      <c r="AU123" s="448"/>
      <c r="AV123" s="448"/>
      <c r="AW123" s="448"/>
      <c r="AX123" s="448"/>
      <c r="AY123" s="448"/>
      <c r="AZ123" s="448"/>
      <c r="BA123" s="448"/>
    </row>
    <row r="124" spans="1:53" ht="12.75" customHeight="1" x14ac:dyDescent="0.2">
      <c r="A124" s="484">
        <f>'Kalkulation Herstellungskosten'!B220</f>
        <v>0</v>
      </c>
      <c r="B124" s="711"/>
      <c r="C124" s="897"/>
      <c r="D124" s="714"/>
      <c r="E124" s="714"/>
      <c r="F124" s="482">
        <f t="shared" si="266"/>
        <v>0</v>
      </c>
      <c r="G124" s="899"/>
      <c r="H124" s="480">
        <f t="shared" si="280"/>
        <v>0</v>
      </c>
      <c r="I124" s="477"/>
      <c r="J124" s="456">
        <f>'Kalkulation Herstellungskosten'!F220/((1+1/6)*1.1041)</f>
        <v>0</v>
      </c>
      <c r="K124" s="457">
        <f t="shared" si="324"/>
        <v>0</v>
      </c>
      <c r="L124" s="457">
        <f t="shared" si="325"/>
        <v>0</v>
      </c>
      <c r="M124" s="449">
        <f t="shared" si="326"/>
        <v>0</v>
      </c>
      <c r="N124" s="457">
        <f>IF('Kalkulation Herstellungskosten'!C220=0,0,IF(J124/'Kalkulation Herstellungskosten'!C220&gt;SVGrund_lfd_wö,'Kalkulation Herstellungskosten'!C220*Höchst_Woche,J124*SV_lfd))</f>
        <v>0</v>
      </c>
      <c r="O124" s="457">
        <f t="shared" si="327"/>
        <v>0</v>
      </c>
      <c r="P124" s="457">
        <f>IF(J124*10.41%&gt;(0.5833*'Kalkulation Herstellungskosten'!C220*SVGrund_lfd_tä),(0.5833*'Kalkulation Herstellungskosten'!C220*Höchst_Tag),J124*10.41%*SV_lfd)</f>
        <v>0</v>
      </c>
      <c r="Q124" s="457">
        <f t="shared" si="328"/>
        <v>0</v>
      </c>
      <c r="R124" s="457">
        <f t="shared" si="329"/>
        <v>0</v>
      </c>
      <c r="S124" s="457">
        <f t="shared" si="330"/>
        <v>0</v>
      </c>
      <c r="T124" s="457">
        <f t="shared" si="331"/>
        <v>0</v>
      </c>
      <c r="U124" s="457">
        <f t="shared" si="332"/>
        <v>0</v>
      </c>
      <c r="V124" s="457">
        <f>'Kalkulation Herstellungskosten'!C220*U_Bahn</f>
        <v>0</v>
      </c>
      <c r="W124" s="449">
        <f t="shared" si="333"/>
        <v>0</v>
      </c>
      <c r="X124" s="449">
        <f t="shared" si="334"/>
        <v>0</v>
      </c>
      <c r="Y124" s="448"/>
      <c r="Z124" s="448"/>
      <c r="AA124" s="448"/>
      <c r="AB124" s="448"/>
      <c r="AC124" s="448"/>
      <c r="AD124" s="448"/>
      <c r="AE124" s="448"/>
      <c r="AF124" s="448"/>
      <c r="AG124" s="448"/>
      <c r="AH124" s="448"/>
      <c r="AI124" s="448"/>
      <c r="AJ124" s="448"/>
      <c r="AK124" s="448"/>
      <c r="AL124" s="448"/>
      <c r="AM124" s="448"/>
      <c r="AN124" s="448"/>
      <c r="AO124" s="448"/>
      <c r="AP124" s="448"/>
      <c r="AQ124" s="448"/>
      <c r="AR124" s="448"/>
      <c r="AS124" s="448"/>
      <c r="AT124" s="448"/>
      <c r="AU124" s="448"/>
      <c r="AV124" s="448"/>
      <c r="AW124" s="448"/>
      <c r="AX124" s="448"/>
      <c r="AY124" s="448"/>
      <c r="AZ124" s="448"/>
      <c r="BA124" s="448"/>
    </row>
    <row r="125" spans="1:53" ht="12.75" customHeight="1" x14ac:dyDescent="0.2">
      <c r="A125" s="484">
        <f>'Kalkulation Herstellungskosten'!B221</f>
        <v>0</v>
      </c>
      <c r="B125" s="711"/>
      <c r="C125" s="897"/>
      <c r="D125" s="714"/>
      <c r="E125" s="714"/>
      <c r="F125" s="482">
        <f t="shared" si="266"/>
        <v>0</v>
      </c>
      <c r="G125" s="899"/>
      <c r="H125" s="480">
        <f t="shared" si="280"/>
        <v>0</v>
      </c>
      <c r="I125" s="477"/>
      <c r="J125" s="456">
        <f>'Kalkulation Herstellungskosten'!F221/((1+1/6)*1.1041)</f>
        <v>0</v>
      </c>
      <c r="K125" s="457">
        <f t="shared" si="324"/>
        <v>0</v>
      </c>
      <c r="L125" s="457">
        <f t="shared" si="325"/>
        <v>0</v>
      </c>
      <c r="M125" s="449">
        <f t="shared" si="326"/>
        <v>0</v>
      </c>
      <c r="N125" s="457">
        <f>IF('Kalkulation Herstellungskosten'!C221=0,0,IF(J125/'Kalkulation Herstellungskosten'!C221&gt;SVGrund_lfd_wö,'Kalkulation Herstellungskosten'!C221*Höchst_Woche,J125*SV_lfd))</f>
        <v>0</v>
      </c>
      <c r="O125" s="457">
        <f t="shared" si="327"/>
        <v>0</v>
      </c>
      <c r="P125" s="457">
        <f>IF(J125*10.41%&gt;(0.5833*'Kalkulation Herstellungskosten'!C221*SVGrund_lfd_tä),(0.5833*'Kalkulation Herstellungskosten'!C221*Höchst_Tag),J125*10.41%*SV_lfd)</f>
        <v>0</v>
      </c>
      <c r="Q125" s="457">
        <f t="shared" si="328"/>
        <v>0</v>
      </c>
      <c r="R125" s="457">
        <f t="shared" si="329"/>
        <v>0</v>
      </c>
      <c r="S125" s="457">
        <f t="shared" si="330"/>
        <v>0</v>
      </c>
      <c r="T125" s="457">
        <f t="shared" si="331"/>
        <v>0</v>
      </c>
      <c r="U125" s="457">
        <f t="shared" si="332"/>
        <v>0</v>
      </c>
      <c r="V125" s="457">
        <f>'Kalkulation Herstellungskosten'!C221*U_Bahn</f>
        <v>0</v>
      </c>
      <c r="W125" s="449">
        <f t="shared" si="333"/>
        <v>0</v>
      </c>
      <c r="X125" s="449">
        <f t="shared" si="334"/>
        <v>0</v>
      </c>
      <c r="Y125" s="448"/>
      <c r="Z125" s="448"/>
      <c r="AA125" s="448"/>
      <c r="AB125" s="448"/>
      <c r="AC125" s="448"/>
      <c r="AD125" s="448"/>
      <c r="AE125" s="448"/>
      <c r="AF125" s="448"/>
      <c r="AG125" s="448"/>
      <c r="AH125" s="448"/>
      <c r="AI125" s="448"/>
      <c r="AJ125" s="448"/>
      <c r="AK125" s="448"/>
      <c r="AL125" s="448"/>
      <c r="AM125" s="448"/>
      <c r="AN125" s="448"/>
      <c r="AO125" s="448"/>
      <c r="AP125" s="448"/>
      <c r="AQ125" s="448"/>
      <c r="AR125" s="448"/>
      <c r="AS125" s="448"/>
      <c r="AT125" s="448"/>
      <c r="AU125" s="448"/>
      <c r="AV125" s="448"/>
      <c r="AW125" s="448"/>
      <c r="AX125" s="448"/>
      <c r="AY125" s="448"/>
      <c r="AZ125" s="448"/>
      <c r="BA125" s="448"/>
    </row>
    <row r="126" spans="1:53" ht="12.75" customHeight="1" x14ac:dyDescent="0.2">
      <c r="A126" s="484">
        <f>'Kalkulation Herstellungskosten'!B222</f>
        <v>0</v>
      </c>
      <c r="B126" s="711"/>
      <c r="C126" s="897"/>
      <c r="D126" s="714"/>
      <c r="E126" s="714"/>
      <c r="F126" s="482">
        <f t="shared" si="266"/>
        <v>0</v>
      </c>
      <c r="G126" s="899"/>
      <c r="H126" s="480">
        <f t="shared" si="280"/>
        <v>0</v>
      </c>
      <c r="I126" s="477"/>
      <c r="J126" s="456">
        <f>'Kalkulation Herstellungskosten'!F222/((1+1/6)*1.1041)</f>
        <v>0</v>
      </c>
      <c r="K126" s="457">
        <f t="shared" si="324"/>
        <v>0</v>
      </c>
      <c r="L126" s="457">
        <f t="shared" si="325"/>
        <v>0</v>
      </c>
      <c r="M126" s="449">
        <f t="shared" si="326"/>
        <v>0</v>
      </c>
      <c r="N126" s="457">
        <f>IF('Kalkulation Herstellungskosten'!C222=0,0,IF(J126/'Kalkulation Herstellungskosten'!C222&gt;SVGrund_lfd_wö,'Kalkulation Herstellungskosten'!C222*Höchst_Woche,J126*SV_lfd))</f>
        <v>0</v>
      </c>
      <c r="O126" s="457">
        <f t="shared" si="327"/>
        <v>0</v>
      </c>
      <c r="P126" s="457">
        <f>IF(J126*10.41%&gt;(0.5833*'Kalkulation Herstellungskosten'!C222*SVGrund_lfd_tä),(0.5833*'Kalkulation Herstellungskosten'!C222*Höchst_Tag),J126*10.41%*SV_lfd)</f>
        <v>0</v>
      </c>
      <c r="Q126" s="457">
        <f t="shared" si="328"/>
        <v>0</v>
      </c>
      <c r="R126" s="457">
        <f t="shared" si="329"/>
        <v>0</v>
      </c>
      <c r="S126" s="457">
        <f t="shared" si="330"/>
        <v>0</v>
      </c>
      <c r="T126" s="457">
        <f t="shared" si="331"/>
        <v>0</v>
      </c>
      <c r="U126" s="457">
        <f t="shared" si="332"/>
        <v>0</v>
      </c>
      <c r="V126" s="457">
        <f>'Kalkulation Herstellungskosten'!C222*U_Bahn</f>
        <v>0</v>
      </c>
      <c r="W126" s="449">
        <f t="shared" si="333"/>
        <v>0</v>
      </c>
      <c r="X126" s="449">
        <f t="shared" si="334"/>
        <v>0</v>
      </c>
      <c r="Y126" s="448"/>
      <c r="Z126" s="448"/>
      <c r="AA126" s="448"/>
      <c r="AB126" s="448"/>
      <c r="AC126" s="448"/>
      <c r="AD126" s="448"/>
      <c r="AE126" s="448"/>
      <c r="AF126" s="448"/>
      <c r="AG126" s="448"/>
      <c r="AH126" s="448"/>
      <c r="AI126" s="448"/>
      <c r="AJ126" s="448"/>
      <c r="AK126" s="448"/>
      <c r="AL126" s="448"/>
      <c r="AM126" s="448"/>
      <c r="AN126" s="448"/>
      <c r="AO126" s="448"/>
      <c r="AP126" s="448"/>
      <c r="AQ126" s="448"/>
      <c r="AR126" s="448"/>
      <c r="AS126" s="448"/>
      <c r="AT126" s="448"/>
      <c r="AU126" s="448"/>
      <c r="AV126" s="448"/>
      <c r="AW126" s="448"/>
      <c r="AX126" s="448"/>
      <c r="AY126" s="448"/>
      <c r="AZ126" s="448"/>
      <c r="BA126" s="448"/>
    </row>
    <row r="127" spans="1:53" ht="12.75" customHeight="1" x14ac:dyDescent="0.2">
      <c r="A127" s="484">
        <f>'Kalkulation Herstellungskosten'!B223</f>
        <v>0</v>
      </c>
      <c r="B127" s="711"/>
      <c r="C127" s="897"/>
      <c r="D127" s="714"/>
      <c r="E127" s="714"/>
      <c r="F127" s="482">
        <f t="shared" si="266"/>
        <v>0</v>
      </c>
      <c r="G127" s="899"/>
      <c r="H127" s="480">
        <f t="shared" si="280"/>
        <v>0</v>
      </c>
      <c r="I127" s="477"/>
      <c r="J127" s="456">
        <f>'Kalkulation Herstellungskosten'!F223/((1+1/6)*1.1041)</f>
        <v>0</v>
      </c>
      <c r="K127" s="457">
        <f t="shared" si="324"/>
        <v>0</v>
      </c>
      <c r="L127" s="457">
        <f t="shared" si="325"/>
        <v>0</v>
      </c>
      <c r="M127" s="449">
        <f t="shared" si="326"/>
        <v>0</v>
      </c>
      <c r="N127" s="457">
        <f>IF('Kalkulation Herstellungskosten'!C223=0,0,IF(J127/'Kalkulation Herstellungskosten'!C223&gt;SVGrund_lfd_wö,'Kalkulation Herstellungskosten'!C223*Höchst_Woche,J127*SV_lfd))</f>
        <v>0</v>
      </c>
      <c r="O127" s="457">
        <f t="shared" si="327"/>
        <v>0</v>
      </c>
      <c r="P127" s="457">
        <f>IF(J127*10.41%&gt;(0.5833*'Kalkulation Herstellungskosten'!C223*SVGrund_lfd_tä),(0.5833*'Kalkulation Herstellungskosten'!C223*Höchst_Tag),J127*10.41%*SV_lfd)</f>
        <v>0</v>
      </c>
      <c r="Q127" s="457">
        <f t="shared" si="328"/>
        <v>0</v>
      </c>
      <c r="R127" s="457">
        <f t="shared" si="329"/>
        <v>0</v>
      </c>
      <c r="S127" s="457">
        <f t="shared" si="330"/>
        <v>0</v>
      </c>
      <c r="T127" s="457">
        <f t="shared" si="331"/>
        <v>0</v>
      </c>
      <c r="U127" s="457">
        <f t="shared" si="332"/>
        <v>0</v>
      </c>
      <c r="V127" s="457">
        <f>'Kalkulation Herstellungskosten'!C223*U_Bahn</f>
        <v>0</v>
      </c>
      <c r="W127" s="449">
        <f t="shared" si="333"/>
        <v>0</v>
      </c>
      <c r="X127" s="449">
        <f t="shared" si="334"/>
        <v>0</v>
      </c>
      <c r="Y127" s="448"/>
      <c r="Z127" s="448"/>
      <c r="AA127" s="448"/>
      <c r="AB127" s="448"/>
      <c r="AC127" s="448"/>
      <c r="AD127" s="448"/>
      <c r="AE127" s="448"/>
      <c r="AF127" s="448"/>
      <c r="AG127" s="448"/>
      <c r="AH127" s="448"/>
      <c r="AI127" s="448"/>
      <c r="AJ127" s="448"/>
      <c r="AK127" s="448"/>
      <c r="AL127" s="448"/>
      <c r="AM127" s="448"/>
      <c r="AN127" s="448"/>
      <c r="AO127" s="448"/>
      <c r="AP127" s="448"/>
      <c r="AQ127" s="448"/>
      <c r="AR127" s="448"/>
      <c r="AS127" s="448"/>
      <c r="AT127" s="448"/>
      <c r="AU127" s="448"/>
      <c r="AV127" s="448"/>
      <c r="AW127" s="448"/>
      <c r="AX127" s="448"/>
      <c r="AY127" s="448"/>
      <c r="AZ127" s="448"/>
      <c r="BA127" s="448"/>
    </row>
    <row r="128" spans="1:53" ht="12.75" customHeight="1" x14ac:dyDescent="0.2">
      <c r="A128" s="484">
        <f>'Kalkulation Herstellungskosten'!B224</f>
        <v>0</v>
      </c>
      <c r="B128" s="711"/>
      <c r="C128" s="897"/>
      <c r="D128" s="714"/>
      <c r="E128" s="714"/>
      <c r="F128" s="482">
        <f t="shared" si="266"/>
        <v>0</v>
      </c>
      <c r="G128" s="899"/>
      <c r="H128" s="480">
        <f t="shared" si="280"/>
        <v>0</v>
      </c>
      <c r="I128" s="477"/>
      <c r="J128" s="456">
        <f>'Kalkulation Herstellungskosten'!F224/((1+1/6)*1.1041)</f>
        <v>0</v>
      </c>
      <c r="K128" s="457">
        <f t="shared" si="324"/>
        <v>0</v>
      </c>
      <c r="L128" s="457">
        <f t="shared" si="325"/>
        <v>0</v>
      </c>
      <c r="M128" s="449">
        <f t="shared" si="326"/>
        <v>0</v>
      </c>
      <c r="N128" s="457">
        <f>IF('Kalkulation Herstellungskosten'!C224=0,0,IF(J128/'Kalkulation Herstellungskosten'!C224&gt;SVGrund_lfd_wö,'Kalkulation Herstellungskosten'!C224*Höchst_Woche,J128*SV_lfd))</f>
        <v>0</v>
      </c>
      <c r="O128" s="457">
        <f t="shared" si="327"/>
        <v>0</v>
      </c>
      <c r="P128" s="457">
        <f>IF(J128*10.41%&gt;(0.5833*'Kalkulation Herstellungskosten'!C224*SVGrund_lfd_tä),(0.5833*'Kalkulation Herstellungskosten'!C224*Höchst_Tag),J128*10.41%*SV_lfd)</f>
        <v>0</v>
      </c>
      <c r="Q128" s="457">
        <f t="shared" si="328"/>
        <v>0</v>
      </c>
      <c r="R128" s="457">
        <f t="shared" si="329"/>
        <v>0</v>
      </c>
      <c r="S128" s="457">
        <f t="shared" si="330"/>
        <v>0</v>
      </c>
      <c r="T128" s="457">
        <f t="shared" si="331"/>
        <v>0</v>
      </c>
      <c r="U128" s="457">
        <f t="shared" si="332"/>
        <v>0</v>
      </c>
      <c r="V128" s="457">
        <f>'Kalkulation Herstellungskosten'!C224*U_Bahn</f>
        <v>0</v>
      </c>
      <c r="W128" s="449">
        <f t="shared" si="333"/>
        <v>0</v>
      </c>
      <c r="X128" s="449">
        <f t="shared" si="334"/>
        <v>0</v>
      </c>
      <c r="Y128" s="448"/>
      <c r="Z128" s="448"/>
      <c r="AA128" s="448"/>
      <c r="AB128" s="448"/>
      <c r="AC128" s="448"/>
      <c r="AD128" s="448"/>
      <c r="AE128" s="448"/>
      <c r="AF128" s="448"/>
      <c r="AG128" s="448"/>
      <c r="AH128" s="448"/>
      <c r="AI128" s="448"/>
      <c r="AJ128" s="448"/>
      <c r="AK128" s="448"/>
      <c r="AL128" s="448"/>
      <c r="AM128" s="448"/>
      <c r="AN128" s="448"/>
      <c r="AO128" s="448"/>
      <c r="AP128" s="448"/>
      <c r="AQ128" s="448"/>
      <c r="AR128" s="448"/>
      <c r="AS128" s="448"/>
      <c r="AT128" s="448"/>
      <c r="AU128" s="448"/>
      <c r="AV128" s="448"/>
      <c r="AW128" s="448"/>
      <c r="AX128" s="448"/>
      <c r="AY128" s="448"/>
      <c r="AZ128" s="448"/>
      <c r="BA128" s="448"/>
    </row>
    <row r="129" spans="1:53" ht="12.75" customHeight="1" x14ac:dyDescent="0.2">
      <c r="A129" s="484">
        <f>'Kalkulation Herstellungskosten'!B225</f>
        <v>0</v>
      </c>
      <c r="B129" s="711"/>
      <c r="C129" s="897"/>
      <c r="D129" s="714"/>
      <c r="E129" s="714"/>
      <c r="F129" s="482">
        <f t="shared" si="266"/>
        <v>0</v>
      </c>
      <c r="G129" s="899"/>
      <c r="H129" s="480">
        <f t="shared" si="280"/>
        <v>0</v>
      </c>
      <c r="I129" s="477"/>
      <c r="J129" s="456">
        <f>'Kalkulation Herstellungskosten'!F225/((1+1/6)*1.1041)</f>
        <v>0</v>
      </c>
      <c r="K129" s="457">
        <f t="shared" si="324"/>
        <v>0</v>
      </c>
      <c r="L129" s="457">
        <f t="shared" si="325"/>
        <v>0</v>
      </c>
      <c r="M129" s="449">
        <f t="shared" si="326"/>
        <v>0</v>
      </c>
      <c r="N129" s="457">
        <f>IF('Kalkulation Herstellungskosten'!C225=0,0,IF(J129/'Kalkulation Herstellungskosten'!C225&gt;SVGrund_lfd_wö,'Kalkulation Herstellungskosten'!C225*Höchst_Woche,J129*SV_lfd))</f>
        <v>0</v>
      </c>
      <c r="O129" s="457">
        <f t="shared" si="327"/>
        <v>0</v>
      </c>
      <c r="P129" s="457">
        <f>IF(J129*10.41%&gt;(0.5833*'Kalkulation Herstellungskosten'!C225*SVGrund_lfd_tä),(0.5833*'Kalkulation Herstellungskosten'!C225*Höchst_Tag),J129*10.41%*SV_lfd)</f>
        <v>0</v>
      </c>
      <c r="Q129" s="457">
        <f t="shared" si="328"/>
        <v>0</v>
      </c>
      <c r="R129" s="457">
        <f t="shared" si="329"/>
        <v>0</v>
      </c>
      <c r="S129" s="457">
        <f t="shared" si="330"/>
        <v>0</v>
      </c>
      <c r="T129" s="457">
        <f t="shared" si="331"/>
        <v>0</v>
      </c>
      <c r="U129" s="457">
        <f t="shared" si="332"/>
        <v>0</v>
      </c>
      <c r="V129" s="457">
        <f>'Kalkulation Herstellungskosten'!C225*U_Bahn</f>
        <v>0</v>
      </c>
      <c r="W129" s="449">
        <f t="shared" si="333"/>
        <v>0</v>
      </c>
      <c r="X129" s="449">
        <f t="shared" si="334"/>
        <v>0</v>
      </c>
      <c r="Y129" s="448"/>
      <c r="Z129" s="448"/>
      <c r="AA129" s="448"/>
      <c r="AB129" s="448"/>
      <c r="AC129" s="448"/>
      <c r="AD129" s="448"/>
      <c r="AE129" s="448"/>
      <c r="AF129" s="448"/>
      <c r="AG129" s="448"/>
      <c r="AH129" s="448"/>
      <c r="AI129" s="448"/>
      <c r="AJ129" s="448"/>
      <c r="AK129" s="448"/>
      <c r="AL129" s="448"/>
      <c r="AM129" s="448"/>
      <c r="AN129" s="448"/>
      <c r="AO129" s="448"/>
      <c r="AP129" s="448"/>
      <c r="AQ129" s="448"/>
      <c r="AR129" s="448"/>
      <c r="AS129" s="448"/>
      <c r="AT129" s="448"/>
      <c r="AU129" s="448"/>
      <c r="AV129" s="448"/>
      <c r="AW129" s="448"/>
      <c r="AX129" s="448"/>
      <c r="AY129" s="448"/>
      <c r="AZ129" s="448"/>
      <c r="BA129" s="448"/>
    </row>
    <row r="130" spans="1:53" ht="12.75" customHeight="1" x14ac:dyDescent="0.2">
      <c r="A130" s="484">
        <f>'Kalkulation Herstellungskosten'!B226</f>
        <v>0</v>
      </c>
      <c r="B130" s="711"/>
      <c r="C130" s="897"/>
      <c r="D130" s="714"/>
      <c r="E130" s="714"/>
      <c r="F130" s="482">
        <f t="shared" si="266"/>
        <v>0</v>
      </c>
      <c r="G130" s="899"/>
      <c r="H130" s="480">
        <f t="shared" si="280"/>
        <v>0</v>
      </c>
      <c r="I130" s="477"/>
      <c r="J130" s="456">
        <f>'Kalkulation Herstellungskosten'!F226/((1+1/6)*1.1041)</f>
        <v>0</v>
      </c>
      <c r="K130" s="457">
        <f t="shared" si="324"/>
        <v>0</v>
      </c>
      <c r="L130" s="457">
        <f t="shared" si="325"/>
        <v>0</v>
      </c>
      <c r="M130" s="449">
        <f t="shared" si="326"/>
        <v>0</v>
      </c>
      <c r="N130" s="457">
        <f>IF('Kalkulation Herstellungskosten'!C226=0,0,IF(J130/'Kalkulation Herstellungskosten'!C226&gt;SVGrund_lfd_wö,'Kalkulation Herstellungskosten'!C226*Höchst_Woche,J130*SV_lfd))</f>
        <v>0</v>
      </c>
      <c r="O130" s="457">
        <f t="shared" si="327"/>
        <v>0</v>
      </c>
      <c r="P130" s="457">
        <f>IF(J130*10.41%&gt;(0.5833*'Kalkulation Herstellungskosten'!C226*SVGrund_lfd_tä),(0.5833*'Kalkulation Herstellungskosten'!C226*Höchst_Tag),J130*10.41%*SV_lfd)</f>
        <v>0</v>
      </c>
      <c r="Q130" s="457">
        <f t="shared" si="328"/>
        <v>0</v>
      </c>
      <c r="R130" s="457">
        <f t="shared" si="329"/>
        <v>0</v>
      </c>
      <c r="S130" s="457">
        <f t="shared" si="330"/>
        <v>0</v>
      </c>
      <c r="T130" s="457">
        <f t="shared" si="331"/>
        <v>0</v>
      </c>
      <c r="U130" s="457">
        <f t="shared" si="332"/>
        <v>0</v>
      </c>
      <c r="V130" s="457">
        <f>'Kalkulation Herstellungskosten'!C226*U_Bahn</f>
        <v>0</v>
      </c>
      <c r="W130" s="449">
        <f t="shared" si="333"/>
        <v>0</v>
      </c>
      <c r="X130" s="449">
        <f t="shared" si="334"/>
        <v>0</v>
      </c>
      <c r="Y130" s="448"/>
      <c r="Z130" s="448"/>
      <c r="AA130" s="448"/>
      <c r="AB130" s="448"/>
      <c r="AC130" s="448"/>
      <c r="AD130" s="448"/>
      <c r="AE130" s="448"/>
      <c r="AF130" s="448"/>
      <c r="AG130" s="448"/>
      <c r="AH130" s="448"/>
      <c r="AI130" s="448"/>
      <c r="AJ130" s="448"/>
      <c r="AK130" s="448"/>
      <c r="AL130" s="448"/>
      <c r="AM130" s="448"/>
      <c r="AN130" s="448"/>
      <c r="AO130" s="448"/>
      <c r="AP130" s="448"/>
      <c r="AQ130" s="448"/>
      <c r="AR130" s="448"/>
      <c r="AS130" s="448"/>
      <c r="AT130" s="448"/>
      <c r="AU130" s="448"/>
      <c r="AV130" s="448"/>
      <c r="AW130" s="448"/>
      <c r="AX130" s="448"/>
      <c r="AY130" s="448"/>
      <c r="AZ130" s="448"/>
      <c r="BA130" s="448"/>
    </row>
    <row r="131" spans="1:53" ht="12.75" customHeight="1" x14ac:dyDescent="0.2">
      <c r="A131" s="484">
        <f>'Kalkulation Herstellungskosten'!B227</f>
        <v>0</v>
      </c>
      <c r="B131" s="711"/>
      <c r="C131" s="897"/>
      <c r="D131" s="714"/>
      <c r="E131" s="714"/>
      <c r="F131" s="482">
        <f t="shared" si="266"/>
        <v>0</v>
      </c>
      <c r="G131" s="899"/>
      <c r="H131" s="480">
        <f t="shared" si="280"/>
        <v>0</v>
      </c>
      <c r="I131" s="477"/>
      <c r="J131" s="456">
        <f>'Kalkulation Herstellungskosten'!F227/((1+1/6)*1.1041)</f>
        <v>0</v>
      </c>
      <c r="K131" s="457">
        <f t="shared" si="324"/>
        <v>0</v>
      </c>
      <c r="L131" s="457">
        <f t="shared" si="325"/>
        <v>0</v>
      </c>
      <c r="M131" s="449">
        <f t="shared" si="326"/>
        <v>0</v>
      </c>
      <c r="N131" s="457">
        <f>IF('Kalkulation Herstellungskosten'!C227=0,0,IF(J131/'Kalkulation Herstellungskosten'!C227&gt;SVGrund_lfd_wö,'Kalkulation Herstellungskosten'!C227*Höchst_Woche,J131*SV_lfd))</f>
        <v>0</v>
      </c>
      <c r="O131" s="457">
        <f t="shared" si="327"/>
        <v>0</v>
      </c>
      <c r="P131" s="457">
        <f>IF(J131*10.41%&gt;(0.5833*'Kalkulation Herstellungskosten'!C227*SVGrund_lfd_tä),(0.5833*'Kalkulation Herstellungskosten'!C227*Höchst_Tag),J131*10.41%*SV_lfd)</f>
        <v>0</v>
      </c>
      <c r="Q131" s="457">
        <f t="shared" si="328"/>
        <v>0</v>
      </c>
      <c r="R131" s="457">
        <f t="shared" si="329"/>
        <v>0</v>
      </c>
      <c r="S131" s="457">
        <f t="shared" si="330"/>
        <v>0</v>
      </c>
      <c r="T131" s="457">
        <f t="shared" si="331"/>
        <v>0</v>
      </c>
      <c r="U131" s="457">
        <f t="shared" si="332"/>
        <v>0</v>
      </c>
      <c r="V131" s="457">
        <f>'Kalkulation Herstellungskosten'!C227*U_Bahn</f>
        <v>0</v>
      </c>
      <c r="W131" s="449">
        <f t="shared" si="333"/>
        <v>0</v>
      </c>
      <c r="X131" s="449">
        <f t="shared" si="334"/>
        <v>0</v>
      </c>
      <c r="Y131" s="448"/>
      <c r="Z131" s="448"/>
      <c r="AA131" s="448"/>
      <c r="AB131" s="448"/>
      <c r="AC131" s="448"/>
      <c r="AD131" s="448"/>
      <c r="AE131" s="448"/>
      <c r="AF131" s="448"/>
      <c r="AG131" s="448"/>
      <c r="AH131" s="448"/>
      <c r="AI131" s="448"/>
      <c r="AJ131" s="448"/>
      <c r="AK131" s="448"/>
      <c r="AL131" s="448"/>
      <c r="AM131" s="448"/>
      <c r="AN131" s="448"/>
      <c r="AO131" s="448"/>
      <c r="AP131" s="448"/>
      <c r="AQ131" s="448"/>
      <c r="AR131" s="448"/>
      <c r="AS131" s="448"/>
      <c r="AT131" s="448"/>
      <c r="AU131" s="448"/>
      <c r="AV131" s="448"/>
      <c r="AW131" s="448"/>
      <c r="AX131" s="448"/>
      <c r="AY131" s="448"/>
      <c r="AZ131" s="448"/>
      <c r="BA131" s="448"/>
    </row>
    <row r="132" spans="1:53" ht="12.75" customHeight="1" x14ac:dyDescent="0.2">
      <c r="A132" s="484">
        <f>'Kalkulation Herstellungskosten'!B228</f>
        <v>0</v>
      </c>
      <c r="B132" s="711"/>
      <c r="C132" s="897"/>
      <c r="D132" s="714"/>
      <c r="E132" s="714"/>
      <c r="F132" s="482">
        <f t="shared" si="266"/>
        <v>0</v>
      </c>
      <c r="G132" s="899"/>
      <c r="H132" s="480">
        <f t="shared" si="280"/>
        <v>0</v>
      </c>
      <c r="I132" s="477"/>
      <c r="J132" s="456">
        <f>'Kalkulation Herstellungskosten'!F228/((1+1/6)*1.1041)</f>
        <v>0</v>
      </c>
      <c r="K132" s="457">
        <f t="shared" si="324"/>
        <v>0</v>
      </c>
      <c r="L132" s="457">
        <f t="shared" si="325"/>
        <v>0</v>
      </c>
      <c r="M132" s="449">
        <f t="shared" si="326"/>
        <v>0</v>
      </c>
      <c r="N132" s="457">
        <f>IF('Kalkulation Herstellungskosten'!C228=0,0,IF(J132/'Kalkulation Herstellungskosten'!C228&gt;SVGrund_lfd_wö,'Kalkulation Herstellungskosten'!C228*Höchst_Woche,J132*SV_lfd))</f>
        <v>0</v>
      </c>
      <c r="O132" s="457">
        <f t="shared" si="327"/>
        <v>0</v>
      </c>
      <c r="P132" s="457">
        <f>IF(J132*10.41%&gt;(0.5833*'Kalkulation Herstellungskosten'!C228*SVGrund_lfd_tä),(0.5833*'Kalkulation Herstellungskosten'!C228*Höchst_Tag),J132*10.41%*SV_lfd)</f>
        <v>0</v>
      </c>
      <c r="Q132" s="457">
        <f t="shared" si="328"/>
        <v>0</v>
      </c>
      <c r="R132" s="457">
        <f t="shared" si="329"/>
        <v>0</v>
      </c>
      <c r="S132" s="457">
        <f t="shared" si="330"/>
        <v>0</v>
      </c>
      <c r="T132" s="457">
        <f t="shared" si="331"/>
        <v>0</v>
      </c>
      <c r="U132" s="457">
        <f t="shared" si="332"/>
        <v>0</v>
      </c>
      <c r="V132" s="457">
        <f>'Kalkulation Herstellungskosten'!C228*U_Bahn</f>
        <v>0</v>
      </c>
      <c r="W132" s="449">
        <f t="shared" si="333"/>
        <v>0</v>
      </c>
      <c r="X132" s="449">
        <f t="shared" si="334"/>
        <v>0</v>
      </c>
      <c r="Y132" s="448"/>
      <c r="Z132" s="448"/>
      <c r="AA132" s="448"/>
      <c r="AB132" s="448"/>
      <c r="AC132" s="448"/>
      <c r="AD132" s="448"/>
      <c r="AE132" s="448"/>
      <c r="AF132" s="448"/>
      <c r="AG132" s="448"/>
      <c r="AH132" s="448"/>
      <c r="AI132" s="448"/>
      <c r="AJ132" s="448"/>
      <c r="AK132" s="448"/>
      <c r="AL132" s="448"/>
      <c r="AM132" s="448"/>
      <c r="AN132" s="448"/>
      <c r="AO132" s="448"/>
      <c r="AP132" s="448"/>
      <c r="AQ132" s="448"/>
      <c r="AR132" s="448"/>
      <c r="AS132" s="448"/>
      <c r="AT132" s="448"/>
      <c r="AU132" s="448"/>
      <c r="AV132" s="448"/>
      <c r="AW132" s="448"/>
      <c r="AX132" s="448"/>
      <c r="AY132" s="448"/>
      <c r="AZ132" s="448"/>
      <c r="BA132" s="448"/>
    </row>
    <row r="133" spans="1:53" ht="12.75" customHeight="1" x14ac:dyDescent="0.2">
      <c r="A133" s="484">
        <f>'Kalkulation Herstellungskosten'!B229</f>
        <v>0</v>
      </c>
      <c r="B133" s="711"/>
      <c r="C133" s="897"/>
      <c r="D133" s="714"/>
      <c r="E133" s="714"/>
      <c r="F133" s="482">
        <f t="shared" si="266"/>
        <v>0</v>
      </c>
      <c r="G133" s="899"/>
      <c r="H133" s="480">
        <f t="shared" si="280"/>
        <v>0</v>
      </c>
      <c r="I133" s="477"/>
      <c r="J133" s="456">
        <f>'Kalkulation Herstellungskosten'!F229/((1+1/6)*1.1041)</f>
        <v>0</v>
      </c>
      <c r="K133" s="457">
        <f t="shared" si="324"/>
        <v>0</v>
      </c>
      <c r="L133" s="457">
        <f t="shared" si="325"/>
        <v>0</v>
      </c>
      <c r="M133" s="449">
        <f t="shared" si="326"/>
        <v>0</v>
      </c>
      <c r="N133" s="457">
        <f>IF('Kalkulation Herstellungskosten'!C229=0,0,IF(J133/'Kalkulation Herstellungskosten'!C229&gt;SVGrund_lfd_wö,'Kalkulation Herstellungskosten'!C229*Höchst_Woche,J133*SV_lfd))</f>
        <v>0</v>
      </c>
      <c r="O133" s="457">
        <f t="shared" si="327"/>
        <v>0</v>
      </c>
      <c r="P133" s="457">
        <f>IF(J133*10.41%&gt;(0.5833*'Kalkulation Herstellungskosten'!C229*SVGrund_lfd_tä),(0.5833*'Kalkulation Herstellungskosten'!C229*Höchst_Tag),J133*10.41%*SV_lfd)</f>
        <v>0</v>
      </c>
      <c r="Q133" s="457">
        <f t="shared" si="328"/>
        <v>0</v>
      </c>
      <c r="R133" s="457">
        <f t="shared" si="329"/>
        <v>0</v>
      </c>
      <c r="S133" s="457">
        <f t="shared" si="330"/>
        <v>0</v>
      </c>
      <c r="T133" s="457">
        <f t="shared" si="331"/>
        <v>0</v>
      </c>
      <c r="U133" s="457">
        <f t="shared" si="332"/>
        <v>0</v>
      </c>
      <c r="V133" s="457">
        <f>'Kalkulation Herstellungskosten'!C229*U_Bahn</f>
        <v>0</v>
      </c>
      <c r="W133" s="449">
        <f t="shared" si="333"/>
        <v>0</v>
      </c>
      <c r="X133" s="449">
        <f t="shared" si="334"/>
        <v>0</v>
      </c>
      <c r="Y133" s="448"/>
      <c r="Z133" s="448"/>
      <c r="AA133" s="448"/>
      <c r="AB133" s="448"/>
      <c r="AC133" s="448"/>
      <c r="AD133" s="448"/>
      <c r="AE133" s="448"/>
      <c r="AF133" s="448"/>
      <c r="AG133" s="448"/>
      <c r="AH133" s="448"/>
      <c r="AI133" s="448"/>
      <c r="AJ133" s="448"/>
      <c r="AK133" s="448"/>
      <c r="AL133" s="448"/>
      <c r="AM133" s="448"/>
      <c r="AN133" s="448"/>
      <c r="AO133" s="448"/>
      <c r="AP133" s="448"/>
      <c r="AQ133" s="448"/>
      <c r="AR133" s="448"/>
      <c r="AS133" s="448"/>
      <c r="AT133" s="448"/>
      <c r="AU133" s="448"/>
      <c r="AV133" s="448"/>
      <c r="AW133" s="448"/>
      <c r="AX133" s="448"/>
      <c r="AY133" s="448"/>
      <c r="AZ133" s="448"/>
      <c r="BA133" s="448"/>
    </row>
    <row r="134" spans="1:53" ht="12.75" customHeight="1" x14ac:dyDescent="0.2">
      <c r="A134" s="484">
        <f>'Kalkulation Herstellungskosten'!B230</f>
        <v>0</v>
      </c>
      <c r="B134" s="711"/>
      <c r="C134" s="897"/>
      <c r="D134" s="714"/>
      <c r="E134" s="714"/>
      <c r="F134" s="482">
        <f t="shared" si="266"/>
        <v>0</v>
      </c>
      <c r="G134" s="899"/>
      <c r="H134" s="480">
        <f t="shared" si="280"/>
        <v>0</v>
      </c>
      <c r="I134" s="477"/>
      <c r="J134" s="456">
        <f>'Kalkulation Herstellungskosten'!F230/((1+1/6)*1.1041)</f>
        <v>0</v>
      </c>
      <c r="K134" s="457">
        <f t="shared" si="324"/>
        <v>0</v>
      </c>
      <c r="L134" s="457">
        <f t="shared" si="325"/>
        <v>0</v>
      </c>
      <c r="M134" s="449">
        <f t="shared" si="326"/>
        <v>0</v>
      </c>
      <c r="N134" s="457">
        <f>IF('Kalkulation Herstellungskosten'!C230=0,0,IF(J134/'Kalkulation Herstellungskosten'!C230&gt;SVGrund_lfd_wö,'Kalkulation Herstellungskosten'!C230*Höchst_Woche,J134*SV_lfd))</f>
        <v>0</v>
      </c>
      <c r="O134" s="457">
        <f t="shared" si="327"/>
        <v>0</v>
      </c>
      <c r="P134" s="457">
        <f>IF(J134*10.41%&gt;(0.5833*'Kalkulation Herstellungskosten'!C230*SVGrund_lfd_tä),(0.5833*'Kalkulation Herstellungskosten'!C230*Höchst_Tag),J134*10.41%*SV_lfd)</f>
        <v>0</v>
      </c>
      <c r="Q134" s="457">
        <f t="shared" si="328"/>
        <v>0</v>
      </c>
      <c r="R134" s="457">
        <f t="shared" si="329"/>
        <v>0</v>
      </c>
      <c r="S134" s="457">
        <f t="shared" si="330"/>
        <v>0</v>
      </c>
      <c r="T134" s="457">
        <f t="shared" si="331"/>
        <v>0</v>
      </c>
      <c r="U134" s="457">
        <f t="shared" si="332"/>
        <v>0</v>
      </c>
      <c r="V134" s="457">
        <f>'Kalkulation Herstellungskosten'!C230*U_Bahn</f>
        <v>0</v>
      </c>
      <c r="W134" s="449">
        <f t="shared" si="333"/>
        <v>0</v>
      </c>
      <c r="X134" s="449">
        <f t="shared" si="334"/>
        <v>0</v>
      </c>
      <c r="Y134" s="448"/>
      <c r="Z134" s="448"/>
      <c r="AA134" s="448"/>
      <c r="AB134" s="448"/>
      <c r="AC134" s="448"/>
      <c r="AD134" s="448"/>
      <c r="AE134" s="448"/>
      <c r="AF134" s="448"/>
      <c r="AG134" s="448"/>
      <c r="AH134" s="448"/>
      <c r="AI134" s="448"/>
      <c r="AJ134" s="448"/>
      <c r="AK134" s="448"/>
      <c r="AL134" s="448"/>
      <c r="AM134" s="448"/>
      <c r="AN134" s="448"/>
      <c r="AO134" s="448"/>
      <c r="AP134" s="448"/>
      <c r="AQ134" s="448"/>
      <c r="AR134" s="448"/>
      <c r="AS134" s="448"/>
      <c r="AT134" s="448"/>
      <c r="AU134" s="448"/>
      <c r="AV134" s="448"/>
      <c r="AW134" s="448"/>
      <c r="AX134" s="448"/>
      <c r="AY134" s="448"/>
      <c r="AZ134" s="448"/>
      <c r="BA134" s="448"/>
    </row>
    <row r="135" spans="1:53" ht="12.75" customHeight="1" x14ac:dyDescent="0.2">
      <c r="A135" s="484">
        <f>'Kalkulation Herstellungskosten'!B231</f>
        <v>0</v>
      </c>
      <c r="B135" s="711"/>
      <c r="C135" s="897"/>
      <c r="D135" s="714"/>
      <c r="E135" s="714"/>
      <c r="F135" s="482">
        <f t="shared" si="266"/>
        <v>0</v>
      </c>
      <c r="G135" s="899"/>
      <c r="H135" s="480">
        <f t="shared" si="280"/>
        <v>0</v>
      </c>
      <c r="I135" s="477"/>
      <c r="J135" s="456">
        <f>'Kalkulation Herstellungskosten'!F231/((1+1/6)*1.1041)</f>
        <v>0</v>
      </c>
      <c r="K135" s="457">
        <f t="shared" si="324"/>
        <v>0</v>
      </c>
      <c r="L135" s="457">
        <f t="shared" si="325"/>
        <v>0</v>
      </c>
      <c r="M135" s="449">
        <f t="shared" si="326"/>
        <v>0</v>
      </c>
      <c r="N135" s="457">
        <f>IF('Kalkulation Herstellungskosten'!C231=0,0,IF(J135/'Kalkulation Herstellungskosten'!C231&gt;SVGrund_lfd_wö,'Kalkulation Herstellungskosten'!C231*Höchst_Woche,J135*SV_lfd))</f>
        <v>0</v>
      </c>
      <c r="O135" s="457">
        <f t="shared" si="327"/>
        <v>0</v>
      </c>
      <c r="P135" s="457">
        <f>IF(J135*10.41%&gt;(0.5833*'Kalkulation Herstellungskosten'!C231*SVGrund_lfd_tä),(0.5833*'Kalkulation Herstellungskosten'!C231*Höchst_Tag),J135*10.41%*SV_lfd)</f>
        <v>0</v>
      </c>
      <c r="Q135" s="457">
        <f t="shared" si="328"/>
        <v>0</v>
      </c>
      <c r="R135" s="457">
        <f t="shared" si="329"/>
        <v>0</v>
      </c>
      <c r="S135" s="457">
        <f t="shared" si="330"/>
        <v>0</v>
      </c>
      <c r="T135" s="457">
        <f t="shared" si="331"/>
        <v>0</v>
      </c>
      <c r="U135" s="457">
        <f t="shared" si="332"/>
        <v>0</v>
      </c>
      <c r="V135" s="457">
        <f>'Kalkulation Herstellungskosten'!C231*U_Bahn</f>
        <v>0</v>
      </c>
      <c r="W135" s="449">
        <f t="shared" si="333"/>
        <v>0</v>
      </c>
      <c r="X135" s="449">
        <f t="shared" si="334"/>
        <v>0</v>
      </c>
      <c r="Y135" s="448"/>
      <c r="Z135" s="448"/>
      <c r="AA135" s="448"/>
      <c r="AB135" s="448"/>
      <c r="AC135" s="448"/>
      <c r="AD135" s="448"/>
      <c r="AE135" s="448"/>
      <c r="AF135" s="448"/>
      <c r="AG135" s="448"/>
      <c r="AH135" s="448"/>
      <c r="AI135" s="448"/>
      <c r="AJ135" s="448"/>
      <c r="AK135" s="448"/>
      <c r="AL135" s="448"/>
      <c r="AM135" s="448"/>
      <c r="AN135" s="448"/>
      <c r="AO135" s="448"/>
      <c r="AP135" s="448"/>
      <c r="AQ135" s="448"/>
      <c r="AR135" s="448"/>
      <c r="AS135" s="448"/>
      <c r="AT135" s="448"/>
      <c r="AU135" s="448"/>
      <c r="AV135" s="448"/>
      <c r="AW135" s="448"/>
      <c r="AX135" s="448"/>
      <c r="AY135" s="448"/>
      <c r="AZ135" s="448"/>
      <c r="BA135" s="448"/>
    </row>
    <row r="136" spans="1:53" ht="12.75" customHeight="1" x14ac:dyDescent="0.2">
      <c r="A136" s="484">
        <f>'Kalkulation Herstellungskosten'!B232</f>
        <v>0</v>
      </c>
      <c r="B136" s="711"/>
      <c r="C136" s="897"/>
      <c r="D136" s="714"/>
      <c r="E136" s="714"/>
      <c r="F136" s="482">
        <f t="shared" si="266"/>
        <v>0</v>
      </c>
      <c r="G136" s="899"/>
      <c r="H136" s="480">
        <f t="shared" si="280"/>
        <v>0</v>
      </c>
      <c r="I136" s="477"/>
      <c r="J136" s="456">
        <f>'Kalkulation Herstellungskosten'!F232/((1+1/6)*1.1041)</f>
        <v>0</v>
      </c>
      <c r="K136" s="457">
        <f t="shared" si="324"/>
        <v>0</v>
      </c>
      <c r="L136" s="457">
        <f t="shared" si="325"/>
        <v>0</v>
      </c>
      <c r="M136" s="449">
        <f t="shared" si="326"/>
        <v>0</v>
      </c>
      <c r="N136" s="457">
        <f>IF('Kalkulation Herstellungskosten'!C232=0,0,IF(J136/'Kalkulation Herstellungskosten'!C232&gt;SVGrund_lfd_wö,'Kalkulation Herstellungskosten'!C232*Höchst_Woche,J136*SV_lfd))</f>
        <v>0</v>
      </c>
      <c r="O136" s="457">
        <f t="shared" si="327"/>
        <v>0</v>
      </c>
      <c r="P136" s="457">
        <f>IF(J136*10.41%&gt;(0.5833*'Kalkulation Herstellungskosten'!C232*SVGrund_lfd_tä),(0.5833*'Kalkulation Herstellungskosten'!C232*Höchst_Tag),J136*10.41%*SV_lfd)</f>
        <v>0</v>
      </c>
      <c r="Q136" s="457">
        <f t="shared" si="328"/>
        <v>0</v>
      </c>
      <c r="R136" s="457">
        <f t="shared" si="329"/>
        <v>0</v>
      </c>
      <c r="S136" s="457">
        <f t="shared" si="330"/>
        <v>0</v>
      </c>
      <c r="T136" s="457">
        <f t="shared" si="331"/>
        <v>0</v>
      </c>
      <c r="U136" s="457">
        <f t="shared" si="332"/>
        <v>0</v>
      </c>
      <c r="V136" s="457">
        <f>'Kalkulation Herstellungskosten'!C232*U_Bahn</f>
        <v>0</v>
      </c>
      <c r="W136" s="449">
        <f t="shared" si="333"/>
        <v>0</v>
      </c>
      <c r="X136" s="449">
        <f t="shared" si="334"/>
        <v>0</v>
      </c>
      <c r="Y136" s="448"/>
      <c r="Z136" s="448"/>
      <c r="AA136" s="448"/>
      <c r="AB136" s="448"/>
      <c r="AC136" s="448"/>
      <c r="AD136" s="448"/>
      <c r="AE136" s="448"/>
      <c r="AF136" s="448"/>
      <c r="AG136" s="448"/>
      <c r="AH136" s="448"/>
      <c r="AI136" s="448"/>
      <c r="AJ136" s="448"/>
      <c r="AK136" s="448"/>
      <c r="AL136" s="448"/>
      <c r="AM136" s="448"/>
      <c r="AN136" s="448"/>
      <c r="AO136" s="448"/>
      <c r="AP136" s="448"/>
      <c r="AQ136" s="448"/>
      <c r="AR136" s="448"/>
      <c r="AS136" s="448"/>
      <c r="AT136" s="448"/>
      <c r="AU136" s="448"/>
      <c r="AV136" s="448"/>
      <c r="AW136" s="448"/>
      <c r="AX136" s="448"/>
      <c r="AY136" s="448"/>
      <c r="AZ136" s="448"/>
      <c r="BA136" s="448"/>
    </row>
    <row r="137" spans="1:53" ht="12.75" customHeight="1" x14ac:dyDescent="0.2">
      <c r="A137" s="484">
        <f>'Kalkulation Herstellungskosten'!B233</f>
        <v>0</v>
      </c>
      <c r="B137" s="711"/>
      <c r="C137" s="897"/>
      <c r="D137" s="714"/>
      <c r="E137" s="714"/>
      <c r="F137" s="482">
        <f t="shared" si="266"/>
        <v>0</v>
      </c>
      <c r="G137" s="899"/>
      <c r="H137" s="480">
        <f t="shared" si="280"/>
        <v>0</v>
      </c>
      <c r="I137" s="477"/>
      <c r="J137" s="456">
        <f>'Kalkulation Herstellungskosten'!F233/((1+1/6)*1.1041)</f>
        <v>0</v>
      </c>
      <c r="K137" s="457">
        <f t="shared" si="324"/>
        <v>0</v>
      </c>
      <c r="L137" s="457">
        <f t="shared" si="325"/>
        <v>0</v>
      </c>
      <c r="M137" s="449">
        <f t="shared" si="326"/>
        <v>0</v>
      </c>
      <c r="N137" s="457">
        <f>IF('Kalkulation Herstellungskosten'!C233=0,0,IF(J137/'Kalkulation Herstellungskosten'!C233&gt;SVGrund_lfd_wö,'Kalkulation Herstellungskosten'!C233*Höchst_Woche,J137*SV_lfd))</f>
        <v>0</v>
      </c>
      <c r="O137" s="457">
        <f t="shared" si="327"/>
        <v>0</v>
      </c>
      <c r="P137" s="457">
        <f>IF(J137*10.41%&gt;(0.5833*'Kalkulation Herstellungskosten'!C233*SVGrund_lfd_tä),(0.5833*'Kalkulation Herstellungskosten'!C233*Höchst_Tag),J137*10.41%*SV_lfd)</f>
        <v>0</v>
      </c>
      <c r="Q137" s="457">
        <f t="shared" si="328"/>
        <v>0</v>
      </c>
      <c r="R137" s="457">
        <f t="shared" si="329"/>
        <v>0</v>
      </c>
      <c r="S137" s="457">
        <f t="shared" si="330"/>
        <v>0</v>
      </c>
      <c r="T137" s="457">
        <f t="shared" si="331"/>
        <v>0</v>
      </c>
      <c r="U137" s="457">
        <f t="shared" si="332"/>
        <v>0</v>
      </c>
      <c r="V137" s="457">
        <f>'Kalkulation Herstellungskosten'!C233*U_Bahn</f>
        <v>0</v>
      </c>
      <c r="W137" s="449">
        <f t="shared" si="333"/>
        <v>0</v>
      </c>
      <c r="X137" s="449">
        <f t="shared" si="334"/>
        <v>0</v>
      </c>
      <c r="Y137" s="448"/>
      <c r="Z137" s="448"/>
      <c r="AA137" s="448"/>
      <c r="AB137" s="448"/>
      <c r="AC137" s="448"/>
      <c r="AD137" s="448"/>
      <c r="AE137" s="448"/>
      <c r="AF137" s="448"/>
      <c r="AG137" s="448"/>
      <c r="AH137" s="448"/>
      <c r="AI137" s="448"/>
      <c r="AJ137" s="448"/>
      <c r="AK137" s="448"/>
      <c r="AL137" s="448"/>
      <c r="AM137" s="448"/>
      <c r="AN137" s="448"/>
      <c r="AO137" s="448"/>
      <c r="AP137" s="448"/>
      <c r="AQ137" s="448"/>
      <c r="AR137" s="448"/>
      <c r="AS137" s="448"/>
      <c r="AT137" s="448"/>
      <c r="AU137" s="448"/>
      <c r="AV137" s="448"/>
      <c r="AW137" s="448"/>
      <c r="AX137" s="448"/>
      <c r="AY137" s="448"/>
      <c r="AZ137" s="448"/>
      <c r="BA137" s="448"/>
    </row>
    <row r="138" spans="1:53" ht="12.75" customHeight="1" x14ac:dyDescent="0.2">
      <c r="A138" s="484">
        <f>'Kalkulation Herstellungskosten'!B234</f>
        <v>0</v>
      </c>
      <c r="B138" s="711"/>
      <c r="C138" s="897"/>
      <c r="D138" s="714"/>
      <c r="E138" s="714"/>
      <c r="F138" s="482">
        <f t="shared" si="266"/>
        <v>0</v>
      </c>
      <c r="G138" s="899"/>
      <c r="H138" s="480">
        <f t="shared" si="280"/>
        <v>0</v>
      </c>
      <c r="I138" s="477"/>
      <c r="J138" s="456">
        <f>'Kalkulation Herstellungskosten'!F234/((1+1/6)*1.1041)</f>
        <v>0</v>
      </c>
      <c r="K138" s="457">
        <f t="shared" si="324"/>
        <v>0</v>
      </c>
      <c r="L138" s="457">
        <f t="shared" si="325"/>
        <v>0</v>
      </c>
      <c r="M138" s="449">
        <f t="shared" si="326"/>
        <v>0</v>
      </c>
      <c r="N138" s="457">
        <f>IF('Kalkulation Herstellungskosten'!C234=0,0,IF(J138/'Kalkulation Herstellungskosten'!C234&gt;SVGrund_lfd_wö,'Kalkulation Herstellungskosten'!C234*Höchst_Woche,J138*SV_lfd))</f>
        <v>0</v>
      </c>
      <c r="O138" s="457">
        <f t="shared" si="327"/>
        <v>0</v>
      </c>
      <c r="P138" s="457">
        <f>IF(J138*10.41%&gt;(0.5833*'Kalkulation Herstellungskosten'!C234*SVGrund_lfd_tä),(0.5833*'Kalkulation Herstellungskosten'!C234*Höchst_Tag),J138*10.41%*SV_lfd)</f>
        <v>0</v>
      </c>
      <c r="Q138" s="457">
        <f t="shared" si="328"/>
        <v>0</v>
      </c>
      <c r="R138" s="457">
        <f t="shared" si="329"/>
        <v>0</v>
      </c>
      <c r="S138" s="457">
        <f t="shared" si="330"/>
        <v>0</v>
      </c>
      <c r="T138" s="457">
        <f t="shared" si="331"/>
        <v>0</v>
      </c>
      <c r="U138" s="457">
        <f t="shared" si="332"/>
        <v>0</v>
      </c>
      <c r="V138" s="457">
        <f>'Kalkulation Herstellungskosten'!C234*U_Bahn</f>
        <v>0</v>
      </c>
      <c r="W138" s="449">
        <f t="shared" si="333"/>
        <v>0</v>
      </c>
      <c r="X138" s="449">
        <f t="shared" si="334"/>
        <v>0</v>
      </c>
      <c r="Y138" s="448"/>
      <c r="Z138" s="448"/>
      <c r="AA138" s="448"/>
      <c r="AB138" s="448"/>
      <c r="AC138" s="448"/>
      <c r="AD138" s="448"/>
      <c r="AE138" s="448"/>
      <c r="AF138" s="448"/>
      <c r="AG138" s="448"/>
      <c r="AH138" s="448"/>
      <c r="AI138" s="448"/>
      <c r="AJ138" s="448"/>
      <c r="AK138" s="448"/>
      <c r="AL138" s="448"/>
      <c r="AM138" s="448"/>
      <c r="AN138" s="448"/>
      <c r="AO138" s="448"/>
      <c r="AP138" s="448"/>
      <c r="AQ138" s="448"/>
      <c r="AR138" s="448"/>
      <c r="AS138" s="448"/>
      <c r="AT138" s="448"/>
      <c r="AU138" s="448"/>
      <c r="AV138" s="448"/>
      <c r="AW138" s="448"/>
      <c r="AX138" s="448"/>
      <c r="AY138" s="448"/>
      <c r="AZ138" s="448"/>
      <c r="BA138" s="448"/>
    </row>
    <row r="139" spans="1:53" ht="12.75" customHeight="1" x14ac:dyDescent="0.2">
      <c r="A139" s="484">
        <f>'Kalkulation Herstellungskosten'!B235</f>
        <v>0</v>
      </c>
      <c r="B139" s="711"/>
      <c r="C139" s="897"/>
      <c r="D139" s="714"/>
      <c r="E139" s="714"/>
      <c r="F139" s="482">
        <f t="shared" ref="F139:F145" si="335">NETWORKDAYS(D139,E139)/5</f>
        <v>0</v>
      </c>
      <c r="G139" s="899"/>
      <c r="H139" s="480">
        <f t="shared" si="280"/>
        <v>0</v>
      </c>
      <c r="I139" s="477"/>
      <c r="J139" s="456">
        <f>'Kalkulation Herstellungskosten'!F235/((1+1/6)*1.1041)</f>
        <v>0</v>
      </c>
      <c r="K139" s="457">
        <f t="shared" ref="K139:K145" si="336">J139/6</f>
        <v>0</v>
      </c>
      <c r="L139" s="457">
        <f t="shared" ref="L139:L145" si="337">(J139+K139)*10.41%</f>
        <v>0</v>
      </c>
      <c r="M139" s="449">
        <f t="shared" ref="M139:M145" si="338">SUM(J139:L139)</f>
        <v>0</v>
      </c>
      <c r="N139" s="457">
        <f>IF('Kalkulation Herstellungskosten'!C235=0,0,IF(J139/'Kalkulation Herstellungskosten'!C235&gt;SVGrund_lfd_wö,'Kalkulation Herstellungskosten'!C235*Höchst_Woche,J139*SV_lfd))</f>
        <v>0</v>
      </c>
      <c r="O139" s="457">
        <f t="shared" ref="O139:O145" si="339">IF(K139&gt;SVGrund_SZ, Höchst_Mo_SZ,K139*SV_SZ)</f>
        <v>0</v>
      </c>
      <c r="P139" s="457">
        <f>IF(J139*10.41%&gt;(0.5833*'Kalkulation Herstellungskosten'!C235*SVGrund_lfd_tä),(0.5833*'Kalkulation Herstellungskosten'!C235*Höchst_Tag),J139*10.41%*SV_lfd)</f>
        <v>0</v>
      </c>
      <c r="Q139" s="457">
        <f t="shared" ref="Q139:Q145" si="340">IF(K139&gt;SVGrund_SZ,0,IF(K139*10.41%&gt;(SVGrund_SZ-K139),(SVGrund_SZ-K139)*SV_SZ,K139*10.41%*SV_SZ))</f>
        <v>0</v>
      </c>
      <c r="R139" s="457">
        <f t="shared" ref="R139:R145" si="341">M139*MV</f>
        <v>0</v>
      </c>
      <c r="S139" s="457">
        <f t="shared" ref="S139:S145" si="342">M139*DB</f>
        <v>0</v>
      </c>
      <c r="T139" s="457">
        <f t="shared" ref="T139:T145" si="343">M139*DZ</f>
        <v>0</v>
      </c>
      <c r="U139" s="457">
        <f t="shared" ref="U139:U145" si="344">M139*KommSt</f>
        <v>0</v>
      </c>
      <c r="V139" s="457">
        <f>'Kalkulation Herstellungskosten'!C235*U_Bahn</f>
        <v>0</v>
      </c>
      <c r="W139" s="449">
        <f t="shared" ref="W139:W145" si="345">SUM(N139:V139)</f>
        <v>0</v>
      </c>
      <c r="X139" s="449">
        <f t="shared" ref="X139:X145" si="346">SUM(M139,W139)</f>
        <v>0</v>
      </c>
      <c r="Y139" s="448"/>
      <c r="Z139" s="448"/>
      <c r="AA139" s="448"/>
      <c r="AB139" s="448"/>
      <c r="AC139" s="448"/>
      <c r="AD139" s="448"/>
      <c r="AE139" s="448"/>
      <c r="AF139" s="448"/>
      <c r="AG139" s="448"/>
      <c r="AH139" s="448"/>
      <c r="AI139" s="448"/>
      <c r="AJ139" s="448"/>
      <c r="AK139" s="448"/>
      <c r="AL139" s="448"/>
      <c r="AM139" s="448"/>
      <c r="AN139" s="448"/>
      <c r="AO139" s="448"/>
      <c r="AP139" s="448"/>
      <c r="AQ139" s="448"/>
      <c r="AR139" s="448"/>
      <c r="AS139" s="448"/>
      <c r="AT139" s="448"/>
      <c r="AU139" s="448"/>
      <c r="AV139" s="448"/>
      <c r="AW139" s="448"/>
      <c r="AX139" s="448"/>
      <c r="AY139" s="448"/>
      <c r="AZ139" s="448"/>
      <c r="BA139" s="448"/>
    </row>
    <row r="140" spans="1:53" ht="12.75" customHeight="1" x14ac:dyDescent="0.2">
      <c r="A140" s="484">
        <f>'Kalkulation Herstellungskosten'!B236</f>
        <v>0</v>
      </c>
      <c r="B140" s="711"/>
      <c r="C140" s="897"/>
      <c r="D140" s="714"/>
      <c r="E140" s="714"/>
      <c r="F140" s="482">
        <f t="shared" si="335"/>
        <v>0</v>
      </c>
      <c r="G140" s="899"/>
      <c r="H140" s="480">
        <f t="shared" si="280"/>
        <v>0</v>
      </c>
      <c r="I140" s="477"/>
      <c r="J140" s="456">
        <f>'Kalkulation Herstellungskosten'!F236/((1+1/6)*1.1041)</f>
        <v>0</v>
      </c>
      <c r="K140" s="457">
        <f t="shared" si="336"/>
        <v>0</v>
      </c>
      <c r="L140" s="457">
        <f t="shared" si="337"/>
        <v>0</v>
      </c>
      <c r="M140" s="449">
        <f t="shared" si="338"/>
        <v>0</v>
      </c>
      <c r="N140" s="457">
        <f>IF('Kalkulation Herstellungskosten'!C236=0,0,IF(J140/'Kalkulation Herstellungskosten'!C236&gt;SVGrund_lfd_wö,'Kalkulation Herstellungskosten'!C236*Höchst_Woche,J140*SV_lfd))</f>
        <v>0</v>
      </c>
      <c r="O140" s="457">
        <f t="shared" si="339"/>
        <v>0</v>
      </c>
      <c r="P140" s="457">
        <f>IF(J140*10.41%&gt;(0.5833*'Kalkulation Herstellungskosten'!C236*SVGrund_lfd_tä),(0.5833*'Kalkulation Herstellungskosten'!C236*Höchst_Tag),J140*10.41%*SV_lfd)</f>
        <v>0</v>
      </c>
      <c r="Q140" s="457">
        <f t="shared" si="340"/>
        <v>0</v>
      </c>
      <c r="R140" s="457">
        <f t="shared" si="341"/>
        <v>0</v>
      </c>
      <c r="S140" s="457">
        <f t="shared" si="342"/>
        <v>0</v>
      </c>
      <c r="T140" s="457">
        <f t="shared" si="343"/>
        <v>0</v>
      </c>
      <c r="U140" s="457">
        <f t="shared" si="344"/>
        <v>0</v>
      </c>
      <c r="V140" s="457">
        <f>'Kalkulation Herstellungskosten'!C236*U_Bahn</f>
        <v>0</v>
      </c>
      <c r="W140" s="449">
        <f t="shared" si="345"/>
        <v>0</v>
      </c>
      <c r="X140" s="449">
        <f t="shared" si="346"/>
        <v>0</v>
      </c>
      <c r="Y140" s="448"/>
      <c r="Z140" s="448"/>
      <c r="AA140" s="448"/>
      <c r="AB140" s="448"/>
      <c r="AC140" s="448"/>
      <c r="AD140" s="448"/>
      <c r="AE140" s="448"/>
      <c r="AF140" s="448"/>
      <c r="AG140" s="448"/>
      <c r="AH140" s="448"/>
      <c r="AI140" s="448"/>
      <c r="AJ140" s="448"/>
      <c r="AK140" s="448"/>
      <c r="AL140" s="448"/>
      <c r="AM140" s="448"/>
      <c r="AN140" s="448"/>
      <c r="AO140" s="448"/>
      <c r="AP140" s="448"/>
      <c r="AQ140" s="448"/>
      <c r="AR140" s="448"/>
      <c r="AS140" s="448"/>
      <c r="AT140" s="448"/>
      <c r="AU140" s="448"/>
      <c r="AV140" s="448"/>
      <c r="AW140" s="448"/>
      <c r="AX140" s="448"/>
      <c r="AY140" s="448"/>
      <c r="AZ140" s="448"/>
      <c r="BA140" s="448"/>
    </row>
    <row r="141" spans="1:53" ht="12.75" customHeight="1" x14ac:dyDescent="0.2">
      <c r="A141" s="484">
        <f>'Kalkulation Herstellungskosten'!B237</f>
        <v>0</v>
      </c>
      <c r="B141" s="711"/>
      <c r="C141" s="897"/>
      <c r="D141" s="714"/>
      <c r="E141" s="714"/>
      <c r="F141" s="482">
        <f t="shared" si="335"/>
        <v>0</v>
      </c>
      <c r="G141" s="899"/>
      <c r="H141" s="480">
        <f t="shared" si="280"/>
        <v>0</v>
      </c>
      <c r="I141" s="477"/>
      <c r="J141" s="456">
        <f>'Kalkulation Herstellungskosten'!F237/((1+1/6)*1.1041)</f>
        <v>0</v>
      </c>
      <c r="K141" s="457">
        <f t="shared" si="336"/>
        <v>0</v>
      </c>
      <c r="L141" s="457">
        <f t="shared" si="337"/>
        <v>0</v>
      </c>
      <c r="M141" s="449">
        <f t="shared" si="338"/>
        <v>0</v>
      </c>
      <c r="N141" s="457">
        <f>IF('Kalkulation Herstellungskosten'!C237=0,0,IF(J141/'Kalkulation Herstellungskosten'!C237&gt;SVGrund_lfd_wö,'Kalkulation Herstellungskosten'!C237*Höchst_Woche,J141*SV_lfd))</f>
        <v>0</v>
      </c>
      <c r="O141" s="457">
        <f t="shared" si="339"/>
        <v>0</v>
      </c>
      <c r="P141" s="457">
        <f>IF(J141*10.41%&gt;(0.5833*'Kalkulation Herstellungskosten'!C237*SVGrund_lfd_tä),(0.5833*'Kalkulation Herstellungskosten'!C237*Höchst_Tag),J141*10.41%*SV_lfd)</f>
        <v>0</v>
      </c>
      <c r="Q141" s="457">
        <f t="shared" si="340"/>
        <v>0</v>
      </c>
      <c r="R141" s="457">
        <f t="shared" si="341"/>
        <v>0</v>
      </c>
      <c r="S141" s="457">
        <f t="shared" si="342"/>
        <v>0</v>
      </c>
      <c r="T141" s="457">
        <f t="shared" si="343"/>
        <v>0</v>
      </c>
      <c r="U141" s="457">
        <f t="shared" si="344"/>
        <v>0</v>
      </c>
      <c r="V141" s="457">
        <f>'Kalkulation Herstellungskosten'!C237*U_Bahn</f>
        <v>0</v>
      </c>
      <c r="W141" s="449">
        <f t="shared" si="345"/>
        <v>0</v>
      </c>
      <c r="X141" s="449">
        <f t="shared" si="346"/>
        <v>0</v>
      </c>
      <c r="Y141" s="448"/>
      <c r="Z141" s="448"/>
      <c r="AA141" s="448"/>
      <c r="AB141" s="448"/>
      <c r="AC141" s="448"/>
      <c r="AD141" s="448"/>
      <c r="AE141" s="448"/>
      <c r="AF141" s="448"/>
      <c r="AG141" s="448"/>
      <c r="AH141" s="448"/>
      <c r="AI141" s="448"/>
      <c r="AJ141" s="448"/>
      <c r="AK141" s="448"/>
      <c r="AL141" s="448"/>
      <c r="AM141" s="448"/>
      <c r="AN141" s="448"/>
      <c r="AO141" s="448"/>
      <c r="AP141" s="448"/>
      <c r="AQ141" s="448"/>
      <c r="AR141" s="448"/>
      <c r="AS141" s="448"/>
      <c r="AT141" s="448"/>
      <c r="AU141" s="448"/>
      <c r="AV141" s="448"/>
      <c r="AW141" s="448"/>
      <c r="AX141" s="448"/>
      <c r="AY141" s="448"/>
      <c r="AZ141" s="448"/>
      <c r="BA141" s="448"/>
    </row>
    <row r="142" spans="1:53" ht="12.75" customHeight="1" x14ac:dyDescent="0.2">
      <c r="A142" s="484">
        <f>'Kalkulation Herstellungskosten'!B238</f>
        <v>0</v>
      </c>
      <c r="B142" s="711"/>
      <c r="C142" s="897"/>
      <c r="D142" s="714"/>
      <c r="E142" s="714"/>
      <c r="F142" s="482">
        <f t="shared" si="335"/>
        <v>0</v>
      </c>
      <c r="G142" s="899"/>
      <c r="H142" s="480">
        <f t="shared" si="280"/>
        <v>0</v>
      </c>
      <c r="I142" s="477"/>
      <c r="J142" s="456">
        <f>'Kalkulation Herstellungskosten'!F238/((1+1/6)*1.1041)</f>
        <v>0</v>
      </c>
      <c r="K142" s="457">
        <f t="shared" si="336"/>
        <v>0</v>
      </c>
      <c r="L142" s="457">
        <f t="shared" si="337"/>
        <v>0</v>
      </c>
      <c r="M142" s="449">
        <f t="shared" si="338"/>
        <v>0</v>
      </c>
      <c r="N142" s="457">
        <f>IF('Kalkulation Herstellungskosten'!C238=0,0,IF(J142/'Kalkulation Herstellungskosten'!C238&gt;SVGrund_lfd_wö,'Kalkulation Herstellungskosten'!C238*Höchst_Woche,J142*SV_lfd))</f>
        <v>0</v>
      </c>
      <c r="O142" s="457">
        <f t="shared" si="339"/>
        <v>0</v>
      </c>
      <c r="P142" s="457">
        <f>IF(J142*10.41%&gt;(0.5833*'Kalkulation Herstellungskosten'!C238*SVGrund_lfd_tä),(0.5833*'Kalkulation Herstellungskosten'!C238*Höchst_Tag),J142*10.41%*SV_lfd)</f>
        <v>0</v>
      </c>
      <c r="Q142" s="457">
        <f t="shared" si="340"/>
        <v>0</v>
      </c>
      <c r="R142" s="457">
        <f t="shared" si="341"/>
        <v>0</v>
      </c>
      <c r="S142" s="457">
        <f t="shared" si="342"/>
        <v>0</v>
      </c>
      <c r="T142" s="457">
        <f t="shared" si="343"/>
        <v>0</v>
      </c>
      <c r="U142" s="457">
        <f t="shared" si="344"/>
        <v>0</v>
      </c>
      <c r="V142" s="457">
        <f>'Kalkulation Herstellungskosten'!C238*U_Bahn</f>
        <v>0</v>
      </c>
      <c r="W142" s="449">
        <f t="shared" si="345"/>
        <v>0</v>
      </c>
      <c r="X142" s="449">
        <f t="shared" si="346"/>
        <v>0</v>
      </c>
      <c r="Y142" s="448"/>
      <c r="Z142" s="448"/>
      <c r="AA142" s="448"/>
      <c r="AB142" s="448"/>
      <c r="AC142" s="448"/>
      <c r="AD142" s="448"/>
      <c r="AE142" s="448"/>
      <c r="AF142" s="448"/>
      <c r="AG142" s="448"/>
      <c r="AH142" s="448"/>
      <c r="AI142" s="448"/>
      <c r="AJ142" s="448"/>
      <c r="AK142" s="448"/>
      <c r="AL142" s="448"/>
      <c r="AM142" s="448"/>
      <c r="AN142" s="448"/>
      <c r="AO142" s="448"/>
      <c r="AP142" s="448"/>
      <c r="AQ142" s="448"/>
      <c r="AR142" s="448"/>
      <c r="AS142" s="448"/>
      <c r="AT142" s="448"/>
      <c r="AU142" s="448"/>
      <c r="AV142" s="448"/>
      <c r="AW142" s="448"/>
      <c r="AX142" s="448"/>
      <c r="AY142" s="448"/>
      <c r="AZ142" s="448"/>
      <c r="BA142" s="448"/>
    </row>
    <row r="143" spans="1:53" ht="12.75" customHeight="1" x14ac:dyDescent="0.2">
      <c r="A143" s="484">
        <f>'Kalkulation Herstellungskosten'!B239</f>
        <v>0</v>
      </c>
      <c r="B143" s="711"/>
      <c r="C143" s="897"/>
      <c r="D143" s="714"/>
      <c r="E143" s="714"/>
      <c r="F143" s="482">
        <f t="shared" si="335"/>
        <v>0</v>
      </c>
      <c r="G143" s="899"/>
      <c r="H143" s="480">
        <f t="shared" si="280"/>
        <v>0</v>
      </c>
      <c r="I143" s="477"/>
      <c r="J143" s="456">
        <f>'Kalkulation Herstellungskosten'!F239/((1+1/6)*1.1041)</f>
        <v>0</v>
      </c>
      <c r="K143" s="457">
        <f t="shared" si="336"/>
        <v>0</v>
      </c>
      <c r="L143" s="457">
        <f t="shared" si="337"/>
        <v>0</v>
      </c>
      <c r="M143" s="449">
        <f t="shared" si="338"/>
        <v>0</v>
      </c>
      <c r="N143" s="457">
        <f>IF('Kalkulation Herstellungskosten'!C239=0,0,IF(J143/'Kalkulation Herstellungskosten'!C239&gt;SVGrund_lfd_wö,'Kalkulation Herstellungskosten'!C239*Höchst_Woche,J143*SV_lfd))</f>
        <v>0</v>
      </c>
      <c r="O143" s="457">
        <f t="shared" si="339"/>
        <v>0</v>
      </c>
      <c r="P143" s="457">
        <f>IF(J143*10.41%&gt;(0.5833*'Kalkulation Herstellungskosten'!C239*SVGrund_lfd_tä),(0.5833*'Kalkulation Herstellungskosten'!C239*Höchst_Tag),J143*10.41%*SV_lfd)</f>
        <v>0</v>
      </c>
      <c r="Q143" s="457">
        <f t="shared" si="340"/>
        <v>0</v>
      </c>
      <c r="R143" s="457">
        <f t="shared" si="341"/>
        <v>0</v>
      </c>
      <c r="S143" s="457">
        <f t="shared" si="342"/>
        <v>0</v>
      </c>
      <c r="T143" s="457">
        <f t="shared" si="343"/>
        <v>0</v>
      </c>
      <c r="U143" s="457">
        <f t="shared" si="344"/>
        <v>0</v>
      </c>
      <c r="V143" s="457">
        <f>'Kalkulation Herstellungskosten'!C239*U_Bahn</f>
        <v>0</v>
      </c>
      <c r="W143" s="449">
        <f t="shared" si="345"/>
        <v>0</v>
      </c>
      <c r="X143" s="449">
        <f t="shared" si="346"/>
        <v>0</v>
      </c>
      <c r="Y143" s="448"/>
      <c r="Z143" s="448"/>
      <c r="AA143" s="448"/>
      <c r="AB143" s="448"/>
      <c r="AC143" s="448"/>
      <c r="AD143" s="448"/>
      <c r="AE143" s="448"/>
      <c r="AF143" s="448"/>
      <c r="AG143" s="448"/>
      <c r="AH143" s="448"/>
      <c r="AI143" s="448"/>
      <c r="AJ143" s="448"/>
      <c r="AK143" s="448"/>
      <c r="AL143" s="448"/>
      <c r="AM143" s="448"/>
      <c r="AN143" s="448"/>
      <c r="AO143" s="448"/>
      <c r="AP143" s="448"/>
      <c r="AQ143" s="448"/>
      <c r="AR143" s="448"/>
      <c r="AS143" s="448"/>
      <c r="AT143" s="448"/>
      <c r="AU143" s="448"/>
      <c r="AV143" s="448"/>
      <c r="AW143" s="448"/>
      <c r="AX143" s="448"/>
      <c r="AY143" s="448"/>
      <c r="AZ143" s="448"/>
      <c r="BA143" s="448"/>
    </row>
    <row r="144" spans="1:53" ht="12.75" customHeight="1" x14ac:dyDescent="0.2">
      <c r="A144" s="484">
        <f>'Kalkulation Herstellungskosten'!B240</f>
        <v>0</v>
      </c>
      <c r="B144" s="711"/>
      <c r="C144" s="897"/>
      <c r="D144" s="714"/>
      <c r="E144" s="714"/>
      <c r="F144" s="482">
        <f t="shared" si="335"/>
        <v>0</v>
      </c>
      <c r="G144" s="899"/>
      <c r="H144" s="480">
        <f t="shared" si="280"/>
        <v>0</v>
      </c>
      <c r="I144" s="477"/>
      <c r="J144" s="456">
        <f>'Kalkulation Herstellungskosten'!F240/((1+1/6)*1.1041)</f>
        <v>0</v>
      </c>
      <c r="K144" s="457">
        <f t="shared" si="336"/>
        <v>0</v>
      </c>
      <c r="L144" s="457">
        <f t="shared" si="337"/>
        <v>0</v>
      </c>
      <c r="M144" s="449">
        <f t="shared" si="338"/>
        <v>0</v>
      </c>
      <c r="N144" s="457">
        <f>IF('Kalkulation Herstellungskosten'!C240=0,0,IF(J144/'Kalkulation Herstellungskosten'!C240&gt;SVGrund_lfd_wö,'Kalkulation Herstellungskosten'!C240*Höchst_Woche,J144*SV_lfd))</f>
        <v>0</v>
      </c>
      <c r="O144" s="457">
        <f t="shared" si="339"/>
        <v>0</v>
      </c>
      <c r="P144" s="457">
        <f>IF(J144*10.41%&gt;(0.5833*'Kalkulation Herstellungskosten'!C240*SVGrund_lfd_tä),(0.5833*'Kalkulation Herstellungskosten'!C240*Höchst_Tag),J144*10.41%*SV_lfd)</f>
        <v>0</v>
      </c>
      <c r="Q144" s="457">
        <f t="shared" si="340"/>
        <v>0</v>
      </c>
      <c r="R144" s="457">
        <f t="shared" si="341"/>
        <v>0</v>
      </c>
      <c r="S144" s="457">
        <f t="shared" si="342"/>
        <v>0</v>
      </c>
      <c r="T144" s="457">
        <f t="shared" si="343"/>
        <v>0</v>
      </c>
      <c r="U144" s="457">
        <f t="shared" si="344"/>
        <v>0</v>
      </c>
      <c r="V144" s="457">
        <f>'Kalkulation Herstellungskosten'!C240*U_Bahn</f>
        <v>0</v>
      </c>
      <c r="W144" s="449">
        <f t="shared" si="345"/>
        <v>0</v>
      </c>
      <c r="X144" s="449">
        <f t="shared" si="346"/>
        <v>0</v>
      </c>
      <c r="Y144" s="448"/>
      <c r="Z144" s="448"/>
      <c r="AA144" s="448"/>
      <c r="AB144" s="448"/>
      <c r="AC144" s="448"/>
      <c r="AD144" s="448"/>
      <c r="AE144" s="448"/>
      <c r="AF144" s="448"/>
      <c r="AG144" s="448"/>
      <c r="AH144" s="448"/>
      <c r="AI144" s="448"/>
      <c r="AJ144" s="448"/>
      <c r="AK144" s="448"/>
      <c r="AL144" s="448"/>
      <c r="AM144" s="448"/>
      <c r="AN144" s="448"/>
      <c r="AO144" s="448"/>
      <c r="AP144" s="448"/>
      <c r="AQ144" s="448"/>
      <c r="AR144" s="448"/>
      <c r="AS144" s="448"/>
      <c r="AT144" s="448"/>
      <c r="AU144" s="448"/>
      <c r="AV144" s="448"/>
      <c r="AW144" s="448"/>
      <c r="AX144" s="448"/>
      <c r="AY144" s="448"/>
      <c r="AZ144" s="448"/>
      <c r="BA144" s="448"/>
    </row>
    <row r="145" spans="1:53" ht="12.75" customHeight="1" x14ac:dyDescent="0.2">
      <c r="A145" s="484">
        <f>'Kalkulation Herstellungskosten'!B241</f>
        <v>0</v>
      </c>
      <c r="B145" s="711"/>
      <c r="C145" s="897"/>
      <c r="D145" s="714"/>
      <c r="E145" s="714"/>
      <c r="F145" s="482">
        <f t="shared" si="335"/>
        <v>0</v>
      </c>
      <c r="G145" s="899"/>
      <c r="H145" s="480">
        <f t="shared" si="280"/>
        <v>0</v>
      </c>
      <c r="I145" s="477"/>
      <c r="J145" s="456">
        <f>'Kalkulation Herstellungskosten'!F241/((1+1/6)*1.1041)</f>
        <v>0</v>
      </c>
      <c r="K145" s="457">
        <f t="shared" si="336"/>
        <v>0</v>
      </c>
      <c r="L145" s="457">
        <f t="shared" si="337"/>
        <v>0</v>
      </c>
      <c r="M145" s="449">
        <f t="shared" si="338"/>
        <v>0</v>
      </c>
      <c r="N145" s="457">
        <f>IF('Kalkulation Herstellungskosten'!C241=0,0,IF(J145/'Kalkulation Herstellungskosten'!C241&gt;SVGrund_lfd_wö,'Kalkulation Herstellungskosten'!C241*Höchst_Woche,J145*SV_lfd))</f>
        <v>0</v>
      </c>
      <c r="O145" s="457">
        <f t="shared" si="339"/>
        <v>0</v>
      </c>
      <c r="P145" s="457">
        <f>IF(J145*10.41%&gt;(0.5833*'Kalkulation Herstellungskosten'!C241*SVGrund_lfd_tä),(0.5833*'Kalkulation Herstellungskosten'!C241*Höchst_Tag),J145*10.41%*SV_lfd)</f>
        <v>0</v>
      </c>
      <c r="Q145" s="457">
        <f t="shared" si="340"/>
        <v>0</v>
      </c>
      <c r="R145" s="457">
        <f t="shared" si="341"/>
        <v>0</v>
      </c>
      <c r="S145" s="457">
        <f t="shared" si="342"/>
        <v>0</v>
      </c>
      <c r="T145" s="457">
        <f t="shared" si="343"/>
        <v>0</v>
      </c>
      <c r="U145" s="457">
        <f t="shared" si="344"/>
        <v>0</v>
      </c>
      <c r="V145" s="457">
        <f>'Kalkulation Herstellungskosten'!C241*U_Bahn</f>
        <v>0</v>
      </c>
      <c r="W145" s="449">
        <f t="shared" si="345"/>
        <v>0</v>
      </c>
      <c r="X145" s="449">
        <f t="shared" si="346"/>
        <v>0</v>
      </c>
      <c r="Y145" s="448"/>
      <c r="Z145" s="448"/>
      <c r="AA145" s="448"/>
      <c r="AB145" s="448"/>
      <c r="AC145" s="448"/>
      <c r="AD145" s="448"/>
      <c r="AE145" s="448"/>
      <c r="AF145" s="448"/>
      <c r="AG145" s="448"/>
      <c r="AH145" s="448"/>
      <c r="AI145" s="448"/>
      <c r="AJ145" s="448"/>
      <c r="AK145" s="448"/>
      <c r="AL145" s="448"/>
      <c r="AM145" s="448"/>
      <c r="AN145" s="448"/>
      <c r="AO145" s="448"/>
      <c r="AP145" s="448"/>
      <c r="AQ145" s="448"/>
      <c r="AR145" s="448"/>
      <c r="AS145" s="448"/>
      <c r="AT145" s="448"/>
      <c r="AU145" s="448"/>
      <c r="AV145" s="448"/>
      <c r="AW145" s="448"/>
      <c r="AX145" s="448"/>
      <c r="AY145" s="448"/>
      <c r="AZ145" s="448"/>
      <c r="BA145" s="448"/>
    </row>
    <row r="146" spans="1:53" ht="12.75" customHeight="1" x14ac:dyDescent="0.2">
      <c r="A146" s="486"/>
      <c r="B146" s="451"/>
      <c r="C146" s="451"/>
      <c r="D146" s="451"/>
      <c r="E146" s="451"/>
      <c r="F146" s="451"/>
      <c r="G146" s="451"/>
      <c r="H146" s="478"/>
      <c r="I146" s="478"/>
      <c r="J146" s="458"/>
      <c r="K146" s="371"/>
      <c r="L146" s="371"/>
      <c r="M146" s="458"/>
      <c r="N146" s="371"/>
      <c r="O146" s="371"/>
      <c r="P146" s="371"/>
      <c r="Q146" s="371"/>
      <c r="R146" s="371"/>
      <c r="S146" s="371"/>
      <c r="T146" s="371"/>
      <c r="U146" s="371"/>
      <c r="V146" s="371"/>
      <c r="W146" s="458"/>
      <c r="X146" s="458"/>
      <c r="Y146" s="448"/>
      <c r="Z146" s="448"/>
      <c r="AA146" s="448"/>
      <c r="AB146" s="448"/>
      <c r="AC146" s="448"/>
      <c r="AD146" s="448"/>
      <c r="AE146" s="448"/>
      <c r="AF146" s="448"/>
      <c r="AG146" s="448"/>
      <c r="AH146" s="448"/>
      <c r="AI146" s="448"/>
      <c r="AJ146" s="448"/>
      <c r="AK146" s="448"/>
      <c r="AL146" s="448"/>
      <c r="AM146" s="448"/>
      <c r="AN146" s="448"/>
      <c r="AO146" s="448"/>
      <c r="AP146" s="448"/>
      <c r="AQ146" s="448"/>
      <c r="AR146" s="448"/>
      <c r="AS146" s="448"/>
      <c r="AT146" s="448"/>
      <c r="AU146" s="448"/>
      <c r="AV146" s="448"/>
      <c r="AW146" s="448"/>
      <c r="AX146" s="448"/>
      <c r="AY146" s="448"/>
      <c r="AZ146" s="448"/>
      <c r="BA146" s="448"/>
    </row>
    <row r="147" spans="1:53" ht="12.75" customHeight="1" x14ac:dyDescent="0.2">
      <c r="A147" s="1090" t="s">
        <v>152</v>
      </c>
      <c r="B147" s="451"/>
      <c r="C147" s="451"/>
      <c r="D147" s="451"/>
      <c r="E147" s="451"/>
      <c r="F147" s="586">
        <f t="shared" ref="F147:J147" si="347">SUM(F5:F146)</f>
        <v>0</v>
      </c>
      <c r="G147" s="451"/>
      <c r="H147" s="586">
        <f t="shared" si="347"/>
        <v>0</v>
      </c>
      <c r="I147" s="478"/>
      <c r="J147" s="586">
        <f t="shared" si="347"/>
        <v>0</v>
      </c>
      <c r="K147" s="586"/>
      <c r="L147" s="586"/>
      <c r="M147" s="586">
        <f t="shared" ref="M147" si="348">SUM(M5:M146)</f>
        <v>0</v>
      </c>
      <c r="N147" s="586">
        <f t="shared" ref="N147:W147" si="349">SUM(N5:N146)</f>
        <v>0</v>
      </c>
      <c r="O147" s="586">
        <f t="shared" si="349"/>
        <v>0</v>
      </c>
      <c r="P147" s="586">
        <f t="shared" si="349"/>
        <v>0</v>
      </c>
      <c r="Q147" s="586">
        <f t="shared" si="349"/>
        <v>0</v>
      </c>
      <c r="R147" s="586">
        <f t="shared" si="349"/>
        <v>0</v>
      </c>
      <c r="S147" s="586">
        <f t="shared" si="349"/>
        <v>0</v>
      </c>
      <c r="T147" s="586">
        <f t="shared" si="349"/>
        <v>0</v>
      </c>
      <c r="U147" s="586">
        <f t="shared" si="349"/>
        <v>0</v>
      </c>
      <c r="V147" s="586">
        <f t="shared" si="349"/>
        <v>0</v>
      </c>
      <c r="W147" s="586">
        <f t="shared" si="349"/>
        <v>0</v>
      </c>
      <c r="X147" s="586">
        <f t="shared" ref="X147" si="350">SUM(X5:X146)</f>
        <v>0</v>
      </c>
      <c r="Y147" s="458"/>
      <c r="Z147" s="458"/>
      <c r="AA147" s="448"/>
      <c r="AB147" s="448"/>
      <c r="AC147" s="448"/>
      <c r="AD147" s="448"/>
      <c r="AE147" s="448"/>
      <c r="AF147" s="448"/>
      <c r="AG147" s="448"/>
      <c r="AH147" s="448"/>
      <c r="AI147" s="448"/>
      <c r="AJ147" s="448"/>
      <c r="AK147" s="448"/>
      <c r="AL147" s="448"/>
      <c r="AM147" s="448"/>
      <c r="AN147" s="448"/>
      <c r="AO147" s="448"/>
      <c r="AP147" s="448"/>
      <c r="AQ147" s="448"/>
      <c r="AR147" s="448"/>
      <c r="AS147" s="448"/>
      <c r="AT147" s="448"/>
      <c r="AU147" s="448"/>
      <c r="AV147" s="448"/>
      <c r="AW147" s="448"/>
      <c r="AX147" s="448"/>
      <c r="AY147" s="448"/>
      <c r="AZ147" s="448"/>
      <c r="BA147" s="448"/>
    </row>
    <row r="148" spans="1:53" ht="12.75" customHeight="1" x14ac:dyDescent="0.2">
      <c r="A148" s="486"/>
      <c r="B148" s="451"/>
      <c r="C148" s="451"/>
      <c r="D148" s="451"/>
      <c r="E148" s="451"/>
      <c r="F148" s="451"/>
      <c r="G148" s="451"/>
      <c r="H148" s="478"/>
      <c r="I148" s="478"/>
      <c r="J148" s="458"/>
      <c r="K148" s="371"/>
      <c r="L148" s="371"/>
      <c r="M148" s="458"/>
      <c r="N148" s="458"/>
      <c r="O148" s="458"/>
      <c r="P148" s="458"/>
      <c r="Q148" s="458"/>
      <c r="R148" s="458"/>
      <c r="S148" s="458"/>
      <c r="T148" s="458"/>
      <c r="U148" s="458"/>
      <c r="V148" s="458"/>
      <c r="W148" s="458"/>
      <c r="X148" s="458"/>
      <c r="Y148" s="458"/>
      <c r="Z148" s="458"/>
      <c r="AA148" s="448"/>
      <c r="AB148" s="448"/>
      <c r="AC148" s="448"/>
      <c r="AD148" s="448"/>
      <c r="AE148" s="448"/>
      <c r="AF148" s="448"/>
      <c r="AG148" s="448"/>
      <c r="AH148" s="448"/>
      <c r="AI148" s="448"/>
      <c r="AJ148" s="448"/>
      <c r="AK148" s="448"/>
      <c r="AL148" s="448"/>
      <c r="AM148" s="448"/>
      <c r="AN148" s="448"/>
      <c r="AO148" s="448"/>
      <c r="AP148" s="448"/>
      <c r="AQ148" s="448"/>
      <c r="AR148" s="448"/>
      <c r="AS148" s="448"/>
      <c r="AT148" s="448"/>
      <c r="AU148" s="448"/>
      <c r="AV148" s="448"/>
      <c r="AW148" s="448"/>
      <c r="AX148" s="448"/>
      <c r="AY148" s="448"/>
      <c r="AZ148" s="448"/>
      <c r="BA148" s="448"/>
    </row>
    <row r="149" spans="1:53" ht="12.75" customHeight="1" x14ac:dyDescent="0.2">
      <c r="A149" s="486"/>
      <c r="B149" s="451"/>
      <c r="C149" s="451"/>
      <c r="D149" s="451"/>
      <c r="E149" s="451"/>
      <c r="F149" s="451"/>
      <c r="G149" s="451"/>
      <c r="H149" s="478"/>
      <c r="I149" s="478"/>
      <c r="J149" s="458"/>
      <c r="K149" s="371"/>
      <c r="L149" s="371"/>
      <c r="M149" s="458"/>
      <c r="N149" s="458"/>
      <c r="O149" s="458"/>
      <c r="P149" s="458"/>
      <c r="Q149" s="458"/>
      <c r="R149" s="458"/>
      <c r="S149" s="458"/>
      <c r="T149" s="458"/>
      <c r="U149" s="458"/>
      <c r="V149" s="458"/>
      <c r="W149" s="458"/>
      <c r="X149" s="458"/>
      <c r="Y149" s="448"/>
      <c r="Z149" s="448"/>
      <c r="AA149" s="448"/>
      <c r="AB149" s="448"/>
      <c r="AC149" s="448"/>
      <c r="AD149" s="448"/>
      <c r="AE149" s="448"/>
      <c r="AF149" s="448"/>
      <c r="AG149" s="448"/>
      <c r="AH149" s="448"/>
      <c r="AI149" s="448"/>
      <c r="AJ149" s="448"/>
      <c r="AK149" s="448"/>
      <c r="AL149" s="448"/>
      <c r="AM149" s="448"/>
      <c r="AN149" s="448"/>
      <c r="AO149" s="448"/>
      <c r="AP149" s="448"/>
      <c r="AQ149" s="448"/>
      <c r="AR149" s="448"/>
      <c r="AS149" s="448"/>
      <c r="AT149" s="448"/>
      <c r="AU149" s="448"/>
      <c r="AV149" s="448"/>
      <c r="AW149" s="448"/>
      <c r="AX149" s="448"/>
      <c r="AY149" s="448"/>
      <c r="AZ149" s="448"/>
      <c r="BA149" s="448"/>
    </row>
    <row r="150" spans="1:53" ht="12.75" customHeight="1" x14ac:dyDescent="0.2">
      <c r="A150" s="486"/>
      <c r="B150" s="451"/>
      <c r="C150" s="451"/>
      <c r="D150" s="451"/>
      <c r="E150" s="451"/>
      <c r="F150" s="451"/>
      <c r="G150" s="451"/>
      <c r="H150" s="478"/>
      <c r="I150" s="478"/>
      <c r="J150" s="458"/>
      <c r="K150" s="371"/>
      <c r="L150" s="371"/>
      <c r="M150" s="458"/>
      <c r="N150" s="458"/>
      <c r="O150" s="458"/>
      <c r="P150" s="458"/>
      <c r="Q150" s="458"/>
      <c r="R150" s="458"/>
      <c r="S150" s="458"/>
      <c r="T150" s="458"/>
      <c r="U150" s="458"/>
      <c r="V150" s="458"/>
      <c r="W150" s="458"/>
      <c r="X150" s="458"/>
      <c r="Y150" s="448"/>
      <c r="Z150" s="448"/>
      <c r="AA150" s="448"/>
      <c r="AB150" s="448"/>
      <c r="AC150" s="448"/>
      <c r="AD150" s="448"/>
      <c r="AE150" s="448"/>
      <c r="AF150" s="448"/>
      <c r="AG150" s="448"/>
      <c r="AH150" s="448"/>
      <c r="AI150" s="448"/>
      <c r="AJ150" s="448"/>
      <c r="AK150" s="448"/>
      <c r="AL150" s="448"/>
      <c r="AM150" s="448"/>
      <c r="AN150" s="448"/>
      <c r="AO150" s="448"/>
      <c r="AP150" s="448"/>
      <c r="AQ150" s="448"/>
      <c r="AR150" s="448"/>
      <c r="AS150" s="448"/>
      <c r="AT150" s="448"/>
      <c r="AU150" s="448"/>
      <c r="AV150" s="448"/>
      <c r="AW150" s="448"/>
      <c r="AX150" s="448"/>
      <c r="AY150" s="448"/>
      <c r="AZ150" s="448"/>
      <c r="BA150" s="448"/>
    </row>
    <row r="151" spans="1:53" ht="12.75" customHeight="1" x14ac:dyDescent="0.2">
      <c r="A151" s="486"/>
      <c r="B151" s="451"/>
      <c r="C151" s="451"/>
      <c r="D151" s="451"/>
      <c r="E151" s="451"/>
      <c r="F151" s="451"/>
      <c r="G151" s="451"/>
      <c r="H151" s="478"/>
      <c r="I151" s="478"/>
      <c r="J151" s="458"/>
      <c r="K151" s="371"/>
      <c r="L151" s="371"/>
      <c r="M151" s="458"/>
      <c r="N151" s="458"/>
      <c r="O151" s="458"/>
      <c r="P151" s="458"/>
      <c r="Q151" s="458"/>
      <c r="R151" s="458"/>
      <c r="S151" s="458"/>
      <c r="T151" s="458"/>
      <c r="U151" s="458"/>
      <c r="V151" s="458"/>
      <c r="W151" s="458"/>
      <c r="X151" s="458"/>
      <c r="Y151" s="448"/>
      <c r="Z151" s="448"/>
      <c r="AA151" s="448"/>
      <c r="AB151" s="448"/>
      <c r="AC151" s="448"/>
      <c r="AD151" s="448"/>
      <c r="AE151" s="448"/>
      <c r="AF151" s="448"/>
      <c r="AG151" s="448"/>
      <c r="AH151" s="448"/>
      <c r="AI151" s="448"/>
      <c r="AJ151" s="448"/>
      <c r="AK151" s="448"/>
      <c r="AL151" s="448"/>
      <c r="AM151" s="448"/>
      <c r="AN151" s="448"/>
      <c r="AO151" s="448"/>
      <c r="AP151" s="448"/>
      <c r="AQ151" s="448"/>
      <c r="AR151" s="448"/>
      <c r="AS151" s="448"/>
      <c r="AT151" s="448"/>
      <c r="AU151" s="448"/>
      <c r="AV151" s="448"/>
      <c r="AW151" s="448"/>
      <c r="AX151" s="448"/>
      <c r="AY151" s="448"/>
      <c r="AZ151" s="448"/>
      <c r="BA151" s="448"/>
    </row>
    <row r="152" spans="1:53" ht="12.75" customHeight="1" x14ac:dyDescent="0.2">
      <c r="A152" s="486"/>
      <c r="B152" s="451"/>
      <c r="C152" s="451"/>
      <c r="D152" s="451"/>
      <c r="E152" s="451"/>
      <c r="F152" s="451"/>
      <c r="G152" s="451"/>
      <c r="H152" s="478"/>
      <c r="I152" s="478"/>
      <c r="J152" s="458"/>
      <c r="K152" s="371"/>
      <c r="L152" s="371"/>
      <c r="M152" s="458"/>
      <c r="N152" s="458"/>
      <c r="O152" s="458"/>
      <c r="P152" s="458"/>
      <c r="Q152" s="458"/>
      <c r="R152" s="458"/>
      <c r="S152" s="458"/>
      <c r="T152" s="458"/>
      <c r="U152" s="458"/>
      <c r="V152" s="458"/>
      <c r="W152" s="458"/>
      <c r="X152" s="458"/>
      <c r="Y152" s="448"/>
      <c r="Z152" s="448"/>
      <c r="AA152" s="448"/>
      <c r="AB152" s="448"/>
      <c r="AC152" s="448"/>
      <c r="AD152" s="448"/>
      <c r="AE152" s="448"/>
      <c r="AF152" s="448"/>
      <c r="AG152" s="448"/>
      <c r="AH152" s="448"/>
      <c r="AI152" s="448"/>
      <c r="AJ152" s="448"/>
      <c r="AK152" s="448"/>
      <c r="AL152" s="448"/>
      <c r="AM152" s="448"/>
      <c r="AN152" s="448"/>
      <c r="AO152" s="448"/>
      <c r="AP152" s="448"/>
      <c r="AQ152" s="448"/>
      <c r="AR152" s="448"/>
      <c r="AS152" s="448"/>
      <c r="AT152" s="448"/>
      <c r="AU152" s="448"/>
      <c r="AV152" s="448"/>
      <c r="AW152" s="448"/>
      <c r="AX152" s="448"/>
      <c r="AY152" s="448"/>
      <c r="AZ152" s="448"/>
      <c r="BA152" s="448"/>
    </row>
    <row r="153" spans="1:53" ht="12.75" customHeight="1" x14ac:dyDescent="0.2">
      <c r="A153" s="486"/>
      <c r="B153" s="451"/>
      <c r="C153" s="451"/>
      <c r="D153" s="451"/>
      <c r="E153" s="451"/>
      <c r="F153" s="451"/>
      <c r="G153" s="451"/>
      <c r="H153" s="478"/>
      <c r="I153" s="478"/>
      <c r="J153" s="458"/>
      <c r="K153" s="371"/>
      <c r="L153" s="371"/>
      <c r="M153" s="458"/>
      <c r="N153" s="458"/>
      <c r="O153" s="458"/>
      <c r="P153" s="458"/>
      <c r="Q153" s="458"/>
      <c r="R153" s="458"/>
      <c r="S153" s="458"/>
      <c r="T153" s="458"/>
      <c r="U153" s="458"/>
      <c r="V153" s="458"/>
      <c r="W153" s="458"/>
      <c r="X153" s="458"/>
      <c r="Y153" s="448"/>
      <c r="Z153" s="448"/>
      <c r="AA153" s="448"/>
      <c r="AB153" s="448"/>
      <c r="AC153" s="448"/>
      <c r="AD153" s="448"/>
      <c r="AE153" s="448"/>
      <c r="AF153" s="448"/>
      <c r="AG153" s="448"/>
      <c r="AH153" s="448"/>
      <c r="AI153" s="448"/>
      <c r="AJ153" s="448"/>
      <c r="AK153" s="448"/>
      <c r="AL153" s="448"/>
      <c r="AM153" s="448"/>
      <c r="AN153" s="448"/>
      <c r="AO153" s="448"/>
      <c r="AP153" s="448"/>
      <c r="AQ153" s="448"/>
      <c r="AR153" s="448"/>
      <c r="AS153" s="448"/>
      <c r="AT153" s="448"/>
      <c r="AU153" s="448"/>
      <c r="AV153" s="448"/>
      <c r="AW153" s="448"/>
      <c r="AX153" s="448"/>
      <c r="AY153" s="448"/>
      <c r="AZ153" s="448"/>
      <c r="BA153" s="448"/>
    </row>
    <row r="154" spans="1:53" ht="12.75" customHeight="1" x14ac:dyDescent="0.2">
      <c r="A154" s="486"/>
      <c r="B154" s="451"/>
      <c r="C154" s="451"/>
      <c r="D154" s="451"/>
      <c r="E154" s="451"/>
      <c r="F154" s="451"/>
      <c r="G154" s="451"/>
      <c r="H154" s="478"/>
      <c r="I154" s="478"/>
      <c r="J154" s="458"/>
      <c r="K154" s="371"/>
      <c r="L154" s="371"/>
      <c r="M154" s="458"/>
      <c r="N154" s="458"/>
      <c r="O154" s="458"/>
      <c r="P154" s="458"/>
      <c r="Q154" s="458"/>
      <c r="R154" s="458"/>
      <c r="S154" s="458"/>
      <c r="T154" s="458"/>
      <c r="U154" s="458"/>
      <c r="V154" s="458"/>
      <c r="W154" s="458"/>
      <c r="X154" s="458"/>
      <c r="Y154" s="448"/>
      <c r="Z154" s="448"/>
      <c r="AA154" s="448"/>
      <c r="AB154" s="448"/>
      <c r="AC154" s="448"/>
      <c r="AD154" s="448"/>
      <c r="AE154" s="448"/>
      <c r="AF154" s="448"/>
      <c r="AG154" s="448"/>
      <c r="AH154" s="448"/>
      <c r="AI154" s="448"/>
      <c r="AJ154" s="448"/>
      <c r="AK154" s="448"/>
      <c r="AL154" s="448"/>
      <c r="AM154" s="448"/>
      <c r="AN154" s="448"/>
      <c r="AO154" s="448"/>
      <c r="AP154" s="448"/>
      <c r="AQ154" s="448"/>
      <c r="AR154" s="448"/>
      <c r="AS154" s="448"/>
      <c r="AT154" s="448"/>
      <c r="AU154" s="448"/>
      <c r="AV154" s="448"/>
      <c r="AW154" s="448"/>
      <c r="AX154" s="448"/>
      <c r="AY154" s="448"/>
      <c r="AZ154" s="448"/>
      <c r="BA154" s="448"/>
    </row>
    <row r="155" spans="1:53" ht="12.75" customHeight="1" x14ac:dyDescent="0.2">
      <c r="A155" s="486"/>
      <c r="B155" s="451"/>
      <c r="C155" s="451"/>
      <c r="D155" s="451"/>
      <c r="E155" s="451"/>
      <c r="F155" s="451"/>
      <c r="G155" s="451"/>
      <c r="H155" s="478"/>
      <c r="I155" s="478"/>
      <c r="J155" s="458"/>
      <c r="K155" s="371"/>
      <c r="L155" s="371"/>
      <c r="M155" s="458"/>
      <c r="N155" s="458"/>
      <c r="O155" s="458"/>
      <c r="P155" s="458"/>
      <c r="Q155" s="458"/>
      <c r="R155" s="458"/>
      <c r="S155" s="458"/>
      <c r="T155" s="458"/>
      <c r="U155" s="458"/>
      <c r="V155" s="458"/>
      <c r="W155" s="458"/>
      <c r="X155" s="458"/>
      <c r="Y155" s="448"/>
      <c r="Z155" s="448"/>
      <c r="AA155" s="448"/>
      <c r="AB155" s="448"/>
      <c r="AC155" s="448"/>
      <c r="AD155" s="448"/>
      <c r="AE155" s="448"/>
      <c r="AF155" s="448"/>
      <c r="AG155" s="448"/>
      <c r="AH155" s="448"/>
      <c r="AI155" s="448"/>
      <c r="AJ155" s="448"/>
      <c r="AK155" s="448"/>
      <c r="AL155" s="448"/>
      <c r="AM155" s="448"/>
      <c r="AN155" s="448"/>
      <c r="AO155" s="448"/>
      <c r="AP155" s="448"/>
      <c r="AQ155" s="448"/>
      <c r="AR155" s="448"/>
      <c r="AS155" s="448"/>
      <c r="AT155" s="448"/>
      <c r="AU155" s="448"/>
      <c r="AV155" s="448"/>
      <c r="AW155" s="448"/>
      <c r="AX155" s="448"/>
      <c r="AY155" s="448"/>
      <c r="AZ155" s="448"/>
      <c r="BA155" s="448"/>
    </row>
    <row r="156" spans="1:53" ht="12.75" customHeight="1" x14ac:dyDescent="0.2">
      <c r="A156" s="486"/>
      <c r="B156" s="451"/>
      <c r="C156" s="451"/>
      <c r="D156" s="451"/>
      <c r="E156" s="451"/>
      <c r="F156" s="451"/>
      <c r="G156" s="451"/>
      <c r="H156" s="478"/>
      <c r="I156" s="478"/>
      <c r="J156" s="458"/>
      <c r="K156" s="371"/>
      <c r="L156" s="371"/>
      <c r="M156" s="458"/>
      <c r="N156" s="458"/>
      <c r="O156" s="458"/>
      <c r="P156" s="458"/>
      <c r="Q156" s="458"/>
      <c r="R156" s="458"/>
      <c r="S156" s="458"/>
      <c r="T156" s="458"/>
      <c r="U156" s="458"/>
      <c r="V156" s="458"/>
      <c r="W156" s="458"/>
      <c r="X156" s="458"/>
      <c r="Y156" s="448"/>
      <c r="Z156" s="448"/>
      <c r="AA156" s="448"/>
      <c r="AB156" s="448"/>
      <c r="AC156" s="448"/>
      <c r="AD156" s="448"/>
      <c r="AE156" s="448"/>
      <c r="AF156" s="448"/>
      <c r="AG156" s="448"/>
      <c r="AH156" s="448"/>
      <c r="AI156" s="448"/>
      <c r="AJ156" s="448"/>
      <c r="AK156" s="448"/>
      <c r="AL156" s="448"/>
      <c r="AM156" s="448"/>
      <c r="AN156" s="448"/>
      <c r="AO156" s="448"/>
      <c r="AP156" s="448"/>
      <c r="AQ156" s="448"/>
      <c r="AR156" s="448"/>
      <c r="AS156" s="448"/>
      <c r="AT156" s="448"/>
      <c r="AU156" s="448"/>
      <c r="AV156" s="448"/>
      <c r="AW156" s="448"/>
      <c r="AX156" s="448"/>
      <c r="AY156" s="448"/>
      <c r="AZ156" s="448"/>
      <c r="BA156" s="448"/>
    </row>
    <row r="157" spans="1:53" ht="12.75" customHeight="1" x14ac:dyDescent="0.2">
      <c r="A157" s="486"/>
      <c r="B157" s="451"/>
      <c r="C157" s="451"/>
      <c r="D157" s="451"/>
      <c r="E157" s="451"/>
      <c r="F157" s="451"/>
      <c r="G157" s="451"/>
      <c r="H157" s="478"/>
      <c r="I157" s="478"/>
      <c r="J157" s="458"/>
      <c r="K157" s="371"/>
      <c r="L157" s="371"/>
      <c r="M157" s="458"/>
      <c r="N157" s="458"/>
      <c r="O157" s="458"/>
      <c r="P157" s="458"/>
      <c r="Q157" s="458"/>
      <c r="R157" s="458"/>
      <c r="S157" s="458"/>
      <c r="T157" s="458"/>
      <c r="U157" s="458"/>
      <c r="V157" s="458"/>
      <c r="W157" s="458"/>
      <c r="X157" s="458"/>
      <c r="Y157" s="458"/>
      <c r="Z157" s="448"/>
      <c r="AA157" s="448"/>
      <c r="AB157" s="448"/>
      <c r="AC157" s="448"/>
      <c r="AD157" s="448"/>
      <c r="AE157" s="448"/>
      <c r="AF157" s="448"/>
      <c r="AG157" s="448"/>
      <c r="AH157" s="448"/>
      <c r="AI157" s="448"/>
      <c r="AJ157" s="448"/>
      <c r="AK157" s="448"/>
      <c r="AL157" s="448"/>
      <c r="AM157" s="448"/>
      <c r="AN157" s="448"/>
      <c r="AO157" s="448"/>
      <c r="AP157" s="448"/>
      <c r="AQ157" s="448"/>
      <c r="AR157" s="448"/>
      <c r="AS157" s="448"/>
      <c r="AT157" s="448"/>
      <c r="AU157" s="448"/>
      <c r="AV157" s="448"/>
      <c r="AW157" s="448"/>
      <c r="AX157" s="448"/>
      <c r="AY157" s="448"/>
      <c r="AZ157" s="448"/>
      <c r="BA157" s="448"/>
    </row>
    <row r="158" spans="1:53" ht="12.75" customHeight="1" x14ac:dyDescent="0.2">
      <c r="A158" s="486"/>
      <c r="B158" s="451"/>
      <c r="C158" s="451"/>
      <c r="D158" s="451"/>
      <c r="E158" s="451"/>
      <c r="F158" s="451"/>
      <c r="G158" s="451"/>
      <c r="H158" s="478"/>
      <c r="I158" s="478"/>
      <c r="J158" s="458"/>
      <c r="K158" s="371"/>
      <c r="L158" s="371"/>
      <c r="M158" s="458"/>
      <c r="N158" s="458"/>
      <c r="O158" s="458"/>
      <c r="P158" s="458"/>
      <c r="Q158" s="458"/>
      <c r="R158" s="458"/>
      <c r="S158" s="458"/>
      <c r="T158" s="458"/>
      <c r="U158" s="458"/>
      <c r="V158" s="458"/>
      <c r="W158" s="458"/>
      <c r="X158" s="458"/>
      <c r="Y158" s="448"/>
      <c r="Z158" s="448"/>
      <c r="AA158" s="448"/>
      <c r="AB158" s="448"/>
      <c r="AC158" s="448"/>
      <c r="AD158" s="448"/>
      <c r="AE158" s="448"/>
      <c r="AF158" s="448"/>
      <c r="AG158" s="448"/>
      <c r="AH158" s="448"/>
      <c r="AI158" s="448"/>
      <c r="AJ158" s="448"/>
      <c r="AK158" s="448"/>
      <c r="AL158" s="448"/>
      <c r="AM158" s="448"/>
      <c r="AN158" s="448"/>
      <c r="AO158" s="448"/>
      <c r="AP158" s="448"/>
      <c r="AQ158" s="448"/>
      <c r="AR158" s="448"/>
      <c r="AS158" s="448"/>
      <c r="AT158" s="448"/>
      <c r="AU158" s="448"/>
      <c r="AV158" s="448"/>
      <c r="AW158" s="448"/>
      <c r="AX158" s="448"/>
      <c r="AY158" s="448"/>
      <c r="AZ158" s="448"/>
      <c r="BA158" s="448"/>
    </row>
    <row r="159" spans="1:53" ht="12.75" customHeight="1" x14ac:dyDescent="0.2">
      <c r="A159" s="486"/>
      <c r="B159" s="451"/>
      <c r="C159" s="451"/>
      <c r="D159" s="451"/>
      <c r="E159" s="451"/>
      <c r="F159" s="451"/>
      <c r="G159" s="451"/>
      <c r="H159" s="478"/>
      <c r="I159" s="478"/>
      <c r="J159" s="458"/>
      <c r="K159" s="371"/>
      <c r="L159" s="371"/>
      <c r="M159" s="458"/>
      <c r="N159" s="458"/>
      <c r="O159" s="458"/>
      <c r="P159" s="458"/>
      <c r="Q159" s="458"/>
      <c r="R159" s="458"/>
      <c r="S159" s="458"/>
      <c r="T159" s="458"/>
      <c r="U159" s="458"/>
      <c r="V159" s="458"/>
      <c r="W159" s="458"/>
      <c r="X159" s="458"/>
      <c r="Y159" s="448"/>
      <c r="Z159" s="448"/>
      <c r="AA159" s="448"/>
      <c r="AB159" s="448"/>
      <c r="AC159" s="448"/>
      <c r="AD159" s="448"/>
      <c r="AE159" s="448"/>
      <c r="AF159" s="448"/>
      <c r="AG159" s="448"/>
      <c r="AH159" s="448"/>
      <c r="AI159" s="448"/>
      <c r="AJ159" s="448"/>
      <c r="AK159" s="448"/>
      <c r="AL159" s="448"/>
      <c r="AM159" s="448"/>
      <c r="AN159" s="448"/>
      <c r="AO159" s="448"/>
      <c r="AP159" s="448"/>
      <c r="AQ159" s="448"/>
      <c r="AR159" s="448"/>
      <c r="AS159" s="448"/>
      <c r="AT159" s="448"/>
      <c r="AU159" s="448"/>
      <c r="AV159" s="448"/>
      <c r="AW159" s="448"/>
      <c r="AX159" s="448"/>
      <c r="AY159" s="448"/>
      <c r="AZ159" s="448"/>
      <c r="BA159" s="448"/>
    </row>
    <row r="160" spans="1:53" ht="12.75" customHeight="1" x14ac:dyDescent="0.2">
      <c r="A160" s="486"/>
      <c r="B160" s="451"/>
      <c r="C160" s="451"/>
      <c r="D160" s="451"/>
      <c r="E160" s="451"/>
      <c r="F160" s="451"/>
      <c r="G160" s="451"/>
      <c r="H160" s="478"/>
      <c r="I160" s="478"/>
      <c r="J160" s="458"/>
      <c r="K160" s="371"/>
      <c r="L160" s="371"/>
      <c r="M160" s="458"/>
      <c r="N160" s="458"/>
      <c r="O160" s="458"/>
      <c r="P160" s="458"/>
      <c r="Q160" s="458"/>
      <c r="R160" s="458"/>
      <c r="S160" s="458"/>
      <c r="T160" s="458"/>
      <c r="U160" s="458"/>
      <c r="V160" s="458"/>
      <c r="W160" s="458"/>
      <c r="X160" s="458"/>
      <c r="Y160" s="448"/>
      <c r="Z160" s="448"/>
      <c r="AA160" s="448"/>
      <c r="AB160" s="448"/>
      <c r="AC160" s="448"/>
      <c r="AD160" s="448"/>
      <c r="AE160" s="448"/>
      <c r="AF160" s="448"/>
      <c r="AG160" s="448"/>
      <c r="AH160" s="448"/>
      <c r="AI160" s="448"/>
      <c r="AJ160" s="448"/>
      <c r="AK160" s="448"/>
      <c r="AL160" s="448"/>
      <c r="AM160" s="448"/>
      <c r="AN160" s="448"/>
      <c r="AO160" s="448"/>
      <c r="AP160" s="448"/>
      <c r="AQ160" s="448"/>
      <c r="AR160" s="448"/>
      <c r="AS160" s="448"/>
      <c r="AT160" s="448"/>
      <c r="AU160" s="448"/>
      <c r="AV160" s="448"/>
      <c r="AW160" s="448"/>
      <c r="AX160" s="448"/>
      <c r="AY160" s="448"/>
      <c r="AZ160" s="448"/>
      <c r="BA160" s="448"/>
    </row>
    <row r="161" spans="1:53" ht="12.75" customHeight="1" x14ac:dyDescent="0.2">
      <c r="A161" s="486"/>
      <c r="B161" s="451"/>
      <c r="C161" s="451"/>
      <c r="D161" s="451"/>
      <c r="E161" s="451"/>
      <c r="F161" s="451"/>
      <c r="G161" s="451"/>
      <c r="H161" s="478"/>
      <c r="I161" s="478"/>
      <c r="J161" s="458"/>
      <c r="K161" s="371"/>
      <c r="L161" s="371"/>
      <c r="M161" s="458"/>
      <c r="N161" s="458"/>
      <c r="O161" s="458"/>
      <c r="P161" s="458"/>
      <c r="Q161" s="458"/>
      <c r="R161" s="458"/>
      <c r="S161" s="458"/>
      <c r="T161" s="458"/>
      <c r="U161" s="458"/>
      <c r="V161" s="458"/>
      <c r="W161" s="458"/>
      <c r="X161" s="458"/>
      <c r="Y161" s="448"/>
      <c r="Z161" s="448"/>
      <c r="AA161" s="448"/>
      <c r="AB161" s="448"/>
      <c r="AC161" s="448"/>
      <c r="AD161" s="448"/>
      <c r="AE161" s="448"/>
      <c r="AF161" s="448"/>
      <c r="AG161" s="448"/>
      <c r="AH161" s="448"/>
      <c r="AI161" s="448"/>
      <c r="AJ161" s="448"/>
      <c r="AK161" s="448"/>
      <c r="AL161" s="448"/>
      <c r="AM161" s="448"/>
      <c r="AN161" s="448"/>
      <c r="AO161" s="448"/>
      <c r="AP161" s="448"/>
      <c r="AQ161" s="448"/>
      <c r="AR161" s="448"/>
      <c r="AS161" s="448"/>
      <c r="AT161" s="448"/>
      <c r="AU161" s="448"/>
      <c r="AV161" s="448"/>
      <c r="AW161" s="448"/>
      <c r="AX161" s="448"/>
      <c r="AY161" s="448"/>
      <c r="AZ161" s="448"/>
      <c r="BA161" s="448"/>
    </row>
    <row r="162" spans="1:53" ht="12.75" customHeight="1" x14ac:dyDescent="0.2">
      <c r="A162" s="486"/>
      <c r="B162" s="451"/>
      <c r="C162" s="451"/>
      <c r="D162" s="451"/>
      <c r="E162" s="451"/>
      <c r="F162" s="451"/>
      <c r="G162" s="451"/>
      <c r="H162" s="478"/>
      <c r="I162" s="478"/>
      <c r="J162" s="458"/>
      <c r="K162" s="371"/>
      <c r="L162" s="371"/>
      <c r="M162" s="458"/>
      <c r="N162" s="458"/>
      <c r="O162" s="458"/>
      <c r="P162" s="458"/>
      <c r="Q162" s="458"/>
      <c r="R162" s="458"/>
      <c r="S162" s="458"/>
      <c r="T162" s="458"/>
      <c r="U162" s="458"/>
      <c r="V162" s="458"/>
      <c r="W162" s="458"/>
      <c r="X162" s="458"/>
      <c r="Y162" s="448"/>
      <c r="Z162" s="448"/>
      <c r="AA162" s="448"/>
      <c r="AB162" s="448"/>
      <c r="AC162" s="448"/>
      <c r="AD162" s="448"/>
      <c r="AE162" s="448"/>
      <c r="AF162" s="448"/>
      <c r="AG162" s="448"/>
      <c r="AH162" s="448"/>
      <c r="AI162" s="448"/>
      <c r="AJ162" s="448"/>
      <c r="AK162" s="448"/>
      <c r="AL162" s="448"/>
      <c r="AM162" s="448"/>
      <c r="AN162" s="448"/>
      <c r="AO162" s="448"/>
      <c r="AP162" s="448"/>
      <c r="AQ162" s="448"/>
      <c r="AR162" s="448"/>
      <c r="AS162" s="448"/>
      <c r="AT162" s="448"/>
      <c r="AU162" s="448"/>
      <c r="AV162" s="448"/>
      <c r="AW162" s="448"/>
      <c r="AX162" s="448"/>
      <c r="AY162" s="448"/>
      <c r="AZ162" s="448"/>
      <c r="BA162" s="448"/>
    </row>
    <row r="163" spans="1:53" ht="12.75" customHeight="1" x14ac:dyDescent="0.2">
      <c r="A163" s="486"/>
      <c r="B163" s="451"/>
      <c r="C163" s="451"/>
      <c r="D163" s="451"/>
      <c r="E163" s="451"/>
      <c r="F163" s="451"/>
      <c r="G163" s="451"/>
      <c r="H163" s="478"/>
      <c r="I163" s="478"/>
      <c r="J163" s="458"/>
      <c r="K163" s="371"/>
      <c r="L163" s="371"/>
      <c r="M163" s="458"/>
      <c r="N163" s="458"/>
      <c r="O163" s="458"/>
      <c r="P163" s="458"/>
      <c r="Q163" s="458"/>
      <c r="R163" s="458"/>
      <c r="S163" s="458"/>
      <c r="T163" s="458"/>
      <c r="U163" s="458"/>
      <c r="V163" s="458"/>
      <c r="W163" s="458"/>
      <c r="X163" s="458"/>
      <c r="Y163" s="448"/>
      <c r="Z163" s="448"/>
      <c r="AA163" s="448"/>
      <c r="AB163" s="448"/>
      <c r="AC163" s="448"/>
      <c r="AD163" s="448"/>
      <c r="AE163" s="448"/>
      <c r="AF163" s="448"/>
      <c r="AG163" s="448"/>
      <c r="AH163" s="448"/>
      <c r="AI163" s="448"/>
      <c r="AJ163" s="448"/>
      <c r="AK163" s="448"/>
      <c r="AL163" s="448"/>
      <c r="AM163" s="448"/>
      <c r="AN163" s="448"/>
      <c r="AO163" s="448"/>
      <c r="AP163" s="448"/>
      <c r="AQ163" s="448"/>
      <c r="AR163" s="448"/>
      <c r="AS163" s="448"/>
      <c r="AT163" s="448"/>
      <c r="AU163" s="448"/>
      <c r="AV163" s="448"/>
      <c r="AW163" s="448"/>
      <c r="AX163" s="448"/>
      <c r="AY163" s="448"/>
      <c r="AZ163" s="448"/>
      <c r="BA163" s="448"/>
    </row>
    <row r="164" spans="1:53" ht="12.75" customHeight="1" x14ac:dyDescent="0.2">
      <c r="A164" s="486"/>
      <c r="B164" s="451"/>
      <c r="C164" s="451"/>
      <c r="D164" s="451"/>
      <c r="E164" s="451"/>
      <c r="F164" s="451"/>
      <c r="G164" s="451"/>
      <c r="H164" s="478"/>
      <c r="I164" s="478"/>
      <c r="J164" s="458"/>
      <c r="K164" s="371"/>
      <c r="L164" s="371"/>
      <c r="M164" s="458"/>
      <c r="N164" s="458"/>
      <c r="O164" s="458"/>
      <c r="P164" s="458"/>
      <c r="Q164" s="458"/>
      <c r="R164" s="458"/>
      <c r="S164" s="458"/>
      <c r="T164" s="458"/>
      <c r="U164" s="458"/>
      <c r="V164" s="458"/>
      <c r="W164" s="458"/>
      <c r="X164" s="458"/>
      <c r="Y164" s="448"/>
      <c r="Z164" s="448"/>
      <c r="AA164" s="448"/>
      <c r="AB164" s="448"/>
      <c r="AC164" s="448"/>
      <c r="AD164" s="448"/>
      <c r="AE164" s="448"/>
      <c r="AF164" s="448"/>
      <c r="AG164" s="448"/>
      <c r="AH164" s="448"/>
      <c r="AI164" s="448"/>
      <c r="AJ164" s="448"/>
      <c r="AK164" s="448"/>
      <c r="AL164" s="448"/>
      <c r="AM164" s="448"/>
      <c r="AN164" s="448"/>
      <c r="AO164" s="448"/>
      <c r="AP164" s="448"/>
      <c r="AQ164" s="448"/>
      <c r="AR164" s="448"/>
      <c r="AS164" s="448"/>
      <c r="AT164" s="448"/>
      <c r="AU164" s="448"/>
      <c r="AV164" s="448"/>
      <c r="AW164" s="448"/>
      <c r="AX164" s="448"/>
      <c r="AY164" s="448"/>
      <c r="AZ164" s="448"/>
      <c r="BA164" s="448"/>
    </row>
    <row r="165" spans="1:53" ht="12.75" customHeight="1" x14ac:dyDescent="0.2">
      <c r="A165" s="486"/>
      <c r="B165" s="451"/>
      <c r="C165" s="451"/>
      <c r="D165" s="451"/>
      <c r="E165" s="451"/>
      <c r="F165" s="451"/>
      <c r="G165" s="451"/>
      <c r="H165" s="478"/>
      <c r="I165" s="478"/>
      <c r="J165" s="458"/>
      <c r="K165" s="371"/>
      <c r="L165" s="371"/>
      <c r="M165" s="458"/>
      <c r="N165" s="458"/>
      <c r="O165" s="458"/>
      <c r="P165" s="458"/>
      <c r="Q165" s="458"/>
      <c r="R165" s="458"/>
      <c r="S165" s="458"/>
      <c r="T165" s="458"/>
      <c r="U165" s="458"/>
      <c r="V165" s="458"/>
      <c r="W165" s="458"/>
      <c r="X165" s="458"/>
      <c r="Y165" s="448"/>
      <c r="Z165" s="448"/>
      <c r="AA165" s="448"/>
      <c r="AB165" s="448"/>
      <c r="AC165" s="448"/>
      <c r="AD165" s="448"/>
      <c r="AE165" s="448"/>
      <c r="AF165" s="448"/>
      <c r="AG165" s="448"/>
      <c r="AH165" s="448"/>
      <c r="AI165" s="448"/>
      <c r="AJ165" s="448"/>
      <c r="AK165" s="448"/>
      <c r="AL165" s="448"/>
      <c r="AM165" s="448"/>
      <c r="AN165" s="448"/>
      <c r="AO165" s="448"/>
      <c r="AP165" s="448"/>
      <c r="AQ165" s="448"/>
      <c r="AR165" s="448"/>
      <c r="AS165" s="448"/>
      <c r="AT165" s="448"/>
      <c r="AU165" s="448"/>
      <c r="AV165" s="448"/>
      <c r="AW165" s="448"/>
      <c r="AX165" s="448"/>
      <c r="AY165" s="448"/>
      <c r="AZ165" s="448"/>
      <c r="BA165" s="448"/>
    </row>
    <row r="166" spans="1:53" ht="12.75" customHeight="1" x14ac:dyDescent="0.2">
      <c r="A166" s="486"/>
      <c r="B166" s="451"/>
      <c r="C166" s="451"/>
      <c r="D166" s="451"/>
      <c r="E166" s="451"/>
      <c r="F166" s="451"/>
      <c r="G166" s="451"/>
      <c r="H166" s="478"/>
      <c r="I166" s="478"/>
      <c r="J166" s="458"/>
      <c r="K166" s="371"/>
      <c r="L166" s="371"/>
      <c r="M166" s="458"/>
      <c r="N166" s="458"/>
      <c r="O166" s="458"/>
      <c r="P166" s="458"/>
      <c r="Q166" s="458"/>
      <c r="R166" s="458"/>
      <c r="S166" s="458"/>
      <c r="T166" s="458"/>
      <c r="U166" s="458"/>
      <c r="V166" s="458"/>
      <c r="W166" s="458"/>
      <c r="X166" s="458"/>
      <c r="Y166" s="448"/>
      <c r="Z166" s="448"/>
      <c r="AA166" s="448"/>
      <c r="AB166" s="448"/>
      <c r="AC166" s="448"/>
      <c r="AD166" s="448"/>
      <c r="AE166" s="448"/>
      <c r="AF166" s="448"/>
      <c r="AG166" s="448"/>
      <c r="AH166" s="448"/>
      <c r="AI166" s="448"/>
      <c r="AJ166" s="448"/>
      <c r="AK166" s="448"/>
      <c r="AL166" s="448"/>
      <c r="AM166" s="448"/>
      <c r="AN166" s="448"/>
      <c r="AO166" s="448"/>
      <c r="AP166" s="448"/>
      <c r="AQ166" s="448"/>
      <c r="AR166" s="448"/>
      <c r="AS166" s="448"/>
      <c r="AT166" s="448"/>
      <c r="AU166" s="448"/>
      <c r="AV166" s="448"/>
      <c r="AW166" s="448"/>
      <c r="AX166" s="448"/>
      <c r="AY166" s="448"/>
      <c r="AZ166" s="448"/>
      <c r="BA166" s="448"/>
    </row>
    <row r="167" spans="1:53" ht="12.75" customHeight="1" x14ac:dyDescent="0.2">
      <c r="A167" s="486"/>
      <c r="B167" s="451"/>
      <c r="C167" s="451"/>
      <c r="D167" s="451"/>
      <c r="E167" s="451"/>
      <c r="F167" s="451"/>
      <c r="G167" s="451"/>
      <c r="H167" s="478"/>
      <c r="I167" s="478"/>
      <c r="J167" s="458"/>
      <c r="K167" s="371"/>
      <c r="L167" s="371"/>
      <c r="M167" s="458"/>
      <c r="N167" s="458"/>
      <c r="O167" s="458"/>
      <c r="P167" s="458"/>
      <c r="Q167" s="458"/>
      <c r="R167" s="458"/>
      <c r="S167" s="458"/>
      <c r="T167" s="458"/>
      <c r="U167" s="458"/>
      <c r="V167" s="458"/>
      <c r="W167" s="458"/>
      <c r="X167" s="458"/>
      <c r="Y167" s="448"/>
      <c r="Z167" s="448"/>
      <c r="AA167" s="448"/>
      <c r="AB167" s="448"/>
      <c r="AC167" s="448"/>
      <c r="AD167" s="448"/>
      <c r="AE167" s="448"/>
      <c r="AF167" s="448"/>
      <c r="AG167" s="448"/>
      <c r="AH167" s="448"/>
      <c r="AI167" s="448"/>
      <c r="AJ167" s="448"/>
      <c r="AK167" s="448"/>
      <c r="AL167" s="448"/>
      <c r="AM167" s="448"/>
      <c r="AN167" s="448"/>
      <c r="AO167" s="448"/>
      <c r="AP167" s="448"/>
      <c r="AQ167" s="448"/>
      <c r="AR167" s="448"/>
      <c r="AS167" s="448"/>
      <c r="AT167" s="448"/>
      <c r="AU167" s="448"/>
      <c r="AV167" s="448"/>
      <c r="AW167" s="448"/>
      <c r="AX167" s="448"/>
      <c r="AY167" s="448"/>
      <c r="AZ167" s="448"/>
      <c r="BA167" s="448"/>
    </row>
    <row r="168" spans="1:53" ht="12.75" customHeight="1" x14ac:dyDescent="0.2">
      <c r="A168" s="486"/>
      <c r="B168" s="451"/>
      <c r="C168" s="451"/>
      <c r="D168" s="451"/>
      <c r="E168" s="451"/>
      <c r="F168" s="451"/>
      <c r="G168" s="451"/>
      <c r="H168" s="478"/>
      <c r="I168" s="478"/>
      <c r="J168" s="458"/>
      <c r="K168" s="371"/>
      <c r="L168" s="371"/>
      <c r="M168" s="458"/>
      <c r="N168" s="458"/>
      <c r="O168" s="458"/>
      <c r="P168" s="458"/>
      <c r="Q168" s="458"/>
      <c r="R168" s="458"/>
      <c r="S168" s="458"/>
      <c r="T168" s="458"/>
      <c r="U168" s="458"/>
      <c r="V168" s="458"/>
      <c r="W168" s="458"/>
      <c r="X168" s="458"/>
      <c r="Y168" s="448"/>
      <c r="Z168" s="448"/>
      <c r="AA168" s="448"/>
      <c r="AB168" s="448"/>
      <c r="AC168" s="448"/>
      <c r="AD168" s="448"/>
      <c r="AE168" s="448"/>
      <c r="AF168" s="448"/>
      <c r="AG168" s="448"/>
      <c r="AH168" s="448"/>
      <c r="AI168" s="448"/>
      <c r="AJ168" s="448"/>
      <c r="AK168" s="448"/>
      <c r="AL168" s="448"/>
      <c r="AM168" s="448"/>
      <c r="AN168" s="448"/>
      <c r="AO168" s="448"/>
      <c r="AP168" s="448"/>
      <c r="AQ168" s="448"/>
      <c r="AR168" s="448"/>
      <c r="AS168" s="448"/>
      <c r="AT168" s="448"/>
      <c r="AU168" s="448"/>
      <c r="AV168" s="448"/>
      <c r="AW168" s="448"/>
      <c r="AX168" s="448"/>
      <c r="AY168" s="448"/>
      <c r="AZ168" s="448"/>
      <c r="BA168" s="448"/>
    </row>
    <row r="169" spans="1:53" ht="12.75" customHeight="1" x14ac:dyDescent="0.2">
      <c r="A169" s="486"/>
      <c r="B169" s="451"/>
      <c r="C169" s="451"/>
      <c r="D169" s="451"/>
      <c r="E169" s="451"/>
      <c r="F169" s="451"/>
      <c r="G169" s="451"/>
      <c r="H169" s="478"/>
      <c r="I169" s="478"/>
      <c r="J169" s="458"/>
      <c r="K169" s="371"/>
      <c r="L169" s="371"/>
      <c r="M169" s="458"/>
      <c r="N169" s="458"/>
      <c r="O169" s="458"/>
      <c r="P169" s="458"/>
      <c r="Q169" s="458"/>
      <c r="R169" s="458"/>
      <c r="S169" s="458"/>
      <c r="T169" s="458"/>
      <c r="U169" s="458"/>
      <c r="V169" s="458"/>
      <c r="W169" s="458"/>
      <c r="X169" s="458"/>
      <c r="Y169" s="448"/>
      <c r="Z169" s="448"/>
      <c r="AA169" s="448"/>
      <c r="AB169" s="448"/>
      <c r="AC169" s="448"/>
      <c r="AD169" s="448"/>
      <c r="AE169" s="448"/>
      <c r="AF169" s="448"/>
      <c r="AG169" s="448"/>
      <c r="AH169" s="448"/>
      <c r="AI169" s="448"/>
      <c r="AJ169" s="448"/>
      <c r="AK169" s="448"/>
      <c r="AL169" s="448"/>
      <c r="AM169" s="448"/>
      <c r="AN169" s="448"/>
      <c r="AO169" s="448"/>
      <c r="AP169" s="448"/>
      <c r="AQ169" s="448"/>
      <c r="AR169" s="448"/>
      <c r="AS169" s="448"/>
      <c r="AT169" s="448"/>
      <c r="AU169" s="448"/>
      <c r="AV169" s="448"/>
      <c r="AW169" s="448"/>
      <c r="AX169" s="448"/>
      <c r="AY169" s="448"/>
      <c r="AZ169" s="448"/>
      <c r="BA169" s="448"/>
    </row>
    <row r="170" spans="1:53" ht="12.75" customHeight="1" x14ac:dyDescent="0.2">
      <c r="A170" s="486"/>
      <c r="B170" s="451"/>
      <c r="C170" s="451"/>
      <c r="D170" s="451"/>
      <c r="E170" s="451"/>
      <c r="F170" s="451"/>
      <c r="G170" s="451"/>
      <c r="H170" s="478"/>
      <c r="I170" s="478"/>
      <c r="J170" s="458"/>
      <c r="K170" s="371"/>
      <c r="L170" s="371"/>
      <c r="M170" s="458"/>
      <c r="N170" s="458"/>
      <c r="O170" s="458"/>
      <c r="P170" s="458"/>
      <c r="Q170" s="458"/>
      <c r="R170" s="458"/>
      <c r="S170" s="458"/>
      <c r="T170" s="458"/>
      <c r="U170" s="458"/>
      <c r="V170" s="458"/>
      <c r="W170" s="458"/>
      <c r="X170" s="458"/>
      <c r="Y170" s="448"/>
      <c r="Z170" s="448"/>
      <c r="AA170" s="448"/>
      <c r="AB170" s="448"/>
      <c r="AC170" s="448"/>
      <c r="AD170" s="448"/>
      <c r="AE170" s="448"/>
      <c r="AF170" s="448"/>
      <c r="AG170" s="448"/>
      <c r="AH170" s="448"/>
      <c r="AI170" s="448"/>
      <c r="AJ170" s="448"/>
      <c r="AK170" s="448"/>
      <c r="AL170" s="448"/>
      <c r="AM170" s="448"/>
      <c r="AN170" s="448"/>
      <c r="AO170" s="448"/>
      <c r="AP170" s="448"/>
      <c r="AQ170" s="448"/>
      <c r="AR170" s="448"/>
      <c r="AS170" s="448"/>
      <c r="AT170" s="448"/>
      <c r="AU170" s="448"/>
      <c r="AV170" s="448"/>
      <c r="AW170" s="448"/>
      <c r="AX170" s="448"/>
      <c r="AY170" s="448"/>
      <c r="AZ170" s="448"/>
      <c r="BA170" s="448"/>
    </row>
    <row r="171" spans="1:53" ht="12.75" customHeight="1" x14ac:dyDescent="0.2">
      <c r="A171" s="486"/>
      <c r="B171" s="451"/>
      <c r="C171" s="451"/>
      <c r="D171" s="451"/>
      <c r="E171" s="451"/>
      <c r="F171" s="451"/>
      <c r="G171" s="451"/>
      <c r="H171" s="478"/>
      <c r="I171" s="478"/>
      <c r="J171" s="458"/>
      <c r="K171" s="371"/>
      <c r="L171" s="371"/>
      <c r="M171" s="458"/>
      <c r="N171" s="458"/>
      <c r="O171" s="458"/>
      <c r="P171" s="458"/>
      <c r="Q171" s="458"/>
      <c r="R171" s="458"/>
      <c r="S171" s="458"/>
      <c r="T171" s="458"/>
      <c r="U171" s="458"/>
      <c r="V171" s="458"/>
      <c r="W171" s="458"/>
      <c r="X171" s="458"/>
      <c r="Y171" s="448"/>
      <c r="Z171" s="448"/>
      <c r="AA171" s="448"/>
      <c r="AB171" s="448"/>
      <c r="AC171" s="448"/>
      <c r="AD171" s="448"/>
      <c r="AE171" s="448"/>
      <c r="AF171" s="448"/>
      <c r="AG171" s="448"/>
      <c r="AH171" s="448"/>
      <c r="AI171" s="448"/>
      <c r="AJ171" s="448"/>
      <c r="AK171" s="448"/>
      <c r="AL171" s="448"/>
      <c r="AM171" s="448"/>
      <c r="AN171" s="448"/>
      <c r="AO171" s="448"/>
      <c r="AP171" s="448"/>
      <c r="AQ171" s="448"/>
      <c r="AR171" s="448"/>
      <c r="AS171" s="448"/>
      <c r="AT171" s="448"/>
      <c r="AU171" s="448"/>
      <c r="AV171" s="448"/>
      <c r="AW171" s="448"/>
      <c r="AX171" s="448"/>
      <c r="AY171" s="448"/>
      <c r="AZ171" s="448"/>
      <c r="BA171" s="448"/>
    </row>
    <row r="172" spans="1:53" ht="12.75" customHeight="1" x14ac:dyDescent="0.2">
      <c r="A172" s="486"/>
      <c r="B172" s="451"/>
      <c r="C172" s="451"/>
      <c r="D172" s="451"/>
      <c r="E172" s="451"/>
      <c r="F172" s="451"/>
      <c r="G172" s="451"/>
      <c r="H172" s="478"/>
      <c r="I172" s="478"/>
      <c r="J172" s="458"/>
      <c r="K172" s="371"/>
      <c r="L172" s="371"/>
      <c r="M172" s="458"/>
      <c r="N172" s="458"/>
      <c r="O172" s="458"/>
      <c r="P172" s="458"/>
      <c r="Q172" s="458"/>
      <c r="R172" s="458"/>
      <c r="S172" s="458"/>
      <c r="T172" s="458"/>
      <c r="U172" s="458"/>
      <c r="V172" s="458"/>
      <c r="W172" s="458"/>
      <c r="X172" s="458"/>
      <c r="Y172" s="448"/>
      <c r="Z172" s="448"/>
      <c r="AA172" s="448"/>
      <c r="AB172" s="448"/>
      <c r="AC172" s="448"/>
      <c r="AD172" s="448"/>
      <c r="AE172" s="448"/>
      <c r="AF172" s="448"/>
      <c r="AG172" s="448"/>
      <c r="AH172" s="448"/>
      <c r="AI172" s="448"/>
      <c r="AJ172" s="448"/>
      <c r="AK172" s="448"/>
      <c r="AL172" s="448"/>
      <c r="AM172" s="448"/>
      <c r="AN172" s="448"/>
      <c r="AO172" s="448"/>
      <c r="AP172" s="448"/>
      <c r="AQ172" s="448"/>
      <c r="AR172" s="448"/>
      <c r="AS172" s="448"/>
      <c r="AT172" s="448"/>
      <c r="AU172" s="448"/>
      <c r="AV172" s="448"/>
      <c r="AW172" s="448"/>
      <c r="AX172" s="448"/>
      <c r="AY172" s="448"/>
      <c r="AZ172" s="448"/>
      <c r="BA172" s="448"/>
    </row>
    <row r="173" spans="1:53" ht="12.75" customHeight="1" x14ac:dyDescent="0.2">
      <c r="A173" s="486"/>
      <c r="B173" s="451"/>
      <c r="C173" s="451"/>
      <c r="D173" s="451"/>
      <c r="E173" s="451"/>
      <c r="F173" s="451"/>
      <c r="G173" s="451"/>
      <c r="H173" s="478"/>
      <c r="I173" s="478"/>
      <c r="J173" s="458"/>
      <c r="K173" s="371"/>
      <c r="L173" s="371"/>
      <c r="M173" s="458"/>
      <c r="N173" s="458"/>
      <c r="O173" s="458"/>
      <c r="P173" s="458"/>
      <c r="Q173" s="458"/>
      <c r="R173" s="458"/>
      <c r="S173" s="458"/>
      <c r="T173" s="458"/>
      <c r="U173" s="458"/>
      <c r="V173" s="458"/>
      <c r="W173" s="458"/>
      <c r="X173" s="458"/>
      <c r="Y173" s="448"/>
      <c r="Z173" s="448"/>
      <c r="AA173" s="448"/>
      <c r="AB173" s="448"/>
      <c r="AC173" s="448"/>
      <c r="AD173" s="448"/>
      <c r="AE173" s="448"/>
      <c r="AF173" s="448"/>
      <c r="AG173" s="448"/>
      <c r="AH173" s="448"/>
      <c r="AI173" s="448"/>
      <c r="AJ173" s="448"/>
      <c r="AK173" s="448"/>
      <c r="AL173" s="448"/>
      <c r="AM173" s="448"/>
      <c r="AN173" s="448"/>
      <c r="AO173" s="448"/>
      <c r="AP173" s="448"/>
      <c r="AQ173" s="448"/>
      <c r="AR173" s="448"/>
      <c r="AS173" s="448"/>
      <c r="AT173" s="448"/>
      <c r="AU173" s="448"/>
      <c r="AV173" s="448"/>
      <c r="AW173" s="448"/>
      <c r="AX173" s="448"/>
      <c r="AY173" s="448"/>
      <c r="AZ173" s="448"/>
      <c r="BA173" s="448"/>
    </row>
    <row r="174" spans="1:53" ht="12.75" customHeight="1" x14ac:dyDescent="0.2">
      <c r="A174" s="486"/>
      <c r="B174" s="451"/>
      <c r="C174" s="451"/>
      <c r="D174" s="451"/>
      <c r="E174" s="451"/>
      <c r="F174" s="451"/>
      <c r="G174" s="451"/>
      <c r="H174" s="478"/>
      <c r="I174" s="478"/>
      <c r="J174" s="458"/>
      <c r="K174" s="371"/>
      <c r="L174" s="371"/>
      <c r="M174" s="458"/>
      <c r="N174" s="458"/>
      <c r="O174" s="458"/>
      <c r="P174" s="458"/>
      <c r="Q174" s="458"/>
      <c r="R174" s="458"/>
      <c r="S174" s="458"/>
      <c r="T174" s="458"/>
      <c r="U174" s="458"/>
      <c r="V174" s="458"/>
      <c r="W174" s="458"/>
      <c r="X174" s="458"/>
      <c r="Y174" s="448"/>
      <c r="Z174" s="448"/>
      <c r="AA174" s="448"/>
      <c r="AB174" s="448"/>
      <c r="AC174" s="448"/>
      <c r="AD174" s="448"/>
      <c r="AE174" s="448"/>
      <c r="AF174" s="448"/>
      <c r="AG174" s="448"/>
      <c r="AH174" s="448"/>
      <c r="AI174" s="448"/>
      <c r="AJ174" s="448"/>
      <c r="AK174" s="448"/>
      <c r="AL174" s="448"/>
      <c r="AM174" s="448"/>
      <c r="AN174" s="448"/>
      <c r="AO174" s="448"/>
      <c r="AP174" s="448"/>
      <c r="AQ174" s="448"/>
      <c r="AR174" s="448"/>
      <c r="AS174" s="448"/>
      <c r="AT174" s="448"/>
      <c r="AU174" s="448"/>
      <c r="AV174" s="448"/>
      <c r="AW174" s="448"/>
      <c r="AX174" s="448"/>
      <c r="AY174" s="448"/>
      <c r="AZ174" s="448"/>
      <c r="BA174" s="448"/>
    </row>
    <row r="175" spans="1:53" ht="12.75" customHeight="1" x14ac:dyDescent="0.2">
      <c r="A175" s="486"/>
      <c r="B175" s="451"/>
      <c r="C175" s="451"/>
      <c r="D175" s="451"/>
      <c r="E175" s="451"/>
      <c r="F175" s="451"/>
      <c r="G175" s="451"/>
      <c r="H175" s="478"/>
      <c r="I175" s="478"/>
      <c r="J175" s="458"/>
      <c r="K175" s="371"/>
      <c r="L175" s="371"/>
      <c r="M175" s="458"/>
      <c r="N175" s="458"/>
      <c r="O175" s="458"/>
      <c r="P175" s="458"/>
      <c r="Q175" s="458"/>
      <c r="R175" s="458"/>
      <c r="S175" s="458"/>
      <c r="T175" s="458"/>
      <c r="U175" s="458"/>
      <c r="V175" s="458"/>
      <c r="W175" s="458"/>
      <c r="X175" s="458"/>
      <c r="Y175" s="448"/>
      <c r="Z175" s="448"/>
      <c r="AA175" s="448"/>
      <c r="AB175" s="448"/>
      <c r="AC175" s="448"/>
      <c r="AD175" s="448"/>
      <c r="AE175" s="448"/>
      <c r="AF175" s="448"/>
      <c r="AG175" s="448"/>
      <c r="AH175" s="448"/>
      <c r="AI175" s="448"/>
      <c r="AJ175" s="448"/>
      <c r="AK175" s="448"/>
      <c r="AL175" s="448"/>
      <c r="AM175" s="448"/>
      <c r="AN175" s="448"/>
      <c r="AO175" s="448"/>
      <c r="AP175" s="448"/>
      <c r="AQ175" s="448"/>
      <c r="AR175" s="448"/>
      <c r="AS175" s="448"/>
      <c r="AT175" s="448"/>
      <c r="AU175" s="448"/>
      <c r="AV175" s="448"/>
      <c r="AW175" s="448"/>
      <c r="AX175" s="448"/>
      <c r="AY175" s="448"/>
      <c r="AZ175" s="448"/>
      <c r="BA175" s="448"/>
    </row>
    <row r="176" spans="1:53" ht="12.75" customHeight="1" x14ac:dyDescent="0.2">
      <c r="A176" s="486"/>
      <c r="B176" s="451"/>
      <c r="C176" s="451"/>
      <c r="D176" s="451"/>
      <c r="E176" s="451"/>
      <c r="F176" s="451"/>
      <c r="G176" s="451"/>
      <c r="H176" s="478"/>
      <c r="I176" s="478"/>
      <c r="J176" s="458"/>
      <c r="K176" s="371"/>
      <c r="L176" s="371"/>
      <c r="M176" s="458"/>
      <c r="N176" s="458"/>
      <c r="O176" s="458"/>
      <c r="P176" s="458"/>
      <c r="Q176" s="458"/>
      <c r="R176" s="458"/>
      <c r="S176" s="458"/>
      <c r="T176" s="458"/>
      <c r="U176" s="458"/>
      <c r="V176" s="458"/>
      <c r="W176" s="458"/>
      <c r="X176" s="458"/>
      <c r="Y176" s="448"/>
      <c r="Z176" s="448"/>
      <c r="AA176" s="448"/>
      <c r="AB176" s="448"/>
      <c r="AC176" s="448"/>
      <c r="AD176" s="448"/>
      <c r="AE176" s="448"/>
      <c r="AF176" s="448"/>
      <c r="AG176" s="448"/>
      <c r="AH176" s="448"/>
      <c r="AI176" s="448"/>
      <c r="AJ176" s="448"/>
      <c r="AK176" s="448"/>
      <c r="AL176" s="448"/>
      <c r="AM176" s="448"/>
      <c r="AN176" s="448"/>
      <c r="AO176" s="448"/>
      <c r="AP176" s="448"/>
      <c r="AQ176" s="448"/>
      <c r="AR176" s="448"/>
      <c r="AS176" s="448"/>
      <c r="AT176" s="448"/>
      <c r="AU176" s="448"/>
      <c r="AV176" s="448"/>
      <c r="AW176" s="448"/>
      <c r="AX176" s="448"/>
      <c r="AY176" s="448"/>
      <c r="AZ176" s="448"/>
      <c r="BA176" s="448"/>
    </row>
    <row r="177" spans="1:53" ht="12.75" customHeight="1" x14ac:dyDescent="0.2">
      <c r="A177" s="486"/>
      <c r="B177" s="451"/>
      <c r="C177" s="451"/>
      <c r="D177" s="451"/>
      <c r="E177" s="451"/>
      <c r="F177" s="451"/>
      <c r="G177" s="451"/>
      <c r="H177" s="478"/>
      <c r="I177" s="478"/>
      <c r="J177" s="458"/>
      <c r="K177" s="371"/>
      <c r="L177" s="371"/>
      <c r="M177" s="458"/>
      <c r="N177" s="458"/>
      <c r="O177" s="458"/>
      <c r="P177" s="458"/>
      <c r="Q177" s="458"/>
      <c r="R177" s="458"/>
      <c r="S177" s="458"/>
      <c r="T177" s="458"/>
      <c r="U177" s="458"/>
      <c r="V177" s="458"/>
      <c r="W177" s="458"/>
      <c r="X177" s="458"/>
      <c r="Y177" s="448"/>
      <c r="Z177" s="448"/>
      <c r="AA177" s="448"/>
      <c r="AB177" s="448"/>
      <c r="AC177" s="448"/>
      <c r="AD177" s="448"/>
      <c r="AE177" s="448"/>
      <c r="AF177" s="448"/>
      <c r="AG177" s="448"/>
      <c r="AH177" s="448"/>
      <c r="AI177" s="448"/>
      <c r="AJ177" s="448"/>
      <c r="AK177" s="448"/>
      <c r="AL177" s="448"/>
      <c r="AM177" s="448"/>
      <c r="AN177" s="448"/>
      <c r="AO177" s="448"/>
      <c r="AP177" s="448"/>
      <c r="AQ177" s="448"/>
      <c r="AR177" s="448"/>
      <c r="AS177" s="448"/>
      <c r="AT177" s="448"/>
      <c r="AU177" s="448"/>
      <c r="AV177" s="448"/>
      <c r="AW177" s="448"/>
      <c r="AX177" s="448"/>
      <c r="AY177" s="448"/>
      <c r="AZ177" s="448"/>
      <c r="BA177" s="448"/>
    </row>
    <row r="178" spans="1:53" ht="12.75" customHeight="1" x14ac:dyDescent="0.2">
      <c r="A178" s="486"/>
      <c r="B178" s="451"/>
      <c r="C178" s="451"/>
      <c r="D178" s="451"/>
      <c r="E178" s="451"/>
      <c r="F178" s="451"/>
      <c r="G178" s="451"/>
      <c r="H178" s="478"/>
      <c r="I178" s="478"/>
      <c r="J178" s="458"/>
      <c r="K178" s="371"/>
      <c r="L178" s="371"/>
      <c r="M178" s="458"/>
      <c r="N178" s="458"/>
      <c r="O178" s="458"/>
      <c r="P178" s="458"/>
      <c r="Q178" s="458"/>
      <c r="R178" s="458"/>
      <c r="S178" s="458"/>
      <c r="T178" s="458"/>
      <c r="U178" s="458"/>
      <c r="V178" s="458"/>
      <c r="W178" s="458"/>
      <c r="X178" s="458"/>
      <c r="Y178" s="448"/>
      <c r="Z178" s="448"/>
      <c r="AA178" s="448"/>
      <c r="AB178" s="448"/>
      <c r="AC178" s="448"/>
      <c r="AD178" s="448"/>
      <c r="AE178" s="448"/>
      <c r="AF178" s="448"/>
      <c r="AG178" s="448"/>
      <c r="AH178" s="448"/>
      <c r="AI178" s="448"/>
      <c r="AJ178" s="448"/>
      <c r="AK178" s="448"/>
      <c r="AL178" s="448"/>
      <c r="AM178" s="448"/>
      <c r="AN178" s="448"/>
      <c r="AO178" s="448"/>
      <c r="AP178" s="448"/>
      <c r="AQ178" s="448"/>
      <c r="AR178" s="448"/>
      <c r="AS178" s="448"/>
      <c r="AT178" s="448"/>
      <c r="AU178" s="448"/>
      <c r="AV178" s="448"/>
      <c r="AW178" s="448"/>
      <c r="AX178" s="448"/>
      <c r="AY178" s="448"/>
      <c r="AZ178" s="448"/>
      <c r="BA178" s="448"/>
    </row>
    <row r="179" spans="1:53" ht="12.75" customHeight="1" x14ac:dyDescent="0.2">
      <c r="A179" s="486"/>
      <c r="B179" s="451"/>
      <c r="C179" s="451"/>
      <c r="D179" s="451"/>
      <c r="E179" s="451"/>
      <c r="F179" s="451"/>
      <c r="G179" s="451"/>
      <c r="H179" s="478"/>
      <c r="I179" s="478"/>
      <c r="J179" s="458"/>
      <c r="K179" s="371"/>
      <c r="L179" s="371"/>
      <c r="M179" s="458"/>
      <c r="N179" s="458"/>
      <c r="O179" s="458"/>
      <c r="P179" s="458"/>
      <c r="Q179" s="458"/>
      <c r="R179" s="458"/>
      <c r="S179" s="458"/>
      <c r="T179" s="458"/>
      <c r="U179" s="458"/>
      <c r="V179" s="458"/>
      <c r="W179" s="458"/>
      <c r="X179" s="458"/>
      <c r="Y179" s="448"/>
      <c r="Z179" s="448"/>
      <c r="AA179" s="448"/>
      <c r="AB179" s="448"/>
      <c r="AC179" s="448"/>
      <c r="AD179" s="448"/>
      <c r="AE179" s="448"/>
      <c r="AF179" s="448"/>
      <c r="AG179" s="448"/>
      <c r="AH179" s="448"/>
      <c r="AI179" s="448"/>
      <c r="AJ179" s="448"/>
      <c r="AK179" s="448"/>
      <c r="AL179" s="448"/>
      <c r="AM179" s="448"/>
      <c r="AN179" s="448"/>
      <c r="AO179" s="448"/>
      <c r="AP179" s="448"/>
      <c r="AQ179" s="448"/>
      <c r="AR179" s="448"/>
      <c r="AS179" s="448"/>
      <c r="AT179" s="448"/>
      <c r="AU179" s="448"/>
      <c r="AV179" s="448"/>
      <c r="AW179" s="448"/>
      <c r="AX179" s="448"/>
      <c r="AY179" s="448"/>
      <c r="AZ179" s="448"/>
      <c r="BA179" s="448"/>
    </row>
    <row r="180" spans="1:53" ht="12.75" customHeight="1" x14ac:dyDescent="0.2">
      <c r="A180" s="486"/>
      <c r="B180" s="451"/>
      <c r="C180" s="451"/>
      <c r="D180" s="451"/>
      <c r="E180" s="451"/>
      <c r="F180" s="451"/>
      <c r="G180" s="451"/>
      <c r="H180" s="478"/>
      <c r="I180" s="478"/>
      <c r="J180" s="458"/>
      <c r="K180" s="371"/>
      <c r="L180" s="371"/>
      <c r="M180" s="458"/>
      <c r="N180" s="458"/>
      <c r="O180" s="458"/>
      <c r="P180" s="458"/>
      <c r="Q180" s="458"/>
      <c r="R180" s="458"/>
      <c r="S180" s="458"/>
      <c r="T180" s="458"/>
      <c r="U180" s="458"/>
      <c r="V180" s="458"/>
      <c r="W180" s="458"/>
      <c r="X180" s="458"/>
      <c r="Y180" s="448"/>
      <c r="Z180" s="448"/>
      <c r="AA180" s="448"/>
      <c r="AB180" s="448"/>
      <c r="AC180" s="448"/>
      <c r="AD180" s="448"/>
      <c r="AE180" s="448"/>
      <c r="AF180" s="448"/>
      <c r="AG180" s="448"/>
      <c r="AH180" s="448"/>
      <c r="AI180" s="448"/>
      <c r="AJ180" s="448"/>
      <c r="AK180" s="448"/>
      <c r="AL180" s="448"/>
      <c r="AM180" s="448"/>
      <c r="AN180" s="448"/>
      <c r="AO180" s="448"/>
      <c r="AP180" s="448"/>
      <c r="AQ180" s="448"/>
      <c r="AR180" s="448"/>
      <c r="AS180" s="448"/>
      <c r="AT180" s="448"/>
      <c r="AU180" s="448"/>
      <c r="AV180" s="448"/>
      <c r="AW180" s="448"/>
      <c r="AX180" s="448"/>
      <c r="AY180" s="448"/>
      <c r="AZ180" s="448"/>
      <c r="BA180" s="448"/>
    </row>
    <row r="181" spans="1:53" ht="12.75" customHeight="1" x14ac:dyDescent="0.2">
      <c r="A181" s="486"/>
      <c r="B181" s="451"/>
      <c r="C181" s="451"/>
      <c r="D181" s="451"/>
      <c r="E181" s="451"/>
      <c r="F181" s="451"/>
      <c r="G181" s="451"/>
      <c r="H181" s="478"/>
      <c r="I181" s="478"/>
      <c r="J181" s="458"/>
      <c r="K181" s="371"/>
      <c r="L181" s="371"/>
      <c r="M181" s="458"/>
      <c r="N181" s="458"/>
      <c r="O181" s="458"/>
      <c r="P181" s="458"/>
      <c r="Q181" s="458"/>
      <c r="R181" s="458"/>
      <c r="S181" s="458"/>
      <c r="T181" s="458"/>
      <c r="U181" s="458"/>
      <c r="V181" s="458"/>
      <c r="W181" s="458"/>
      <c r="X181" s="458"/>
      <c r="Y181" s="448"/>
      <c r="Z181" s="448"/>
      <c r="AA181" s="448"/>
      <c r="AB181" s="448"/>
      <c r="AC181" s="448"/>
      <c r="AD181" s="448"/>
      <c r="AE181" s="448"/>
      <c r="AF181" s="448"/>
      <c r="AG181" s="448"/>
      <c r="AH181" s="448"/>
      <c r="AI181" s="448"/>
      <c r="AJ181" s="448"/>
      <c r="AK181" s="448"/>
      <c r="AL181" s="448"/>
      <c r="AM181" s="448"/>
      <c r="AN181" s="448"/>
      <c r="AO181" s="448"/>
      <c r="AP181" s="448"/>
      <c r="AQ181" s="448"/>
      <c r="AR181" s="448"/>
      <c r="AS181" s="448"/>
      <c r="AT181" s="448"/>
      <c r="AU181" s="448"/>
      <c r="AV181" s="448"/>
      <c r="AW181" s="448"/>
      <c r="AX181" s="448"/>
      <c r="AY181" s="448"/>
      <c r="AZ181" s="448"/>
      <c r="BA181" s="448"/>
    </row>
    <row r="182" spans="1:53" ht="12.75" customHeight="1" x14ac:dyDescent="0.2">
      <c r="A182" s="486"/>
      <c r="B182" s="451"/>
      <c r="C182" s="451"/>
      <c r="D182" s="451"/>
      <c r="E182" s="451"/>
      <c r="F182" s="451"/>
      <c r="G182" s="451"/>
      <c r="H182" s="478"/>
      <c r="I182" s="478"/>
      <c r="J182" s="458"/>
      <c r="K182" s="371"/>
      <c r="L182" s="371"/>
      <c r="M182" s="458"/>
      <c r="N182" s="458"/>
      <c r="O182" s="458"/>
      <c r="P182" s="458"/>
      <c r="Q182" s="458"/>
      <c r="R182" s="458"/>
      <c r="S182" s="458"/>
      <c r="T182" s="458"/>
      <c r="U182" s="458"/>
      <c r="V182" s="458"/>
      <c r="W182" s="458"/>
      <c r="X182" s="458"/>
      <c r="Y182" s="448"/>
      <c r="Z182" s="448"/>
      <c r="AA182" s="448"/>
      <c r="AB182" s="448"/>
      <c r="AC182" s="448"/>
      <c r="AD182" s="448"/>
      <c r="AE182" s="448"/>
      <c r="AF182" s="448"/>
      <c r="AG182" s="448"/>
      <c r="AH182" s="448"/>
      <c r="AI182" s="448"/>
      <c r="AJ182" s="448"/>
      <c r="AK182" s="448"/>
      <c r="AL182" s="448"/>
      <c r="AM182" s="448"/>
      <c r="AN182" s="448"/>
      <c r="AO182" s="448"/>
      <c r="AP182" s="448"/>
      <c r="AQ182" s="448"/>
      <c r="AR182" s="448"/>
      <c r="AS182" s="448"/>
      <c r="AT182" s="448"/>
      <c r="AU182" s="448"/>
      <c r="AV182" s="448"/>
      <c r="AW182" s="448"/>
      <c r="AX182" s="448"/>
      <c r="AY182" s="448"/>
      <c r="AZ182" s="448"/>
      <c r="BA182" s="448"/>
    </row>
    <row r="183" spans="1:53" ht="12.75" customHeight="1" x14ac:dyDescent="0.2">
      <c r="A183" s="486"/>
      <c r="B183" s="451"/>
      <c r="C183" s="451"/>
      <c r="D183" s="451"/>
      <c r="E183" s="451"/>
      <c r="F183" s="451"/>
      <c r="G183" s="451"/>
      <c r="H183" s="478"/>
      <c r="I183" s="478"/>
      <c r="J183" s="458"/>
      <c r="K183" s="371"/>
      <c r="L183" s="371"/>
      <c r="M183" s="458"/>
      <c r="N183" s="458"/>
      <c r="O183" s="458"/>
      <c r="P183" s="458"/>
      <c r="Q183" s="458"/>
      <c r="R183" s="458"/>
      <c r="S183" s="458"/>
      <c r="T183" s="458"/>
      <c r="U183" s="458"/>
      <c r="V183" s="458"/>
      <c r="W183" s="458"/>
      <c r="X183" s="458"/>
      <c r="Y183" s="448"/>
      <c r="Z183" s="448"/>
      <c r="AA183" s="448"/>
      <c r="AB183" s="448"/>
      <c r="AC183" s="448"/>
      <c r="AD183" s="448"/>
      <c r="AE183" s="448"/>
      <c r="AF183" s="448"/>
      <c r="AG183" s="448"/>
      <c r="AH183" s="448"/>
      <c r="AI183" s="448"/>
      <c r="AJ183" s="448"/>
      <c r="AK183" s="448"/>
      <c r="AL183" s="448"/>
      <c r="AM183" s="448"/>
      <c r="AN183" s="448"/>
      <c r="AO183" s="448"/>
      <c r="AP183" s="448"/>
      <c r="AQ183" s="448"/>
      <c r="AR183" s="448"/>
      <c r="AS183" s="448"/>
      <c r="AT183" s="448"/>
      <c r="AU183" s="448"/>
      <c r="AV183" s="448"/>
      <c r="AW183" s="448"/>
      <c r="AX183" s="448"/>
      <c r="AY183" s="448"/>
      <c r="AZ183" s="448"/>
      <c r="BA183" s="448"/>
    </row>
    <row r="184" spans="1:53" ht="12.75" customHeight="1" x14ac:dyDescent="0.2">
      <c r="A184" s="486"/>
      <c r="B184" s="451"/>
      <c r="C184" s="451"/>
      <c r="D184" s="451"/>
      <c r="E184" s="451"/>
      <c r="F184" s="451"/>
      <c r="G184" s="451"/>
      <c r="H184" s="478"/>
      <c r="I184" s="478"/>
      <c r="J184" s="458"/>
      <c r="K184" s="371"/>
      <c r="L184" s="371"/>
      <c r="M184" s="458"/>
      <c r="N184" s="458"/>
      <c r="O184" s="458"/>
      <c r="P184" s="458"/>
      <c r="Q184" s="458"/>
      <c r="R184" s="458"/>
      <c r="S184" s="458"/>
      <c r="T184" s="458"/>
      <c r="U184" s="458"/>
      <c r="V184" s="458"/>
      <c r="W184" s="458"/>
      <c r="X184" s="458"/>
      <c r="Y184" s="448"/>
      <c r="Z184" s="448"/>
      <c r="AA184" s="448"/>
      <c r="AB184" s="448"/>
      <c r="AC184" s="448"/>
      <c r="AD184" s="448"/>
      <c r="AE184" s="448"/>
      <c r="AF184" s="448"/>
      <c r="AG184" s="448"/>
      <c r="AH184" s="448"/>
      <c r="AI184" s="448"/>
      <c r="AJ184" s="448"/>
      <c r="AK184" s="448"/>
      <c r="AL184" s="448"/>
      <c r="AM184" s="448"/>
      <c r="AN184" s="448"/>
      <c r="AO184" s="448"/>
      <c r="AP184" s="448"/>
      <c r="AQ184" s="448"/>
      <c r="AR184" s="448"/>
      <c r="AS184" s="448"/>
      <c r="AT184" s="448"/>
      <c r="AU184" s="448"/>
      <c r="AV184" s="448"/>
      <c r="AW184" s="448"/>
      <c r="AX184" s="448"/>
      <c r="AY184" s="448"/>
      <c r="AZ184" s="448"/>
      <c r="BA184" s="448"/>
    </row>
    <row r="185" spans="1:53" ht="12.75" customHeight="1" x14ac:dyDescent="0.2">
      <c r="A185" s="486"/>
      <c r="B185" s="451"/>
      <c r="C185" s="451"/>
      <c r="D185" s="451"/>
      <c r="E185" s="451"/>
      <c r="F185" s="451"/>
      <c r="G185" s="451"/>
      <c r="H185" s="478"/>
      <c r="I185" s="478"/>
      <c r="J185" s="458"/>
      <c r="K185" s="371"/>
      <c r="L185" s="371"/>
      <c r="M185" s="458"/>
      <c r="N185" s="458"/>
      <c r="O185" s="458"/>
      <c r="P185" s="458"/>
      <c r="Q185" s="458"/>
      <c r="R185" s="458"/>
      <c r="S185" s="458"/>
      <c r="T185" s="458"/>
      <c r="U185" s="458"/>
      <c r="V185" s="458"/>
      <c r="W185" s="458"/>
      <c r="X185" s="458"/>
      <c r="Y185" s="448"/>
      <c r="Z185" s="448"/>
      <c r="AA185" s="448"/>
      <c r="AB185" s="448"/>
      <c r="AC185" s="448"/>
      <c r="AD185" s="448"/>
      <c r="AE185" s="448"/>
      <c r="AF185" s="448"/>
      <c r="AG185" s="448"/>
      <c r="AH185" s="448"/>
      <c r="AI185" s="448"/>
      <c r="AJ185" s="448"/>
      <c r="AK185" s="448"/>
      <c r="AL185" s="448"/>
      <c r="AM185" s="448"/>
      <c r="AN185" s="448"/>
      <c r="AO185" s="448"/>
      <c r="AP185" s="448"/>
      <c r="AQ185" s="448"/>
      <c r="AR185" s="448"/>
      <c r="AS185" s="448"/>
      <c r="AT185" s="448"/>
      <c r="AU185" s="448"/>
      <c r="AV185" s="448"/>
      <c r="AW185" s="448"/>
      <c r="AX185" s="448"/>
      <c r="AY185" s="448"/>
      <c r="AZ185" s="448"/>
      <c r="BA185" s="448"/>
    </row>
    <row r="186" spans="1:53" x14ac:dyDescent="0.2">
      <c r="A186" s="486"/>
      <c r="B186" s="451"/>
      <c r="C186" s="451"/>
      <c r="D186" s="451"/>
      <c r="E186" s="451"/>
      <c r="F186" s="451"/>
      <c r="G186" s="451"/>
      <c r="H186" s="478"/>
      <c r="I186" s="478"/>
      <c r="J186" s="458"/>
      <c r="K186" s="371"/>
      <c r="L186" s="371"/>
      <c r="M186" s="458"/>
      <c r="N186" s="458"/>
      <c r="O186" s="458"/>
      <c r="P186" s="458"/>
      <c r="Q186" s="458"/>
      <c r="R186" s="458"/>
      <c r="S186" s="458"/>
      <c r="T186" s="458"/>
      <c r="U186" s="458"/>
      <c r="V186" s="458"/>
      <c r="W186" s="458"/>
      <c r="X186" s="458"/>
      <c r="Y186" s="448"/>
      <c r="Z186" s="448"/>
      <c r="AA186" s="448"/>
      <c r="AB186" s="448"/>
      <c r="AC186" s="448"/>
      <c r="AD186" s="448"/>
      <c r="AE186" s="448"/>
      <c r="AF186" s="448"/>
      <c r="AG186" s="448"/>
      <c r="AH186" s="448"/>
      <c r="AI186" s="448"/>
      <c r="AJ186" s="448"/>
      <c r="AK186" s="448"/>
      <c r="AL186" s="448"/>
      <c r="AM186" s="448"/>
      <c r="AN186" s="448"/>
      <c r="AO186" s="448"/>
      <c r="AP186" s="448"/>
      <c r="AQ186" s="448"/>
      <c r="AR186" s="448"/>
      <c r="AS186" s="448"/>
      <c r="AT186" s="448"/>
      <c r="AU186" s="448"/>
      <c r="AV186" s="448"/>
      <c r="AW186" s="448"/>
      <c r="AX186" s="448"/>
      <c r="AY186" s="448"/>
      <c r="AZ186" s="448"/>
      <c r="BA186" s="448"/>
    </row>
    <row r="187" spans="1:53" x14ac:dyDescent="0.2">
      <c r="A187" s="486"/>
      <c r="B187" s="451"/>
      <c r="C187" s="451"/>
      <c r="D187" s="451"/>
      <c r="E187" s="451"/>
      <c r="F187" s="451"/>
      <c r="G187" s="451"/>
      <c r="H187" s="478"/>
      <c r="I187" s="478"/>
      <c r="J187" s="458"/>
      <c r="K187" s="371"/>
      <c r="L187" s="371"/>
      <c r="M187" s="458"/>
      <c r="N187" s="458"/>
      <c r="O187" s="458"/>
      <c r="P187" s="458"/>
      <c r="Q187" s="458"/>
      <c r="R187" s="458"/>
      <c r="S187" s="458"/>
      <c r="T187" s="458"/>
      <c r="U187" s="458"/>
      <c r="V187" s="458"/>
      <c r="W187" s="458"/>
      <c r="X187" s="458"/>
      <c r="Y187" s="448"/>
      <c r="Z187" s="448"/>
      <c r="AA187" s="448"/>
      <c r="AB187" s="448"/>
      <c r="AC187" s="448"/>
      <c r="AD187" s="448"/>
      <c r="AE187" s="448"/>
      <c r="AF187" s="448"/>
      <c r="AG187" s="448"/>
      <c r="AH187" s="448"/>
      <c r="AI187" s="448"/>
      <c r="AJ187" s="448"/>
      <c r="AK187" s="448"/>
      <c r="AL187" s="448"/>
      <c r="AM187" s="448"/>
      <c r="AN187" s="448"/>
      <c r="AO187" s="448"/>
      <c r="AP187" s="448"/>
      <c r="AQ187" s="448"/>
      <c r="AR187" s="448"/>
      <c r="AS187" s="448"/>
      <c r="AT187" s="448"/>
      <c r="AU187" s="448"/>
      <c r="AV187" s="448"/>
      <c r="AW187" s="448"/>
      <c r="AX187" s="448"/>
      <c r="AY187" s="448"/>
      <c r="AZ187" s="448"/>
      <c r="BA187" s="448"/>
    </row>
    <row r="188" spans="1:53" x14ac:dyDescent="0.2">
      <c r="A188" s="486"/>
      <c r="B188" s="451"/>
      <c r="C188" s="451"/>
      <c r="D188" s="451"/>
      <c r="E188" s="451"/>
      <c r="F188" s="451"/>
      <c r="G188" s="451"/>
      <c r="H188" s="478"/>
      <c r="I188" s="478"/>
      <c r="J188" s="458"/>
      <c r="K188" s="371"/>
      <c r="L188" s="371"/>
      <c r="M188" s="458"/>
      <c r="N188" s="458"/>
      <c r="O188" s="458"/>
      <c r="P188" s="458"/>
      <c r="Q188" s="458"/>
      <c r="R188" s="458"/>
      <c r="S188" s="458"/>
      <c r="T188" s="458"/>
      <c r="U188" s="458"/>
      <c r="V188" s="458"/>
      <c r="W188" s="458"/>
      <c r="X188" s="458"/>
      <c r="Y188" s="448"/>
      <c r="Z188" s="448"/>
      <c r="AA188" s="448"/>
      <c r="AB188" s="448"/>
      <c r="AC188" s="448"/>
      <c r="AD188" s="448"/>
      <c r="AE188" s="448"/>
      <c r="AF188" s="448"/>
      <c r="AG188" s="448"/>
      <c r="AH188" s="448"/>
      <c r="AI188" s="448"/>
      <c r="AJ188" s="448"/>
      <c r="AK188" s="448"/>
      <c r="AL188" s="448"/>
      <c r="AM188" s="448"/>
      <c r="AN188" s="448"/>
      <c r="AO188" s="448"/>
      <c r="AP188" s="448"/>
      <c r="AQ188" s="448"/>
      <c r="AR188" s="448"/>
      <c r="AS188" s="448"/>
      <c r="AT188" s="448"/>
      <c r="AU188" s="448"/>
      <c r="AV188" s="448"/>
      <c r="AW188" s="448"/>
      <c r="AX188" s="448"/>
      <c r="AY188" s="448"/>
      <c r="AZ188" s="448"/>
      <c r="BA188" s="448"/>
    </row>
    <row r="189" spans="1:53" x14ac:dyDescent="0.2">
      <c r="A189" s="486"/>
      <c r="B189" s="451"/>
      <c r="C189" s="451"/>
      <c r="D189" s="451"/>
      <c r="E189" s="451"/>
      <c r="F189" s="451"/>
      <c r="G189" s="451"/>
      <c r="H189" s="478"/>
      <c r="I189" s="478"/>
      <c r="J189" s="458"/>
      <c r="K189" s="371"/>
      <c r="L189" s="371"/>
      <c r="M189" s="458"/>
      <c r="N189" s="458"/>
      <c r="O189" s="458"/>
      <c r="P189" s="458"/>
      <c r="Q189" s="458"/>
      <c r="R189" s="458"/>
      <c r="S189" s="458"/>
      <c r="T189" s="458"/>
      <c r="U189" s="458"/>
      <c r="V189" s="458"/>
      <c r="W189" s="458"/>
      <c r="X189" s="458"/>
      <c r="Y189" s="448"/>
      <c r="Z189" s="448"/>
      <c r="AA189" s="448"/>
      <c r="AB189" s="448"/>
      <c r="AC189" s="448"/>
      <c r="AD189" s="448"/>
      <c r="AE189" s="448"/>
      <c r="AF189" s="448"/>
      <c r="AG189" s="448"/>
      <c r="AH189" s="448"/>
      <c r="AI189" s="448"/>
      <c r="AJ189" s="448"/>
      <c r="AK189" s="448"/>
      <c r="AL189" s="448"/>
      <c r="AM189" s="448"/>
      <c r="AN189" s="448"/>
      <c r="AO189" s="448"/>
      <c r="AP189" s="448"/>
      <c r="AQ189" s="448"/>
      <c r="AR189" s="448"/>
      <c r="AS189" s="448"/>
      <c r="AT189" s="448"/>
      <c r="AU189" s="448"/>
      <c r="AV189" s="448"/>
      <c r="AW189" s="448"/>
      <c r="AX189" s="448"/>
      <c r="AY189" s="448"/>
      <c r="AZ189" s="448"/>
      <c r="BA189" s="448"/>
    </row>
    <row r="190" spans="1:53" x14ac:dyDescent="0.2">
      <c r="A190" s="486"/>
      <c r="B190" s="451"/>
      <c r="C190" s="451"/>
      <c r="D190" s="451"/>
      <c r="E190" s="451"/>
      <c r="F190" s="451"/>
      <c r="G190" s="451"/>
      <c r="H190" s="478"/>
      <c r="I190" s="478"/>
      <c r="J190" s="458"/>
      <c r="K190" s="371"/>
      <c r="L190" s="371"/>
      <c r="M190" s="458"/>
      <c r="N190" s="458"/>
      <c r="O190" s="458"/>
      <c r="P190" s="458"/>
      <c r="Q190" s="458"/>
      <c r="R190" s="458"/>
      <c r="S190" s="458"/>
      <c r="T190" s="458"/>
      <c r="U190" s="458"/>
      <c r="V190" s="458"/>
      <c r="W190" s="458"/>
      <c r="X190" s="458"/>
      <c r="Y190" s="448"/>
      <c r="Z190" s="448"/>
      <c r="AA190" s="448"/>
      <c r="AB190" s="448"/>
      <c r="AC190" s="448"/>
      <c r="AD190" s="448"/>
      <c r="AE190" s="448"/>
      <c r="AF190" s="448"/>
      <c r="AG190" s="448"/>
      <c r="AH190" s="448"/>
      <c r="AI190" s="448"/>
      <c r="AJ190" s="448"/>
      <c r="AK190" s="448"/>
      <c r="AL190" s="448"/>
      <c r="AM190" s="448"/>
      <c r="AN190" s="448"/>
      <c r="AO190" s="448"/>
      <c r="AP190" s="448"/>
      <c r="AQ190" s="448"/>
      <c r="AR190" s="448"/>
      <c r="AS190" s="448"/>
      <c r="AT190" s="448"/>
      <c r="AU190" s="448"/>
      <c r="AV190" s="448"/>
      <c r="AW190" s="448"/>
      <c r="AX190" s="448"/>
      <c r="AY190" s="448"/>
      <c r="AZ190" s="448"/>
      <c r="BA190" s="448"/>
    </row>
    <row r="191" spans="1:53" x14ac:dyDescent="0.2">
      <c r="A191" s="486"/>
      <c r="B191" s="451"/>
      <c r="C191" s="451"/>
      <c r="D191" s="451"/>
      <c r="E191" s="451"/>
      <c r="F191" s="451"/>
      <c r="G191" s="451"/>
      <c r="H191" s="478"/>
      <c r="I191" s="478"/>
      <c r="J191" s="458"/>
      <c r="K191" s="371"/>
      <c r="L191" s="371"/>
      <c r="M191" s="458"/>
      <c r="N191" s="458"/>
      <c r="O191" s="458"/>
      <c r="P191" s="458"/>
      <c r="Q191" s="458"/>
      <c r="R191" s="458"/>
      <c r="S191" s="458"/>
      <c r="T191" s="458"/>
      <c r="U191" s="458"/>
      <c r="V191" s="458"/>
      <c r="W191" s="458"/>
      <c r="X191" s="458"/>
      <c r="Y191" s="448"/>
      <c r="Z191" s="448"/>
      <c r="AA191" s="448"/>
      <c r="AB191" s="448"/>
      <c r="AC191" s="448"/>
      <c r="AD191" s="448"/>
      <c r="AE191" s="448"/>
      <c r="AF191" s="448"/>
      <c r="AG191" s="448"/>
      <c r="AH191" s="448"/>
      <c r="AI191" s="448"/>
      <c r="AJ191" s="448"/>
      <c r="AK191" s="448"/>
      <c r="AL191" s="448"/>
      <c r="AM191" s="448"/>
      <c r="AN191" s="448"/>
      <c r="AO191" s="448"/>
      <c r="AP191" s="448"/>
      <c r="AQ191" s="448"/>
      <c r="AR191" s="448"/>
      <c r="AS191" s="448"/>
      <c r="AT191" s="448"/>
      <c r="AU191" s="448"/>
      <c r="AV191" s="448"/>
      <c r="AW191" s="448"/>
      <c r="AX191" s="448"/>
      <c r="AY191" s="448"/>
      <c r="AZ191" s="448"/>
      <c r="BA191" s="448"/>
    </row>
    <row r="192" spans="1:53" x14ac:dyDescent="0.2">
      <c r="A192" s="486"/>
      <c r="B192" s="451"/>
      <c r="C192" s="451"/>
      <c r="D192" s="451"/>
      <c r="E192" s="451"/>
      <c r="F192" s="451"/>
      <c r="G192" s="451"/>
      <c r="H192" s="478"/>
      <c r="I192" s="478"/>
      <c r="J192" s="458"/>
      <c r="K192" s="371"/>
      <c r="L192" s="371"/>
      <c r="M192" s="458"/>
      <c r="N192" s="458"/>
      <c r="O192" s="458"/>
      <c r="P192" s="458"/>
      <c r="Q192" s="458"/>
      <c r="R192" s="458"/>
      <c r="S192" s="458"/>
      <c r="T192" s="458"/>
      <c r="U192" s="458"/>
      <c r="V192" s="458"/>
      <c r="W192" s="458"/>
      <c r="X192" s="458"/>
      <c r="Y192" s="448"/>
      <c r="Z192" s="448"/>
      <c r="AA192" s="448"/>
      <c r="AB192" s="448"/>
      <c r="AC192" s="448"/>
      <c r="AD192" s="448"/>
      <c r="AE192" s="448"/>
      <c r="AF192" s="448"/>
      <c r="AG192" s="448"/>
      <c r="AH192" s="448"/>
      <c r="AI192" s="448"/>
      <c r="AJ192" s="448"/>
      <c r="AK192" s="448"/>
      <c r="AL192" s="448"/>
      <c r="AM192" s="448"/>
      <c r="AN192" s="448"/>
      <c r="AO192" s="448"/>
      <c r="AP192" s="448"/>
      <c r="AQ192" s="448"/>
      <c r="AR192" s="448"/>
      <c r="AS192" s="448"/>
      <c r="AT192" s="448"/>
      <c r="AU192" s="448"/>
      <c r="AV192" s="448"/>
      <c r="AW192" s="448"/>
      <c r="AX192" s="448"/>
      <c r="AY192" s="448"/>
      <c r="AZ192" s="448"/>
      <c r="BA192" s="448"/>
    </row>
    <row r="193" spans="1:53" x14ac:dyDescent="0.2">
      <c r="A193" s="486"/>
      <c r="B193" s="451"/>
      <c r="C193" s="451"/>
      <c r="D193" s="451"/>
      <c r="E193" s="451"/>
      <c r="F193" s="451"/>
      <c r="G193" s="451"/>
      <c r="H193" s="478"/>
      <c r="I193" s="478"/>
      <c r="J193" s="458"/>
      <c r="K193" s="371"/>
      <c r="L193" s="371"/>
      <c r="M193" s="458"/>
      <c r="N193" s="458"/>
      <c r="O193" s="458"/>
      <c r="P193" s="458"/>
      <c r="Q193" s="458"/>
      <c r="R193" s="458"/>
      <c r="S193" s="458"/>
      <c r="T193" s="458"/>
      <c r="U193" s="458"/>
      <c r="V193" s="458"/>
      <c r="W193" s="458"/>
      <c r="X193" s="458"/>
      <c r="Y193" s="448"/>
      <c r="Z193" s="448"/>
      <c r="AA193" s="448"/>
      <c r="AB193" s="448"/>
      <c r="AC193" s="448"/>
      <c r="AD193" s="448"/>
      <c r="AE193" s="448"/>
      <c r="AF193" s="448"/>
      <c r="AG193" s="448"/>
      <c r="AH193" s="448"/>
      <c r="AI193" s="448"/>
      <c r="AJ193" s="448"/>
      <c r="AK193" s="448"/>
      <c r="AL193" s="448"/>
      <c r="AM193" s="448"/>
      <c r="AN193" s="448"/>
      <c r="AO193" s="448"/>
      <c r="AP193" s="448"/>
      <c r="AQ193" s="448"/>
      <c r="AR193" s="448"/>
      <c r="AS193" s="448"/>
      <c r="AT193" s="448"/>
      <c r="AU193" s="448"/>
      <c r="AV193" s="448"/>
      <c r="AW193" s="448"/>
      <c r="AX193" s="448"/>
      <c r="AY193" s="448"/>
      <c r="AZ193" s="448"/>
      <c r="BA193" s="448"/>
    </row>
    <row r="194" spans="1:53" x14ac:dyDescent="0.2">
      <c r="A194" s="448"/>
      <c r="B194" s="448"/>
      <c r="C194" s="448"/>
      <c r="D194" s="451"/>
      <c r="E194" s="451"/>
      <c r="F194" s="451"/>
      <c r="G194" s="451"/>
      <c r="H194" s="448"/>
      <c r="I194" s="448"/>
      <c r="J194" s="448"/>
      <c r="K194" s="448"/>
      <c r="L194" s="448"/>
      <c r="M194" s="448"/>
      <c r="N194" s="448"/>
      <c r="O194" s="448"/>
      <c r="P194" s="448"/>
      <c r="Q194" s="448"/>
      <c r="R194" s="448"/>
      <c r="S194" s="448"/>
      <c r="T194" s="448"/>
      <c r="U194" s="448"/>
      <c r="V194" s="448"/>
      <c r="W194" s="448"/>
      <c r="X194" s="448"/>
      <c r="Y194" s="448"/>
      <c r="Z194" s="448"/>
      <c r="AA194" s="448"/>
      <c r="AB194" s="448"/>
      <c r="AC194" s="448"/>
      <c r="AD194" s="448"/>
      <c r="AE194" s="448"/>
      <c r="AF194" s="448"/>
      <c r="AG194" s="448"/>
      <c r="AH194" s="448"/>
      <c r="AI194" s="448"/>
      <c r="AJ194" s="448"/>
      <c r="AK194" s="448"/>
      <c r="AL194" s="448"/>
      <c r="AM194" s="448"/>
      <c r="AN194" s="448"/>
      <c r="AO194" s="448"/>
      <c r="AP194" s="448"/>
      <c r="AQ194" s="448"/>
      <c r="AR194" s="448"/>
      <c r="AS194" s="448"/>
      <c r="AT194" s="448"/>
      <c r="AU194" s="448"/>
      <c r="AV194" s="448"/>
      <c r="AW194" s="448"/>
      <c r="AX194" s="448"/>
      <c r="AY194" s="448"/>
      <c r="AZ194" s="448"/>
      <c r="BA194" s="448"/>
    </row>
    <row r="195" spans="1:53" x14ac:dyDescent="0.2">
      <c r="A195" s="448"/>
      <c r="B195" s="448"/>
      <c r="C195" s="448"/>
      <c r="D195" s="448"/>
      <c r="E195" s="448"/>
      <c r="F195" s="448"/>
      <c r="G195" s="448"/>
      <c r="H195" s="448"/>
      <c r="I195" s="448"/>
      <c r="J195" s="448"/>
      <c r="K195" s="448"/>
      <c r="L195" s="448"/>
      <c r="M195" s="448"/>
      <c r="N195" s="448"/>
      <c r="O195" s="448"/>
      <c r="P195" s="448"/>
      <c r="Q195" s="448"/>
      <c r="R195" s="448"/>
      <c r="S195" s="448"/>
      <c r="T195" s="448"/>
      <c r="U195" s="448"/>
      <c r="V195" s="448"/>
      <c r="W195" s="448"/>
      <c r="X195" s="448"/>
      <c r="Y195" s="448"/>
      <c r="Z195" s="448"/>
      <c r="AA195" s="448"/>
      <c r="AB195" s="448"/>
      <c r="AC195" s="448"/>
      <c r="AD195" s="448"/>
      <c r="AE195" s="448"/>
      <c r="AF195" s="448"/>
      <c r="AG195" s="448"/>
      <c r="AH195" s="448"/>
      <c r="AI195" s="448"/>
      <c r="AJ195" s="448"/>
      <c r="AK195" s="448"/>
      <c r="AL195" s="448"/>
      <c r="AM195" s="448"/>
      <c r="AN195" s="448"/>
      <c r="AO195" s="448"/>
      <c r="AP195" s="448"/>
      <c r="AQ195" s="448"/>
      <c r="AR195" s="448"/>
      <c r="AS195" s="448"/>
      <c r="AT195" s="448"/>
      <c r="AU195" s="448"/>
      <c r="AV195" s="448"/>
      <c r="AW195" s="448"/>
      <c r="AX195" s="448"/>
      <c r="AY195" s="448"/>
      <c r="AZ195" s="448"/>
      <c r="BA195" s="448"/>
    </row>
    <row r="196" spans="1:53" x14ac:dyDescent="0.2">
      <c r="A196" s="448"/>
      <c r="B196" s="448"/>
      <c r="C196" s="448"/>
      <c r="D196" s="448"/>
      <c r="E196" s="448"/>
      <c r="F196" s="448"/>
      <c r="G196" s="448"/>
      <c r="H196" s="448"/>
      <c r="I196" s="448"/>
      <c r="J196" s="448"/>
      <c r="K196" s="448"/>
      <c r="L196" s="448"/>
      <c r="M196" s="448"/>
      <c r="N196" s="448"/>
      <c r="O196" s="448"/>
      <c r="P196" s="448"/>
      <c r="Q196" s="448"/>
      <c r="R196" s="448"/>
      <c r="S196" s="448"/>
      <c r="T196" s="448"/>
      <c r="U196" s="448"/>
      <c r="V196" s="448"/>
      <c r="W196" s="448"/>
      <c r="X196" s="448"/>
      <c r="Y196" s="448"/>
      <c r="Z196" s="448"/>
      <c r="AA196" s="448"/>
      <c r="AB196" s="448"/>
      <c r="AC196" s="448"/>
      <c r="AD196" s="448"/>
      <c r="AE196" s="448"/>
      <c r="AF196" s="448"/>
      <c r="AG196" s="448"/>
      <c r="AH196" s="448"/>
      <c r="AI196" s="448"/>
      <c r="AJ196" s="448"/>
      <c r="AK196" s="448"/>
      <c r="AL196" s="448"/>
      <c r="AM196" s="448"/>
      <c r="AN196" s="448"/>
      <c r="AO196" s="448"/>
      <c r="AP196" s="448"/>
      <c r="AQ196" s="448"/>
      <c r="AR196" s="448"/>
      <c r="AS196" s="448"/>
      <c r="AT196" s="448"/>
      <c r="AU196" s="448"/>
      <c r="AV196" s="448"/>
      <c r="AW196" s="448"/>
      <c r="AX196" s="448"/>
      <c r="AY196" s="448"/>
      <c r="AZ196" s="448"/>
      <c r="BA196" s="448"/>
    </row>
    <row r="197" spans="1:53" x14ac:dyDescent="0.2">
      <c r="A197" s="448"/>
      <c r="B197" s="448"/>
      <c r="C197" s="448"/>
      <c r="D197" s="448"/>
      <c r="E197" s="448"/>
      <c r="F197" s="448"/>
      <c r="G197" s="448"/>
      <c r="H197" s="448"/>
      <c r="I197" s="448"/>
      <c r="J197" s="448"/>
      <c r="K197" s="448"/>
      <c r="L197" s="448"/>
      <c r="M197" s="448"/>
      <c r="N197" s="448"/>
      <c r="O197" s="448"/>
      <c r="P197" s="448"/>
      <c r="Q197" s="448"/>
      <c r="R197" s="448"/>
      <c r="S197" s="448"/>
      <c r="T197" s="448"/>
      <c r="U197" s="448"/>
      <c r="V197" s="448"/>
      <c r="W197" s="448"/>
      <c r="X197" s="448"/>
      <c r="Y197" s="448"/>
      <c r="Z197" s="448"/>
      <c r="AA197" s="448"/>
      <c r="AB197" s="448"/>
      <c r="AC197" s="448"/>
      <c r="AD197" s="448"/>
      <c r="AE197" s="448"/>
      <c r="AF197" s="448"/>
      <c r="AG197" s="448"/>
      <c r="AH197" s="448"/>
      <c r="AI197" s="448"/>
      <c r="AJ197" s="448"/>
      <c r="AK197" s="448"/>
      <c r="AL197" s="448"/>
      <c r="AM197" s="448"/>
      <c r="AN197" s="448"/>
      <c r="AO197" s="448"/>
      <c r="AP197" s="448"/>
      <c r="AQ197" s="448"/>
      <c r="AR197" s="448"/>
      <c r="AS197" s="448"/>
      <c r="AT197" s="448"/>
      <c r="AU197" s="448"/>
      <c r="AV197" s="448"/>
      <c r="AW197" s="448"/>
      <c r="AX197" s="448"/>
      <c r="AY197" s="448"/>
      <c r="AZ197" s="448"/>
      <c r="BA197" s="448"/>
    </row>
    <row r="198" spans="1:53" x14ac:dyDescent="0.2">
      <c r="A198" s="448"/>
      <c r="B198" s="448"/>
      <c r="C198" s="448"/>
      <c r="D198" s="448"/>
      <c r="E198" s="448"/>
      <c r="F198" s="448"/>
      <c r="G198" s="448"/>
      <c r="H198" s="448"/>
      <c r="I198" s="448"/>
      <c r="J198" s="448"/>
      <c r="K198" s="448"/>
      <c r="L198" s="448"/>
      <c r="M198" s="448"/>
      <c r="N198" s="448"/>
      <c r="O198" s="448"/>
      <c r="P198" s="448"/>
      <c r="Q198" s="448"/>
      <c r="R198" s="448"/>
      <c r="S198" s="448"/>
      <c r="T198" s="448"/>
      <c r="U198" s="448"/>
      <c r="V198" s="448"/>
      <c r="W198" s="448"/>
      <c r="X198" s="448"/>
      <c r="Y198" s="448"/>
      <c r="Z198" s="448"/>
      <c r="AA198" s="448"/>
      <c r="AB198" s="448"/>
      <c r="AC198" s="448"/>
      <c r="AD198" s="448"/>
      <c r="AE198" s="448"/>
      <c r="AF198" s="448"/>
      <c r="AG198" s="448"/>
      <c r="AH198" s="448"/>
      <c r="AI198" s="448"/>
      <c r="AJ198" s="448"/>
      <c r="AK198" s="448"/>
      <c r="AL198" s="448"/>
      <c r="AM198" s="448"/>
      <c r="AN198" s="448"/>
      <c r="AO198" s="448"/>
      <c r="AP198" s="448"/>
      <c r="AQ198" s="448"/>
      <c r="AR198" s="448"/>
      <c r="AS198" s="448"/>
      <c r="AT198" s="448"/>
      <c r="AU198" s="448"/>
      <c r="AV198" s="448"/>
      <c r="AW198" s="448"/>
      <c r="AX198" s="448"/>
      <c r="AY198" s="448"/>
      <c r="AZ198" s="448"/>
      <c r="BA198" s="448"/>
    </row>
    <row r="199" spans="1:53" x14ac:dyDescent="0.2">
      <c r="A199" s="448"/>
      <c r="B199" s="448"/>
      <c r="C199" s="448"/>
      <c r="D199" s="448"/>
      <c r="E199" s="448"/>
      <c r="F199" s="448"/>
      <c r="G199" s="448"/>
      <c r="H199" s="448"/>
      <c r="I199" s="448"/>
      <c r="J199" s="448"/>
      <c r="K199" s="448"/>
      <c r="L199" s="448"/>
      <c r="M199" s="448"/>
      <c r="N199" s="448"/>
      <c r="O199" s="448"/>
      <c r="P199" s="448"/>
      <c r="Q199" s="448"/>
      <c r="R199" s="448"/>
      <c r="S199" s="448"/>
      <c r="T199" s="448"/>
      <c r="U199" s="448"/>
      <c r="V199" s="448"/>
      <c r="W199" s="448"/>
      <c r="X199" s="448"/>
      <c r="Y199" s="448"/>
      <c r="Z199" s="448"/>
      <c r="AA199" s="448"/>
      <c r="AB199" s="448"/>
      <c r="AC199" s="448"/>
      <c r="AD199" s="448"/>
      <c r="AE199" s="448"/>
      <c r="AF199" s="448"/>
      <c r="AG199" s="448"/>
      <c r="AH199" s="448"/>
      <c r="AI199" s="448"/>
      <c r="AJ199" s="448"/>
      <c r="AK199" s="448"/>
      <c r="AL199" s="448"/>
      <c r="AM199" s="448"/>
      <c r="AN199" s="448"/>
      <c r="AO199" s="448"/>
      <c r="AP199" s="448"/>
      <c r="AQ199" s="448"/>
      <c r="AR199" s="448"/>
      <c r="AS199" s="448"/>
      <c r="AT199" s="448"/>
      <c r="AU199" s="448"/>
      <c r="AV199" s="448"/>
      <c r="AW199" s="448"/>
      <c r="AX199" s="448"/>
      <c r="AY199" s="448"/>
      <c r="AZ199" s="448"/>
      <c r="BA199" s="448"/>
    </row>
    <row r="200" spans="1:53" x14ac:dyDescent="0.2">
      <c r="A200" s="448"/>
      <c r="B200" s="448"/>
      <c r="C200" s="448"/>
      <c r="D200" s="448"/>
      <c r="E200" s="448"/>
      <c r="F200" s="448"/>
      <c r="G200" s="448"/>
      <c r="H200" s="448"/>
      <c r="I200" s="448"/>
      <c r="J200" s="448"/>
      <c r="K200" s="448"/>
      <c r="L200" s="448"/>
      <c r="M200" s="448"/>
      <c r="N200" s="448"/>
      <c r="O200" s="448"/>
      <c r="P200" s="448"/>
      <c r="Q200" s="448"/>
      <c r="R200" s="448"/>
      <c r="S200" s="448"/>
      <c r="T200" s="448"/>
      <c r="U200" s="448"/>
      <c r="V200" s="448"/>
      <c r="W200" s="448"/>
      <c r="X200" s="448"/>
      <c r="Y200" s="448"/>
      <c r="Z200" s="448"/>
      <c r="AA200" s="448"/>
      <c r="AB200" s="448"/>
      <c r="AC200" s="448"/>
      <c r="AD200" s="448"/>
      <c r="AE200" s="448"/>
      <c r="AF200" s="448"/>
      <c r="AG200" s="448"/>
      <c r="AH200" s="448"/>
      <c r="AI200" s="448"/>
      <c r="AJ200" s="448"/>
      <c r="AK200" s="448"/>
      <c r="AL200" s="448"/>
      <c r="AM200" s="448"/>
      <c r="AN200" s="448"/>
      <c r="AO200" s="448"/>
      <c r="AP200" s="448"/>
      <c r="AQ200" s="448"/>
      <c r="AR200" s="448"/>
      <c r="AS200" s="448"/>
      <c r="AT200" s="448"/>
      <c r="AU200" s="448"/>
      <c r="AV200" s="448"/>
      <c r="AW200" s="448"/>
      <c r="AX200" s="448"/>
      <c r="AY200" s="448"/>
      <c r="AZ200" s="448"/>
      <c r="BA200" s="448"/>
    </row>
    <row r="201" spans="1:53" x14ac:dyDescent="0.2">
      <c r="A201" s="448"/>
      <c r="B201" s="448"/>
      <c r="C201" s="448"/>
      <c r="D201" s="448"/>
      <c r="E201" s="448"/>
      <c r="F201" s="448"/>
      <c r="G201" s="448"/>
      <c r="H201" s="448"/>
      <c r="I201" s="448"/>
      <c r="J201" s="448"/>
      <c r="K201" s="448"/>
      <c r="L201" s="448"/>
      <c r="M201" s="448"/>
      <c r="N201" s="448"/>
      <c r="O201" s="448"/>
      <c r="P201" s="448"/>
      <c r="Q201" s="448"/>
      <c r="R201" s="448"/>
      <c r="S201" s="448"/>
      <c r="T201" s="448"/>
      <c r="U201" s="448"/>
      <c r="V201" s="448"/>
      <c r="W201" s="448"/>
      <c r="X201" s="448"/>
      <c r="Y201" s="448"/>
      <c r="Z201" s="448"/>
      <c r="AA201" s="448"/>
      <c r="AB201" s="448"/>
      <c r="AC201" s="448"/>
      <c r="AD201" s="448"/>
      <c r="AE201" s="448"/>
      <c r="AF201" s="448"/>
      <c r="AG201" s="448"/>
      <c r="AH201" s="448"/>
      <c r="AI201" s="448"/>
      <c r="AJ201" s="448"/>
      <c r="AK201" s="448"/>
      <c r="AL201" s="448"/>
      <c r="AM201" s="448"/>
      <c r="AN201" s="448"/>
      <c r="AO201" s="448"/>
      <c r="AP201" s="448"/>
      <c r="AQ201" s="448"/>
      <c r="AR201" s="448"/>
      <c r="AS201" s="448"/>
      <c r="AT201" s="448"/>
      <c r="AU201" s="448"/>
      <c r="AV201" s="448"/>
      <c r="AW201" s="448"/>
      <c r="AX201" s="448"/>
      <c r="AY201" s="448"/>
      <c r="AZ201" s="448"/>
      <c r="BA201" s="448"/>
    </row>
    <row r="202" spans="1:53" x14ac:dyDescent="0.2">
      <c r="A202" s="448"/>
      <c r="B202" s="448"/>
      <c r="C202" s="448"/>
      <c r="D202" s="448"/>
      <c r="E202" s="448"/>
      <c r="F202" s="448"/>
      <c r="G202" s="448"/>
      <c r="H202" s="448"/>
      <c r="I202" s="448"/>
      <c r="J202" s="448"/>
      <c r="K202" s="448"/>
      <c r="L202" s="448"/>
      <c r="M202" s="448"/>
      <c r="N202" s="448"/>
      <c r="O202" s="448"/>
      <c r="P202" s="448"/>
      <c r="Q202" s="448"/>
      <c r="R202" s="448"/>
      <c r="S202" s="448"/>
      <c r="T202" s="448"/>
      <c r="U202" s="448"/>
      <c r="V202" s="448"/>
      <c r="W202" s="448"/>
      <c r="X202" s="448"/>
      <c r="Y202" s="448"/>
      <c r="Z202" s="448"/>
      <c r="AA202" s="448"/>
      <c r="AB202" s="448"/>
      <c r="AC202" s="448"/>
      <c r="AD202" s="448"/>
      <c r="AE202" s="448"/>
      <c r="AF202" s="448"/>
      <c r="AG202" s="448"/>
      <c r="AH202" s="448"/>
      <c r="AI202" s="448"/>
      <c r="AJ202" s="448"/>
      <c r="AK202" s="448"/>
      <c r="AL202" s="448"/>
      <c r="AM202" s="448"/>
      <c r="AN202" s="448"/>
      <c r="AO202" s="448"/>
      <c r="AP202" s="448"/>
      <c r="AQ202" s="448"/>
      <c r="AR202" s="448"/>
      <c r="AS202" s="448"/>
      <c r="AT202" s="448"/>
      <c r="AU202" s="448"/>
      <c r="AV202" s="448"/>
      <c r="AW202" s="448"/>
      <c r="AX202" s="448"/>
      <c r="AY202" s="448"/>
      <c r="AZ202" s="448"/>
      <c r="BA202" s="448"/>
    </row>
    <row r="203" spans="1:53" x14ac:dyDescent="0.2">
      <c r="A203" s="448"/>
      <c r="B203" s="448"/>
      <c r="C203" s="448"/>
      <c r="D203" s="448"/>
      <c r="E203" s="448"/>
      <c r="F203" s="448"/>
      <c r="G203" s="448"/>
      <c r="H203" s="448"/>
      <c r="I203" s="448"/>
      <c r="J203" s="448"/>
      <c r="K203" s="448"/>
      <c r="L203" s="448"/>
      <c r="M203" s="448"/>
      <c r="N203" s="448"/>
      <c r="O203" s="448"/>
      <c r="P203" s="448"/>
      <c r="Q203" s="448"/>
      <c r="R203" s="448"/>
      <c r="S203" s="448"/>
      <c r="T203" s="448"/>
      <c r="U203" s="448"/>
      <c r="V203" s="448"/>
      <c r="W203" s="448"/>
      <c r="X203" s="448"/>
      <c r="Y203" s="448"/>
      <c r="Z203" s="448"/>
      <c r="AA203" s="448"/>
      <c r="AB203" s="448"/>
      <c r="AC203" s="448"/>
      <c r="AD203" s="448"/>
      <c r="AE203" s="448"/>
      <c r="AF203" s="448"/>
      <c r="AG203" s="448"/>
      <c r="AH203" s="448"/>
      <c r="AI203" s="448"/>
      <c r="AJ203" s="448"/>
      <c r="AK203" s="448"/>
      <c r="AL203" s="448"/>
      <c r="AM203" s="448"/>
      <c r="AN203" s="448"/>
      <c r="AO203" s="448"/>
      <c r="AP203" s="448"/>
      <c r="AQ203" s="448"/>
      <c r="AR203" s="448"/>
      <c r="AS203" s="448"/>
      <c r="AT203" s="448"/>
      <c r="AU203" s="448"/>
      <c r="AV203" s="448"/>
      <c r="AW203" s="448"/>
      <c r="AX203" s="448"/>
      <c r="AY203" s="448"/>
      <c r="AZ203" s="448"/>
      <c r="BA203" s="448"/>
    </row>
    <row r="204" spans="1:53" x14ac:dyDescent="0.2">
      <c r="A204" s="448"/>
      <c r="B204" s="448"/>
      <c r="C204" s="448"/>
      <c r="D204" s="448"/>
      <c r="E204" s="448"/>
      <c r="F204" s="448"/>
      <c r="G204" s="448"/>
      <c r="H204" s="448"/>
      <c r="I204" s="448"/>
      <c r="J204" s="448"/>
      <c r="K204" s="448"/>
      <c r="L204" s="448"/>
      <c r="M204" s="448"/>
      <c r="N204" s="448"/>
      <c r="O204" s="448"/>
      <c r="P204" s="448"/>
      <c r="Q204" s="448"/>
      <c r="R204" s="448"/>
      <c r="S204" s="448"/>
      <c r="T204" s="448"/>
      <c r="U204" s="448"/>
      <c r="V204" s="448"/>
      <c r="W204" s="448"/>
      <c r="X204" s="448"/>
      <c r="Y204" s="448"/>
      <c r="Z204" s="448"/>
      <c r="AA204" s="448"/>
      <c r="AB204" s="448"/>
      <c r="AC204" s="448"/>
      <c r="AD204" s="448"/>
      <c r="AE204" s="448"/>
      <c r="AF204" s="448"/>
      <c r="AG204" s="448"/>
      <c r="AH204" s="448"/>
      <c r="AI204" s="448"/>
      <c r="AJ204" s="448"/>
      <c r="AK204" s="448"/>
      <c r="AL204" s="448"/>
      <c r="AM204" s="448"/>
      <c r="AN204" s="448"/>
      <c r="AO204" s="448"/>
      <c r="AP204" s="448"/>
      <c r="AQ204" s="448"/>
      <c r="AR204" s="448"/>
      <c r="AS204" s="448"/>
      <c r="AT204" s="448"/>
      <c r="AU204" s="448"/>
      <c r="AV204" s="448"/>
      <c r="AW204" s="448"/>
      <c r="AX204" s="448"/>
      <c r="AY204" s="448"/>
      <c r="AZ204" s="448"/>
      <c r="BA204" s="448"/>
    </row>
    <row r="205" spans="1:53" x14ac:dyDescent="0.2">
      <c r="A205" s="448"/>
      <c r="B205" s="448"/>
      <c r="C205" s="448"/>
      <c r="D205" s="448"/>
      <c r="E205" s="448"/>
      <c r="F205" s="448"/>
      <c r="G205" s="448"/>
      <c r="H205" s="448"/>
      <c r="I205" s="448"/>
      <c r="J205" s="448"/>
      <c r="K205" s="448"/>
      <c r="L205" s="448"/>
      <c r="M205" s="448"/>
      <c r="N205" s="448"/>
      <c r="O205" s="448"/>
      <c r="P205" s="448"/>
      <c r="Q205" s="448"/>
      <c r="R205" s="448"/>
      <c r="S205" s="448"/>
      <c r="T205" s="448"/>
      <c r="U205" s="448"/>
      <c r="V205" s="448"/>
      <c r="W205" s="448"/>
      <c r="X205" s="448"/>
      <c r="Y205" s="448"/>
      <c r="Z205" s="448"/>
      <c r="AA205" s="448"/>
      <c r="AB205" s="448"/>
      <c r="AC205" s="448"/>
      <c r="AD205" s="448"/>
      <c r="AE205" s="448"/>
      <c r="AF205" s="448"/>
      <c r="AG205" s="448"/>
      <c r="AH205" s="448"/>
      <c r="AI205" s="448"/>
      <c r="AJ205" s="448"/>
      <c r="AK205" s="448"/>
      <c r="AL205" s="448"/>
      <c r="AM205" s="448"/>
      <c r="AN205" s="448"/>
      <c r="AO205" s="448"/>
      <c r="AP205" s="448"/>
      <c r="AQ205" s="448"/>
      <c r="AR205" s="448"/>
      <c r="AS205" s="448"/>
      <c r="AT205" s="448"/>
      <c r="AU205" s="448"/>
      <c r="AV205" s="448"/>
      <c r="AW205" s="448"/>
      <c r="AX205" s="448"/>
      <c r="AY205" s="448"/>
      <c r="AZ205" s="448"/>
      <c r="BA205" s="448"/>
    </row>
    <row r="206" spans="1:53" x14ac:dyDescent="0.2">
      <c r="A206" s="448"/>
      <c r="B206" s="448"/>
      <c r="C206" s="448"/>
      <c r="D206" s="448"/>
      <c r="E206" s="448"/>
      <c r="F206" s="448"/>
      <c r="G206" s="448"/>
      <c r="H206" s="448"/>
      <c r="I206" s="448"/>
      <c r="J206" s="448"/>
      <c r="K206" s="448"/>
      <c r="L206" s="448"/>
      <c r="M206" s="448"/>
      <c r="N206" s="448"/>
      <c r="O206" s="448"/>
      <c r="P206" s="448"/>
      <c r="Q206" s="448"/>
      <c r="R206" s="448"/>
      <c r="S206" s="448"/>
      <c r="T206" s="448"/>
      <c r="U206" s="448"/>
      <c r="V206" s="448"/>
      <c r="W206" s="448"/>
      <c r="X206" s="448"/>
      <c r="Y206" s="448"/>
      <c r="Z206" s="448"/>
      <c r="AA206" s="448"/>
      <c r="AB206" s="448"/>
      <c r="AC206" s="448"/>
      <c r="AD206" s="448"/>
      <c r="AE206" s="448"/>
      <c r="AF206" s="448"/>
      <c r="AG206" s="448"/>
      <c r="AH206" s="448"/>
      <c r="AI206" s="448"/>
      <c r="AJ206" s="448"/>
      <c r="AK206" s="448"/>
      <c r="AL206" s="448"/>
      <c r="AM206" s="448"/>
      <c r="AN206" s="448"/>
      <c r="AO206" s="448"/>
      <c r="AP206" s="448"/>
      <c r="AQ206" s="448"/>
      <c r="AR206" s="448"/>
      <c r="AS206" s="448"/>
      <c r="AT206" s="448"/>
      <c r="AU206" s="448"/>
      <c r="AV206" s="448"/>
      <c r="AW206" s="448"/>
      <c r="AX206" s="448"/>
      <c r="AY206" s="448"/>
      <c r="AZ206" s="448"/>
      <c r="BA206" s="448"/>
    </row>
    <row r="207" spans="1:53" x14ac:dyDescent="0.2">
      <c r="A207" s="448"/>
      <c r="B207" s="448"/>
      <c r="C207" s="448"/>
      <c r="D207" s="448"/>
      <c r="E207" s="448"/>
      <c r="F207" s="448"/>
      <c r="G207" s="448"/>
      <c r="H207" s="448"/>
      <c r="I207" s="448"/>
      <c r="J207" s="448"/>
      <c r="K207" s="448"/>
      <c r="L207" s="448"/>
      <c r="M207" s="448"/>
      <c r="N207" s="448"/>
      <c r="O207" s="448"/>
      <c r="P207" s="448"/>
      <c r="Q207" s="448"/>
      <c r="R207" s="448"/>
      <c r="S207" s="448"/>
      <c r="T207" s="448"/>
      <c r="U207" s="448"/>
      <c r="V207" s="448"/>
      <c r="W207" s="448"/>
      <c r="X207" s="448"/>
      <c r="Y207" s="448"/>
      <c r="Z207" s="448"/>
      <c r="AA207" s="448"/>
      <c r="AB207" s="448"/>
      <c r="AC207" s="448"/>
      <c r="AD207" s="448"/>
      <c r="AE207" s="448"/>
      <c r="AF207" s="448"/>
      <c r="AG207" s="448"/>
      <c r="AH207" s="448"/>
      <c r="AI207" s="448"/>
      <c r="AJ207" s="448"/>
      <c r="AK207" s="448"/>
      <c r="AL207" s="448"/>
      <c r="AM207" s="448"/>
      <c r="AN207" s="448"/>
      <c r="AO207" s="448"/>
      <c r="AP207" s="448"/>
      <c r="AQ207" s="448"/>
      <c r="AR207" s="448"/>
      <c r="AS207" s="448"/>
      <c r="AT207" s="448"/>
      <c r="AU207" s="448"/>
      <c r="AV207" s="448"/>
      <c r="AW207" s="448"/>
      <c r="AX207" s="448"/>
      <c r="AY207" s="448"/>
      <c r="AZ207" s="448"/>
      <c r="BA207" s="448"/>
    </row>
    <row r="208" spans="1:53" x14ac:dyDescent="0.2">
      <c r="A208" s="448"/>
      <c r="B208" s="448"/>
      <c r="C208" s="448"/>
      <c r="D208" s="448"/>
      <c r="E208" s="448"/>
      <c r="F208" s="448"/>
      <c r="G208" s="448"/>
      <c r="H208" s="448"/>
      <c r="I208" s="448"/>
      <c r="J208" s="448"/>
      <c r="K208" s="448"/>
      <c r="L208" s="448"/>
      <c r="M208" s="448"/>
      <c r="N208" s="448"/>
      <c r="O208" s="448"/>
      <c r="P208" s="448"/>
      <c r="Q208" s="448"/>
      <c r="R208" s="448"/>
      <c r="S208" s="448"/>
      <c r="T208" s="448"/>
      <c r="U208" s="448"/>
      <c r="V208" s="448"/>
      <c r="W208" s="448"/>
      <c r="X208" s="448"/>
      <c r="Y208" s="448"/>
      <c r="Z208" s="448"/>
      <c r="AA208" s="448"/>
      <c r="AB208" s="448"/>
      <c r="AC208" s="448"/>
      <c r="AD208" s="448"/>
      <c r="AE208" s="448"/>
      <c r="AF208" s="448"/>
      <c r="AG208" s="448"/>
      <c r="AH208" s="448"/>
      <c r="AI208" s="448"/>
      <c r="AJ208" s="448"/>
      <c r="AK208" s="448"/>
      <c r="AL208" s="448"/>
      <c r="AM208" s="448"/>
      <c r="AN208" s="448"/>
      <c r="AO208" s="448"/>
      <c r="AP208" s="448"/>
      <c r="AQ208" s="448"/>
      <c r="AR208" s="448"/>
      <c r="AS208" s="448"/>
      <c r="AT208" s="448"/>
      <c r="AU208" s="448"/>
      <c r="AV208" s="448"/>
      <c r="AW208" s="448"/>
      <c r="AX208" s="448"/>
      <c r="AY208" s="448"/>
      <c r="AZ208" s="448"/>
      <c r="BA208" s="448"/>
    </row>
    <row r="209" spans="1:53" x14ac:dyDescent="0.2">
      <c r="A209" s="448"/>
      <c r="B209" s="448"/>
      <c r="C209" s="448"/>
      <c r="D209" s="448"/>
      <c r="E209" s="448"/>
      <c r="F209" s="448"/>
      <c r="G209" s="448"/>
      <c r="H209" s="448"/>
      <c r="I209" s="448"/>
      <c r="J209" s="448"/>
      <c r="K209" s="448"/>
      <c r="L209" s="448"/>
      <c r="M209" s="448"/>
      <c r="N209" s="448"/>
      <c r="O209" s="448"/>
      <c r="P209" s="448"/>
      <c r="Q209" s="448"/>
      <c r="R209" s="448"/>
      <c r="S209" s="448"/>
      <c r="T209" s="448"/>
      <c r="U209" s="448"/>
      <c r="V209" s="448"/>
      <c r="W209" s="448"/>
      <c r="X209" s="448"/>
      <c r="Y209" s="448"/>
      <c r="Z209" s="448"/>
      <c r="AA209" s="448"/>
      <c r="AB209" s="448"/>
      <c r="AC209" s="448"/>
      <c r="AD209" s="448"/>
      <c r="AE209" s="448"/>
      <c r="AF209" s="448"/>
      <c r="AG209" s="448"/>
      <c r="AH209" s="448"/>
      <c r="AI209" s="448"/>
      <c r="AJ209" s="448"/>
      <c r="AK209" s="448"/>
      <c r="AL209" s="448"/>
      <c r="AM209" s="448"/>
      <c r="AN209" s="448"/>
      <c r="AO209" s="448"/>
      <c r="AP209" s="448"/>
      <c r="AQ209" s="448"/>
      <c r="AR209" s="448"/>
      <c r="AS209" s="448"/>
      <c r="AT209" s="448"/>
      <c r="AU209" s="448"/>
      <c r="AV209" s="448"/>
      <c r="AW209" s="448"/>
      <c r="AX209" s="448"/>
      <c r="AY209" s="448"/>
      <c r="AZ209" s="448"/>
      <c r="BA209" s="448"/>
    </row>
    <row r="210" spans="1:53" x14ac:dyDescent="0.2">
      <c r="A210" s="448"/>
      <c r="B210" s="448"/>
      <c r="C210" s="448"/>
      <c r="D210" s="448"/>
      <c r="E210" s="448"/>
      <c r="F210" s="448"/>
      <c r="G210" s="448"/>
      <c r="H210" s="448"/>
      <c r="I210" s="448"/>
      <c r="J210" s="448"/>
      <c r="K210" s="448"/>
      <c r="L210" s="448"/>
      <c r="M210" s="448"/>
      <c r="N210" s="448"/>
      <c r="O210" s="448"/>
      <c r="P210" s="448"/>
      <c r="Q210" s="448"/>
      <c r="R210" s="448"/>
      <c r="S210" s="448"/>
      <c r="T210" s="448"/>
      <c r="U210" s="448"/>
      <c r="V210" s="448"/>
      <c r="W210" s="448"/>
      <c r="X210" s="448"/>
      <c r="Y210" s="448"/>
      <c r="Z210" s="448"/>
      <c r="AA210" s="448"/>
      <c r="AB210" s="448"/>
      <c r="AC210" s="448"/>
      <c r="AD210" s="448"/>
      <c r="AE210" s="448"/>
      <c r="AF210" s="448"/>
      <c r="AG210" s="448"/>
      <c r="AH210" s="448"/>
      <c r="AI210" s="448"/>
      <c r="AJ210" s="448"/>
      <c r="AK210" s="448"/>
      <c r="AL210" s="448"/>
      <c r="AM210" s="448"/>
      <c r="AN210" s="448"/>
      <c r="AO210" s="448"/>
      <c r="AP210" s="448"/>
      <c r="AQ210" s="448"/>
      <c r="AR210" s="448"/>
      <c r="AS210" s="448"/>
      <c r="AT210" s="448"/>
      <c r="AU210" s="448"/>
      <c r="AV210" s="448"/>
      <c r="AW210" s="448"/>
      <c r="AX210" s="448"/>
      <c r="AY210" s="448"/>
      <c r="AZ210" s="448"/>
      <c r="BA210" s="448"/>
    </row>
    <row r="211" spans="1:53" x14ac:dyDescent="0.2">
      <c r="A211" s="448"/>
      <c r="B211" s="448"/>
      <c r="C211" s="448"/>
      <c r="D211" s="448"/>
      <c r="E211" s="448"/>
      <c r="F211" s="448"/>
      <c r="G211" s="448"/>
      <c r="H211" s="448"/>
      <c r="I211" s="448"/>
      <c r="J211" s="448"/>
      <c r="K211" s="448"/>
      <c r="L211" s="448"/>
      <c r="M211" s="448"/>
      <c r="N211" s="448"/>
      <c r="O211" s="448"/>
      <c r="P211" s="448"/>
      <c r="Q211" s="448"/>
      <c r="R211" s="448"/>
      <c r="S211" s="448"/>
      <c r="T211" s="448"/>
      <c r="U211" s="448"/>
      <c r="V211" s="448"/>
      <c r="W211" s="448"/>
      <c r="X211" s="448"/>
      <c r="Y211" s="448"/>
      <c r="Z211" s="448"/>
      <c r="AA211" s="448"/>
      <c r="AB211" s="448"/>
      <c r="AC211" s="448"/>
      <c r="AD211" s="448"/>
      <c r="AE211" s="448"/>
      <c r="AF211" s="448"/>
      <c r="AG211" s="448"/>
      <c r="AH211" s="448"/>
      <c r="AI211" s="448"/>
      <c r="AJ211" s="448"/>
      <c r="AK211" s="448"/>
      <c r="AL211" s="448"/>
      <c r="AM211" s="448"/>
      <c r="AN211" s="448"/>
      <c r="AO211" s="448"/>
      <c r="AP211" s="448"/>
      <c r="AQ211" s="448"/>
      <c r="AR211" s="448"/>
      <c r="AS211" s="448"/>
      <c r="AT211" s="448"/>
      <c r="AU211" s="448"/>
      <c r="AV211" s="448"/>
      <c r="AW211" s="448"/>
      <c r="AX211" s="448"/>
      <c r="AY211" s="448"/>
      <c r="AZ211" s="448"/>
      <c r="BA211" s="448"/>
    </row>
    <row r="212" spans="1:53" x14ac:dyDescent="0.2">
      <c r="A212" s="448"/>
      <c r="B212" s="448"/>
      <c r="C212" s="448"/>
      <c r="D212" s="448"/>
      <c r="E212" s="448"/>
      <c r="F212" s="448"/>
      <c r="G212" s="448"/>
      <c r="H212" s="448"/>
      <c r="I212" s="448"/>
      <c r="J212" s="448"/>
      <c r="K212" s="448"/>
      <c r="L212" s="448"/>
      <c r="M212" s="448"/>
      <c r="N212" s="448"/>
      <c r="O212" s="448"/>
      <c r="P212" s="448"/>
      <c r="Q212" s="448"/>
      <c r="R212" s="448"/>
      <c r="S212" s="448"/>
      <c r="T212" s="448"/>
      <c r="U212" s="448"/>
      <c r="V212" s="448"/>
      <c r="W212" s="448"/>
      <c r="X212" s="448"/>
      <c r="Y212" s="448"/>
      <c r="Z212" s="448"/>
      <c r="AA212" s="448"/>
      <c r="AB212" s="448"/>
      <c r="AC212" s="448"/>
      <c r="AD212" s="448"/>
      <c r="AE212" s="448"/>
      <c r="AF212" s="448"/>
      <c r="AG212" s="448"/>
      <c r="AH212" s="448"/>
      <c r="AI212" s="448"/>
      <c r="AJ212" s="448"/>
      <c r="AK212" s="448"/>
      <c r="AL212" s="448"/>
      <c r="AM212" s="448"/>
      <c r="AN212" s="448"/>
      <c r="AO212" s="448"/>
      <c r="AP212" s="448"/>
      <c r="AQ212" s="448"/>
      <c r="AR212" s="448"/>
      <c r="AS212" s="448"/>
      <c r="AT212" s="448"/>
      <c r="AU212" s="448"/>
      <c r="AV212" s="448"/>
      <c r="AW212" s="448"/>
      <c r="AX212" s="448"/>
      <c r="AY212" s="448"/>
      <c r="AZ212" s="448"/>
      <c r="BA212" s="448"/>
    </row>
    <row r="213" spans="1:53" x14ac:dyDescent="0.2">
      <c r="A213" s="448"/>
      <c r="B213" s="448"/>
      <c r="C213" s="448"/>
      <c r="D213" s="448"/>
      <c r="E213" s="448"/>
      <c r="F213" s="448"/>
      <c r="G213" s="448"/>
      <c r="H213" s="448"/>
      <c r="I213" s="448"/>
      <c r="J213" s="448"/>
      <c r="K213" s="448"/>
      <c r="L213" s="448"/>
      <c r="M213" s="448"/>
      <c r="N213" s="448"/>
      <c r="O213" s="448"/>
      <c r="P213" s="448"/>
      <c r="Q213" s="448"/>
      <c r="R213" s="448"/>
      <c r="S213" s="448"/>
      <c r="T213" s="448"/>
      <c r="U213" s="448"/>
      <c r="V213" s="448"/>
      <c r="W213" s="448"/>
      <c r="X213" s="448"/>
      <c r="Y213" s="448"/>
      <c r="Z213" s="448"/>
      <c r="AA213" s="448"/>
      <c r="AB213" s="448"/>
      <c r="AC213" s="448"/>
      <c r="AD213" s="448"/>
      <c r="AE213" s="448"/>
      <c r="AF213" s="448"/>
      <c r="AG213" s="448"/>
      <c r="AH213" s="448"/>
      <c r="AI213" s="448"/>
      <c r="AJ213" s="448"/>
      <c r="AK213" s="448"/>
      <c r="AL213" s="448"/>
      <c r="AM213" s="448"/>
      <c r="AN213" s="448"/>
      <c r="AO213" s="448"/>
      <c r="AP213" s="448"/>
      <c r="AQ213" s="448"/>
      <c r="AR213" s="448"/>
      <c r="AS213" s="448"/>
      <c r="AT213" s="448"/>
      <c r="AU213" s="448"/>
      <c r="AV213" s="448"/>
      <c r="AW213" s="448"/>
      <c r="AX213" s="448"/>
      <c r="AY213" s="448"/>
      <c r="AZ213" s="448"/>
      <c r="BA213" s="448"/>
    </row>
    <row r="214" spans="1:53" x14ac:dyDescent="0.2">
      <c r="A214" s="448"/>
      <c r="B214" s="448"/>
      <c r="C214" s="448"/>
      <c r="D214" s="448"/>
      <c r="E214" s="448"/>
      <c r="F214" s="448"/>
      <c r="G214" s="448"/>
      <c r="H214" s="448"/>
      <c r="I214" s="448"/>
      <c r="J214" s="448"/>
      <c r="K214" s="448"/>
      <c r="L214" s="448"/>
      <c r="M214" s="448"/>
      <c r="N214" s="448"/>
      <c r="O214" s="448"/>
      <c r="P214" s="448"/>
      <c r="Q214" s="448"/>
      <c r="R214" s="448"/>
      <c r="S214" s="448"/>
      <c r="T214" s="448"/>
      <c r="U214" s="448"/>
      <c r="V214" s="448"/>
      <c r="W214" s="448"/>
      <c r="X214" s="448"/>
      <c r="Y214" s="448"/>
      <c r="Z214" s="448"/>
      <c r="AA214" s="448"/>
      <c r="AB214" s="448"/>
      <c r="AC214" s="448"/>
      <c r="AD214" s="448"/>
      <c r="AE214" s="448"/>
      <c r="AF214" s="448"/>
      <c r="AG214" s="448"/>
      <c r="AH214" s="448"/>
      <c r="AI214" s="448"/>
      <c r="AJ214" s="448"/>
      <c r="AK214" s="448"/>
      <c r="AL214" s="448"/>
      <c r="AM214" s="448"/>
      <c r="AN214" s="448"/>
      <c r="AO214" s="448"/>
      <c r="AP214" s="448"/>
      <c r="AQ214" s="448"/>
      <c r="AR214" s="448"/>
      <c r="AS214" s="448"/>
      <c r="AT214" s="448"/>
      <c r="AU214" s="448"/>
      <c r="AV214" s="448"/>
      <c r="AW214" s="448"/>
      <c r="AX214" s="448"/>
      <c r="AY214" s="448"/>
      <c r="AZ214" s="448"/>
      <c r="BA214" s="448"/>
    </row>
    <row r="215" spans="1:53" x14ac:dyDescent="0.2">
      <c r="A215" s="448"/>
      <c r="B215" s="448"/>
      <c r="C215" s="448"/>
      <c r="D215" s="448"/>
      <c r="E215" s="448"/>
      <c r="F215" s="448"/>
      <c r="G215" s="448"/>
      <c r="H215" s="448"/>
      <c r="I215" s="448"/>
      <c r="J215" s="448"/>
      <c r="K215" s="448"/>
      <c r="L215" s="448"/>
      <c r="M215" s="448"/>
      <c r="N215" s="448"/>
      <c r="O215" s="448"/>
      <c r="P215" s="448"/>
      <c r="Q215" s="448"/>
      <c r="R215" s="448"/>
      <c r="S215" s="448"/>
      <c r="T215" s="448"/>
      <c r="U215" s="448"/>
      <c r="V215" s="448"/>
      <c r="W215" s="448"/>
      <c r="X215" s="448"/>
      <c r="Y215" s="448"/>
      <c r="Z215" s="448"/>
      <c r="AA215" s="448"/>
      <c r="AB215" s="448"/>
      <c r="AC215" s="448"/>
      <c r="AD215" s="448"/>
      <c r="AE215" s="448"/>
      <c r="AF215" s="448"/>
      <c r="AG215" s="448"/>
      <c r="AH215" s="448"/>
      <c r="AI215" s="448"/>
      <c r="AJ215" s="448"/>
      <c r="AK215" s="448"/>
      <c r="AL215" s="448"/>
      <c r="AM215" s="448"/>
      <c r="AN215" s="448"/>
      <c r="AO215" s="448"/>
      <c r="AP215" s="448"/>
      <c r="AQ215" s="448"/>
      <c r="AR215" s="448"/>
      <c r="AS215" s="448"/>
      <c r="AT215" s="448"/>
      <c r="AU215" s="448"/>
      <c r="AV215" s="448"/>
      <c r="AW215" s="448"/>
      <c r="AX215" s="448"/>
      <c r="AY215" s="448"/>
      <c r="AZ215" s="448"/>
      <c r="BA215" s="448"/>
    </row>
    <row r="216" spans="1:53" x14ac:dyDescent="0.2">
      <c r="A216" s="448"/>
      <c r="B216" s="448"/>
      <c r="C216" s="448"/>
      <c r="D216" s="448"/>
      <c r="E216" s="448"/>
      <c r="F216" s="448"/>
      <c r="G216" s="448"/>
      <c r="H216" s="448"/>
      <c r="I216" s="448"/>
      <c r="J216" s="448"/>
      <c r="K216" s="448"/>
      <c r="L216" s="448"/>
      <c r="M216" s="448"/>
      <c r="N216" s="448"/>
      <c r="O216" s="448"/>
      <c r="P216" s="448"/>
      <c r="Q216" s="448"/>
      <c r="R216" s="448"/>
      <c r="S216" s="448"/>
      <c r="T216" s="448"/>
      <c r="U216" s="448"/>
      <c r="V216" s="448"/>
      <c r="W216" s="448"/>
      <c r="X216" s="448"/>
      <c r="Y216" s="448"/>
      <c r="Z216" s="448"/>
      <c r="AA216" s="448"/>
      <c r="AB216" s="448"/>
      <c r="AC216" s="448"/>
      <c r="AD216" s="448"/>
      <c r="AE216" s="448"/>
      <c r="AF216" s="448"/>
      <c r="AG216" s="448"/>
      <c r="AH216" s="448"/>
      <c r="AI216" s="448"/>
      <c r="AJ216" s="448"/>
      <c r="AK216" s="448"/>
      <c r="AL216" s="448"/>
      <c r="AM216" s="448"/>
      <c r="AN216" s="448"/>
      <c r="AO216" s="448"/>
      <c r="AP216" s="448"/>
      <c r="AQ216" s="448"/>
      <c r="AR216" s="448"/>
      <c r="AS216" s="448"/>
      <c r="AT216" s="448"/>
      <c r="AU216" s="448"/>
      <c r="AV216" s="448"/>
      <c r="AW216" s="448"/>
      <c r="AX216" s="448"/>
      <c r="AY216" s="448"/>
      <c r="AZ216" s="448"/>
      <c r="BA216" s="448"/>
    </row>
    <row r="217" spans="1:53" x14ac:dyDescent="0.2">
      <c r="A217" s="448"/>
      <c r="B217" s="448"/>
      <c r="C217" s="448"/>
      <c r="D217" s="448"/>
      <c r="E217" s="448"/>
      <c r="F217" s="448"/>
      <c r="G217" s="448"/>
      <c r="H217" s="448"/>
      <c r="I217" s="448"/>
      <c r="J217" s="448"/>
      <c r="K217" s="448"/>
      <c r="L217" s="448"/>
      <c r="M217" s="448"/>
      <c r="N217" s="448"/>
      <c r="O217" s="448"/>
      <c r="P217" s="448"/>
      <c r="Q217" s="448"/>
      <c r="R217" s="448"/>
      <c r="S217" s="448"/>
      <c r="T217" s="448"/>
      <c r="U217" s="448"/>
      <c r="V217" s="448"/>
      <c r="W217" s="448"/>
      <c r="X217" s="448"/>
      <c r="Y217" s="448"/>
      <c r="Z217" s="448"/>
      <c r="AA217" s="448"/>
      <c r="AB217" s="448"/>
      <c r="AC217" s="448"/>
      <c r="AD217" s="448"/>
      <c r="AE217" s="448"/>
      <c r="AF217" s="448"/>
      <c r="AG217" s="448"/>
      <c r="AH217" s="448"/>
      <c r="AI217" s="448"/>
      <c r="AJ217" s="448"/>
      <c r="AK217" s="448"/>
      <c r="AL217" s="448"/>
      <c r="AM217" s="448"/>
      <c r="AN217" s="448"/>
      <c r="AO217" s="448"/>
      <c r="AP217" s="448"/>
      <c r="AQ217" s="448"/>
      <c r="AR217" s="448"/>
      <c r="AS217" s="448"/>
      <c r="AT217" s="448"/>
      <c r="AU217" s="448"/>
      <c r="AV217" s="448"/>
      <c r="AW217" s="448"/>
      <c r="AX217" s="448"/>
      <c r="AY217" s="448"/>
      <c r="AZ217" s="448"/>
      <c r="BA217" s="448"/>
    </row>
    <row r="218" spans="1:53" x14ac:dyDescent="0.2">
      <c r="A218" s="448"/>
      <c r="B218" s="448"/>
      <c r="C218" s="448"/>
      <c r="D218" s="448"/>
      <c r="E218" s="448"/>
      <c r="F218" s="448"/>
      <c r="G218" s="448"/>
      <c r="H218" s="448"/>
      <c r="I218" s="448"/>
      <c r="J218" s="448"/>
      <c r="K218" s="448"/>
      <c r="L218" s="448"/>
      <c r="M218" s="448"/>
      <c r="N218" s="448"/>
      <c r="O218" s="448"/>
      <c r="P218" s="448"/>
      <c r="Q218" s="448"/>
      <c r="R218" s="448"/>
      <c r="S218" s="448"/>
      <c r="T218" s="448"/>
      <c r="U218" s="448"/>
      <c r="V218" s="448"/>
      <c r="W218" s="448"/>
      <c r="X218" s="448"/>
      <c r="Y218" s="448"/>
      <c r="Z218" s="448"/>
      <c r="AA218" s="448"/>
      <c r="AB218" s="448"/>
      <c r="AC218" s="448"/>
      <c r="AD218" s="448"/>
      <c r="AE218" s="448"/>
      <c r="AF218" s="448"/>
      <c r="AG218" s="448"/>
      <c r="AH218" s="448"/>
      <c r="AI218" s="448"/>
      <c r="AJ218" s="448"/>
      <c r="AK218" s="448"/>
      <c r="AL218" s="448"/>
      <c r="AM218" s="448"/>
      <c r="AN218" s="448"/>
      <c r="AO218" s="448"/>
      <c r="AP218" s="448"/>
      <c r="AQ218" s="448"/>
      <c r="AR218" s="448"/>
      <c r="AS218" s="448"/>
      <c r="AT218" s="448"/>
      <c r="AU218" s="448"/>
      <c r="AV218" s="448"/>
      <c r="AW218" s="448"/>
      <c r="AX218" s="448"/>
      <c r="AY218" s="448"/>
      <c r="AZ218" s="448"/>
      <c r="BA218" s="448"/>
    </row>
    <row r="219" spans="1:53" x14ac:dyDescent="0.2">
      <c r="A219" s="448"/>
      <c r="B219" s="448"/>
      <c r="C219" s="448"/>
      <c r="D219" s="448"/>
      <c r="E219" s="448"/>
      <c r="F219" s="448"/>
      <c r="G219" s="448"/>
      <c r="H219" s="448"/>
      <c r="I219" s="448"/>
      <c r="J219" s="448"/>
      <c r="K219" s="448"/>
      <c r="L219" s="448"/>
      <c r="M219" s="448"/>
      <c r="N219" s="448"/>
      <c r="O219" s="448"/>
      <c r="P219" s="448"/>
      <c r="Q219" s="448"/>
      <c r="R219" s="448"/>
      <c r="S219" s="448"/>
      <c r="T219" s="448"/>
      <c r="U219" s="448"/>
      <c r="V219" s="448"/>
      <c r="W219" s="448"/>
      <c r="X219" s="448"/>
      <c r="Y219" s="448"/>
      <c r="Z219" s="448"/>
      <c r="AA219" s="448"/>
      <c r="AB219" s="448"/>
      <c r="AC219" s="448"/>
      <c r="AD219" s="448"/>
      <c r="AE219" s="448"/>
      <c r="AF219" s="448"/>
      <c r="AG219" s="448"/>
      <c r="AH219" s="448"/>
      <c r="AI219" s="448"/>
      <c r="AJ219" s="448"/>
      <c r="AK219" s="448"/>
      <c r="AL219" s="448"/>
      <c r="AM219" s="448"/>
      <c r="AN219" s="448"/>
      <c r="AO219" s="448"/>
      <c r="AP219" s="448"/>
      <c r="AQ219" s="448"/>
      <c r="AR219" s="448"/>
      <c r="AS219" s="448"/>
      <c r="AT219" s="448"/>
      <c r="AU219" s="448"/>
      <c r="AV219" s="448"/>
      <c r="AW219" s="448"/>
      <c r="AX219" s="448"/>
      <c r="AY219" s="448"/>
      <c r="AZ219" s="448"/>
      <c r="BA219" s="448"/>
    </row>
    <row r="220" spans="1:53" x14ac:dyDescent="0.2">
      <c r="A220" s="448"/>
      <c r="B220" s="448"/>
      <c r="C220" s="448"/>
      <c r="D220" s="448"/>
      <c r="E220" s="448"/>
      <c r="F220" s="448"/>
      <c r="G220" s="448"/>
      <c r="H220" s="448"/>
      <c r="I220" s="448"/>
      <c r="J220" s="448"/>
      <c r="K220" s="448"/>
      <c r="L220" s="448"/>
      <c r="M220" s="448"/>
      <c r="N220" s="448"/>
      <c r="O220" s="448"/>
      <c r="P220" s="448"/>
      <c r="Q220" s="448"/>
      <c r="R220" s="448"/>
      <c r="S220" s="448"/>
      <c r="T220" s="448"/>
      <c r="U220" s="448"/>
      <c r="V220" s="448"/>
      <c r="W220" s="448"/>
      <c r="X220" s="448"/>
      <c r="Y220" s="448"/>
      <c r="Z220" s="448"/>
      <c r="AA220" s="448"/>
      <c r="AB220" s="448"/>
      <c r="AC220" s="448"/>
      <c r="AD220" s="448"/>
      <c r="AE220" s="448"/>
      <c r="AF220" s="448"/>
      <c r="AG220" s="448"/>
      <c r="AH220" s="448"/>
      <c r="AI220" s="448"/>
      <c r="AJ220" s="448"/>
      <c r="AK220" s="448"/>
      <c r="AL220" s="448"/>
      <c r="AM220" s="448"/>
      <c r="AN220" s="448"/>
      <c r="AO220" s="448"/>
      <c r="AP220" s="448"/>
      <c r="AQ220" s="448"/>
      <c r="AR220" s="448"/>
      <c r="AS220" s="448"/>
      <c r="AT220" s="448"/>
      <c r="AU220" s="448"/>
      <c r="AV220" s="448"/>
      <c r="AW220" s="448"/>
      <c r="AX220" s="448"/>
      <c r="AY220" s="448"/>
      <c r="AZ220" s="448"/>
      <c r="BA220" s="448"/>
    </row>
    <row r="221" spans="1:53" x14ac:dyDescent="0.2">
      <c r="A221" s="448"/>
      <c r="B221" s="448"/>
      <c r="C221" s="448"/>
      <c r="D221" s="448"/>
      <c r="E221" s="448"/>
      <c r="F221" s="448"/>
      <c r="G221" s="448"/>
      <c r="H221" s="448"/>
      <c r="I221" s="448"/>
      <c r="J221" s="448"/>
      <c r="K221" s="448"/>
      <c r="L221" s="448"/>
      <c r="M221" s="448"/>
      <c r="N221" s="448"/>
      <c r="O221" s="448"/>
      <c r="P221" s="448"/>
      <c r="Q221" s="448"/>
      <c r="R221" s="448"/>
      <c r="S221" s="448"/>
      <c r="T221" s="448"/>
      <c r="U221" s="448"/>
      <c r="V221" s="448"/>
      <c r="W221" s="448"/>
      <c r="X221" s="448"/>
      <c r="Y221" s="448"/>
      <c r="Z221" s="448"/>
      <c r="AA221" s="448"/>
      <c r="AB221" s="448"/>
      <c r="AC221" s="448"/>
      <c r="AD221" s="448"/>
      <c r="AE221" s="448"/>
      <c r="AF221" s="448"/>
      <c r="AG221" s="448"/>
      <c r="AH221" s="448"/>
      <c r="AI221" s="448"/>
      <c r="AJ221" s="448"/>
      <c r="AK221" s="448"/>
      <c r="AL221" s="448"/>
      <c r="AM221" s="448"/>
      <c r="AN221" s="448"/>
      <c r="AO221" s="448"/>
      <c r="AP221" s="448"/>
      <c r="AQ221" s="448"/>
      <c r="AR221" s="448"/>
      <c r="AS221" s="448"/>
      <c r="AT221" s="448"/>
      <c r="AU221" s="448"/>
      <c r="AV221" s="448"/>
      <c r="AW221" s="448"/>
      <c r="AX221" s="448"/>
      <c r="AY221" s="448"/>
      <c r="AZ221" s="448"/>
      <c r="BA221" s="448"/>
    </row>
    <row r="222" spans="1:53" x14ac:dyDescent="0.2">
      <c r="A222" s="448"/>
      <c r="B222" s="448"/>
      <c r="C222" s="448"/>
      <c r="D222" s="448"/>
      <c r="E222" s="448"/>
      <c r="F222" s="448"/>
      <c r="G222" s="448"/>
      <c r="H222" s="448"/>
      <c r="I222" s="448"/>
      <c r="J222" s="448"/>
      <c r="K222" s="448"/>
      <c r="L222" s="448"/>
      <c r="M222" s="448"/>
      <c r="N222" s="448"/>
      <c r="O222" s="448"/>
      <c r="P222" s="448"/>
      <c r="Q222" s="448"/>
      <c r="R222" s="448"/>
      <c r="S222" s="448"/>
      <c r="T222" s="448"/>
      <c r="U222" s="448"/>
      <c r="V222" s="448"/>
      <c r="W222" s="448"/>
      <c r="X222" s="448"/>
      <c r="Y222" s="448"/>
      <c r="Z222" s="448"/>
      <c r="AA222" s="448"/>
      <c r="AB222" s="448"/>
      <c r="AC222" s="448"/>
      <c r="AD222" s="448"/>
      <c r="AE222" s="448"/>
      <c r="AF222" s="448"/>
      <c r="AG222" s="448"/>
      <c r="AH222" s="448"/>
      <c r="AI222" s="448"/>
      <c r="AJ222" s="448"/>
      <c r="AK222" s="448"/>
      <c r="AL222" s="448"/>
      <c r="AM222" s="448"/>
      <c r="AN222" s="448"/>
      <c r="AO222" s="448"/>
      <c r="AP222" s="448"/>
      <c r="AQ222" s="448"/>
      <c r="AR222" s="448"/>
      <c r="AS222" s="448"/>
      <c r="AT222" s="448"/>
      <c r="AU222" s="448"/>
      <c r="AV222" s="448"/>
      <c r="AW222" s="448"/>
      <c r="AX222" s="448"/>
      <c r="AY222" s="448"/>
      <c r="AZ222" s="448"/>
      <c r="BA222" s="448"/>
    </row>
    <row r="223" spans="1:53" x14ac:dyDescent="0.2">
      <c r="A223" s="448"/>
      <c r="B223" s="448"/>
      <c r="C223" s="448"/>
      <c r="D223" s="448"/>
      <c r="E223" s="448"/>
      <c r="F223" s="448"/>
      <c r="G223" s="448"/>
      <c r="H223" s="448"/>
      <c r="I223" s="448"/>
      <c r="J223" s="448"/>
      <c r="K223" s="448"/>
      <c r="L223" s="448"/>
      <c r="M223" s="448"/>
      <c r="N223" s="448"/>
      <c r="O223" s="448"/>
      <c r="P223" s="448"/>
      <c r="Q223" s="448"/>
      <c r="R223" s="448"/>
      <c r="S223" s="448"/>
      <c r="T223" s="448"/>
      <c r="U223" s="448"/>
      <c r="V223" s="448"/>
      <c r="W223" s="448"/>
      <c r="X223" s="448"/>
      <c r="Y223" s="448"/>
      <c r="Z223" s="448"/>
      <c r="AA223" s="448"/>
      <c r="AB223" s="448"/>
      <c r="AC223" s="448"/>
      <c r="AD223" s="448"/>
      <c r="AE223" s="448"/>
      <c r="AF223" s="448"/>
      <c r="AG223" s="448"/>
      <c r="AH223" s="448"/>
      <c r="AI223" s="448"/>
      <c r="AJ223" s="448"/>
      <c r="AK223" s="448"/>
      <c r="AL223" s="448"/>
      <c r="AM223" s="448"/>
      <c r="AN223" s="448"/>
      <c r="AO223" s="448"/>
      <c r="AP223" s="448"/>
      <c r="AQ223" s="448"/>
      <c r="AR223" s="448"/>
      <c r="AS223" s="448"/>
      <c r="AT223" s="448"/>
      <c r="AU223" s="448"/>
      <c r="AV223" s="448"/>
      <c r="AW223" s="448"/>
      <c r="AX223" s="448"/>
      <c r="AY223" s="448"/>
      <c r="AZ223" s="448"/>
      <c r="BA223" s="448"/>
    </row>
    <row r="224" spans="1:53" x14ac:dyDescent="0.2">
      <c r="A224" s="448"/>
      <c r="B224" s="448"/>
      <c r="C224" s="448"/>
      <c r="D224" s="448"/>
      <c r="E224" s="448"/>
      <c r="F224" s="448"/>
      <c r="G224" s="448"/>
      <c r="H224" s="448"/>
      <c r="I224" s="448"/>
      <c r="J224" s="448"/>
      <c r="K224" s="448"/>
      <c r="L224" s="448"/>
      <c r="M224" s="448"/>
      <c r="N224" s="448"/>
      <c r="O224" s="448"/>
      <c r="P224" s="448"/>
      <c r="Q224" s="448"/>
      <c r="R224" s="448"/>
      <c r="S224" s="448"/>
      <c r="T224" s="448"/>
      <c r="U224" s="448"/>
      <c r="V224" s="448"/>
      <c r="W224" s="448"/>
      <c r="X224" s="448"/>
      <c r="Y224" s="448"/>
      <c r="Z224" s="448"/>
      <c r="AA224" s="448"/>
      <c r="AB224" s="448"/>
      <c r="AC224" s="448"/>
      <c r="AD224" s="448"/>
      <c r="AE224" s="448"/>
      <c r="AF224" s="448"/>
      <c r="AG224" s="448"/>
      <c r="AH224" s="448"/>
      <c r="AI224" s="448"/>
      <c r="AJ224" s="448"/>
      <c r="AK224" s="448"/>
      <c r="AL224" s="448"/>
      <c r="AM224" s="448"/>
      <c r="AN224" s="448"/>
      <c r="AO224" s="448"/>
      <c r="AP224" s="448"/>
      <c r="AQ224" s="448"/>
      <c r="AR224" s="448"/>
      <c r="AS224" s="448"/>
      <c r="AT224" s="448"/>
      <c r="AU224" s="448"/>
      <c r="AV224" s="448"/>
      <c r="AW224" s="448"/>
      <c r="AX224" s="448"/>
      <c r="AY224" s="448"/>
      <c r="AZ224" s="448"/>
      <c r="BA224" s="448"/>
    </row>
    <row r="225" spans="1:53" x14ac:dyDescent="0.2">
      <c r="A225" s="448"/>
      <c r="B225" s="448"/>
      <c r="C225" s="448"/>
      <c r="D225" s="448"/>
      <c r="E225" s="448"/>
      <c r="F225" s="448"/>
      <c r="G225" s="448"/>
      <c r="H225" s="448"/>
      <c r="I225" s="448"/>
      <c r="J225" s="448"/>
      <c r="K225" s="448"/>
      <c r="L225" s="448"/>
      <c r="M225" s="448"/>
      <c r="N225" s="448"/>
      <c r="O225" s="448"/>
      <c r="P225" s="448"/>
      <c r="Q225" s="448"/>
      <c r="R225" s="448"/>
      <c r="S225" s="448"/>
      <c r="T225" s="448"/>
      <c r="U225" s="448"/>
      <c r="V225" s="448"/>
      <c r="W225" s="448"/>
      <c r="X225" s="448"/>
      <c r="Y225" s="448"/>
      <c r="Z225" s="448"/>
      <c r="AA225" s="448"/>
      <c r="AB225" s="448"/>
      <c r="AC225" s="448"/>
      <c r="AD225" s="448"/>
      <c r="AE225" s="448"/>
      <c r="AF225" s="448"/>
      <c r="AG225" s="448"/>
      <c r="AH225" s="448"/>
      <c r="AI225" s="448"/>
      <c r="AJ225" s="448"/>
      <c r="AK225" s="448"/>
      <c r="AL225" s="448"/>
      <c r="AM225" s="448"/>
      <c r="AN225" s="448"/>
      <c r="AO225" s="448"/>
      <c r="AP225" s="448"/>
      <c r="AQ225" s="448"/>
      <c r="AR225" s="448"/>
      <c r="AS225" s="448"/>
      <c r="AT225" s="448"/>
      <c r="AU225" s="448"/>
      <c r="AV225" s="448"/>
      <c r="AW225" s="448"/>
      <c r="AX225" s="448"/>
      <c r="AY225" s="448"/>
      <c r="AZ225" s="448"/>
      <c r="BA225" s="448"/>
    </row>
    <row r="226" spans="1:53" x14ac:dyDescent="0.2">
      <c r="A226" s="448"/>
      <c r="B226" s="448"/>
      <c r="C226" s="448"/>
      <c r="D226" s="448"/>
      <c r="E226" s="448"/>
      <c r="F226" s="448"/>
      <c r="G226" s="448"/>
      <c r="H226" s="448"/>
      <c r="I226" s="448"/>
      <c r="J226" s="448"/>
      <c r="K226" s="448"/>
      <c r="L226" s="448"/>
      <c r="M226" s="448"/>
      <c r="N226" s="448"/>
      <c r="O226" s="448"/>
      <c r="P226" s="448"/>
      <c r="Q226" s="448"/>
      <c r="R226" s="448"/>
      <c r="S226" s="448"/>
      <c r="T226" s="448"/>
      <c r="U226" s="448"/>
      <c r="V226" s="448"/>
      <c r="W226" s="448"/>
      <c r="X226" s="448"/>
      <c r="Y226" s="448"/>
      <c r="Z226" s="448"/>
      <c r="AA226" s="448"/>
      <c r="AB226" s="448"/>
      <c r="AC226" s="448"/>
      <c r="AD226" s="448"/>
      <c r="AE226" s="448"/>
      <c r="AF226" s="448"/>
      <c r="AG226" s="448"/>
      <c r="AH226" s="448"/>
      <c r="AI226" s="448"/>
      <c r="AJ226" s="448"/>
      <c r="AK226" s="448"/>
      <c r="AL226" s="448"/>
      <c r="AM226" s="448"/>
      <c r="AN226" s="448"/>
      <c r="AO226" s="448"/>
      <c r="AP226" s="448"/>
      <c r="AQ226" s="448"/>
      <c r="AR226" s="448"/>
      <c r="AS226" s="448"/>
      <c r="AT226" s="448"/>
      <c r="AU226" s="448"/>
      <c r="AV226" s="448"/>
      <c r="AW226" s="448"/>
      <c r="AX226" s="448"/>
      <c r="AY226" s="448"/>
      <c r="AZ226" s="448"/>
      <c r="BA226" s="448"/>
    </row>
    <row r="227" spans="1:53" x14ac:dyDescent="0.2">
      <c r="A227" s="448"/>
      <c r="B227" s="448"/>
      <c r="C227" s="448"/>
      <c r="D227" s="448"/>
      <c r="E227" s="448"/>
      <c r="F227" s="448"/>
      <c r="G227" s="448"/>
      <c r="H227" s="448"/>
      <c r="I227" s="448"/>
      <c r="J227" s="448"/>
      <c r="K227" s="448"/>
      <c r="L227" s="448"/>
      <c r="M227" s="448"/>
      <c r="N227" s="448"/>
      <c r="O227" s="448"/>
      <c r="P227" s="448"/>
      <c r="Q227" s="448"/>
      <c r="R227" s="448"/>
      <c r="S227" s="448"/>
      <c r="T227" s="448"/>
      <c r="U227" s="448"/>
      <c r="V227" s="448"/>
      <c r="W227" s="448"/>
      <c r="X227" s="448"/>
      <c r="Y227" s="448"/>
      <c r="Z227" s="448"/>
      <c r="AA227" s="448"/>
      <c r="AB227" s="448"/>
      <c r="AC227" s="448"/>
      <c r="AD227" s="448"/>
      <c r="AE227" s="448"/>
      <c r="AF227" s="448"/>
      <c r="AG227" s="448"/>
      <c r="AH227" s="448"/>
      <c r="AI227" s="448"/>
      <c r="AJ227" s="448"/>
      <c r="AK227" s="448"/>
      <c r="AL227" s="448"/>
      <c r="AM227" s="448"/>
      <c r="AN227" s="448"/>
      <c r="AO227" s="448"/>
      <c r="AP227" s="448"/>
      <c r="AQ227" s="448"/>
      <c r="AR227" s="448"/>
      <c r="AS227" s="448"/>
      <c r="AT227" s="448"/>
      <c r="AU227" s="448"/>
      <c r="AV227" s="448"/>
      <c r="AW227" s="448"/>
      <c r="AX227" s="448"/>
      <c r="AY227" s="448"/>
      <c r="AZ227" s="448"/>
      <c r="BA227" s="448"/>
    </row>
    <row r="228" spans="1:53" x14ac:dyDescent="0.2">
      <c r="A228" s="448"/>
      <c r="B228" s="448"/>
      <c r="C228" s="448"/>
      <c r="D228" s="448"/>
      <c r="E228" s="448"/>
      <c r="F228" s="448"/>
      <c r="G228" s="448"/>
      <c r="H228" s="448"/>
      <c r="I228" s="448"/>
      <c r="J228" s="448"/>
      <c r="K228" s="448"/>
      <c r="L228" s="448"/>
      <c r="M228" s="448"/>
      <c r="N228" s="448"/>
      <c r="O228" s="448"/>
      <c r="P228" s="448"/>
      <c r="Q228" s="448"/>
      <c r="R228" s="448"/>
      <c r="S228" s="448"/>
      <c r="T228" s="448"/>
      <c r="U228" s="448"/>
      <c r="V228" s="448"/>
      <c r="W228" s="448"/>
      <c r="X228" s="448"/>
      <c r="Y228" s="448"/>
      <c r="Z228" s="448"/>
      <c r="AA228" s="448"/>
      <c r="AB228" s="448"/>
      <c r="AC228" s="448"/>
      <c r="AD228" s="448"/>
      <c r="AE228" s="448"/>
      <c r="AF228" s="448"/>
      <c r="AG228" s="448"/>
      <c r="AH228" s="448"/>
      <c r="AI228" s="448"/>
      <c r="AJ228" s="448"/>
      <c r="AK228" s="448"/>
      <c r="AL228" s="448"/>
      <c r="AM228" s="448"/>
      <c r="AN228" s="448"/>
      <c r="AO228" s="448"/>
      <c r="AP228" s="448"/>
      <c r="AQ228" s="448"/>
      <c r="AR228" s="448"/>
      <c r="AS228" s="448"/>
      <c r="AT228" s="448"/>
      <c r="AU228" s="448"/>
      <c r="AV228" s="448"/>
      <c r="AW228" s="448"/>
      <c r="AX228" s="448"/>
      <c r="AY228" s="448"/>
      <c r="AZ228" s="448"/>
      <c r="BA228" s="448"/>
    </row>
    <row r="229" spans="1:53" x14ac:dyDescent="0.2">
      <c r="A229" s="448"/>
      <c r="B229" s="448"/>
      <c r="C229" s="448"/>
      <c r="D229" s="448"/>
      <c r="E229" s="448"/>
      <c r="F229" s="448"/>
      <c r="G229" s="448"/>
      <c r="H229" s="448"/>
      <c r="I229" s="448"/>
      <c r="J229" s="448"/>
      <c r="K229" s="448"/>
      <c r="L229" s="448"/>
      <c r="M229" s="448"/>
      <c r="N229" s="448"/>
      <c r="O229" s="448"/>
      <c r="P229" s="448"/>
      <c r="Q229" s="448"/>
      <c r="R229" s="448"/>
      <c r="S229" s="448"/>
      <c r="T229" s="448"/>
      <c r="U229" s="448"/>
      <c r="V229" s="448"/>
      <c r="W229" s="448"/>
      <c r="X229" s="448"/>
      <c r="Y229" s="448"/>
      <c r="Z229" s="448"/>
      <c r="AA229" s="448"/>
      <c r="AB229" s="448"/>
      <c r="AC229" s="448"/>
      <c r="AD229" s="448"/>
      <c r="AE229" s="448"/>
      <c r="AF229" s="448"/>
      <c r="AG229" s="448"/>
      <c r="AH229" s="448"/>
      <c r="AI229" s="448"/>
      <c r="AJ229" s="448"/>
      <c r="AK229" s="448"/>
      <c r="AL229" s="448"/>
      <c r="AM229" s="448"/>
      <c r="AN229" s="448"/>
      <c r="AO229" s="448"/>
      <c r="AP229" s="448"/>
      <c r="AQ229" s="448"/>
      <c r="AR229" s="448"/>
      <c r="AS229" s="448"/>
      <c r="AT229" s="448"/>
      <c r="AU229" s="448"/>
      <c r="AV229" s="448"/>
      <c r="AW229" s="448"/>
      <c r="AX229" s="448"/>
      <c r="AY229" s="448"/>
      <c r="AZ229" s="448"/>
      <c r="BA229" s="448"/>
    </row>
    <row r="230" spans="1:53" x14ac:dyDescent="0.2">
      <c r="A230" s="448"/>
      <c r="B230" s="448"/>
      <c r="C230" s="448"/>
      <c r="D230" s="448"/>
      <c r="E230" s="448"/>
      <c r="F230" s="448"/>
      <c r="G230" s="448"/>
      <c r="H230" s="448"/>
      <c r="I230" s="448"/>
      <c r="J230" s="448"/>
      <c r="K230" s="448"/>
      <c r="L230" s="448"/>
      <c r="M230" s="448"/>
      <c r="N230" s="448"/>
      <c r="O230" s="448"/>
      <c r="P230" s="448"/>
      <c r="Q230" s="448"/>
      <c r="R230" s="448"/>
      <c r="S230" s="448"/>
      <c r="T230" s="448"/>
      <c r="U230" s="448"/>
      <c r="V230" s="448"/>
      <c r="W230" s="448"/>
      <c r="X230" s="448"/>
      <c r="Y230" s="448"/>
      <c r="Z230" s="448"/>
      <c r="AA230" s="448"/>
      <c r="AB230" s="448"/>
      <c r="AC230" s="448"/>
      <c r="AD230" s="448"/>
      <c r="AE230" s="448"/>
      <c r="AF230" s="448"/>
      <c r="AG230" s="448"/>
      <c r="AH230" s="448"/>
      <c r="AI230" s="448"/>
      <c r="AJ230" s="448"/>
      <c r="AK230" s="448"/>
      <c r="AL230" s="448"/>
      <c r="AM230" s="448"/>
      <c r="AN230" s="448"/>
      <c r="AO230" s="448"/>
      <c r="AP230" s="448"/>
      <c r="AQ230" s="448"/>
      <c r="AR230" s="448"/>
      <c r="AS230" s="448"/>
      <c r="AT230" s="448"/>
      <c r="AU230" s="448"/>
      <c r="AV230" s="448"/>
      <c r="AW230" s="448"/>
      <c r="AX230" s="448"/>
      <c r="AY230" s="448"/>
      <c r="AZ230" s="448"/>
      <c r="BA230" s="448"/>
    </row>
    <row r="231" spans="1:53" x14ac:dyDescent="0.2">
      <c r="A231" s="448"/>
      <c r="B231" s="448"/>
      <c r="C231" s="448"/>
      <c r="D231" s="448"/>
      <c r="E231" s="448"/>
      <c r="F231" s="448"/>
      <c r="G231" s="448"/>
      <c r="H231" s="448"/>
      <c r="I231" s="448"/>
      <c r="J231" s="448"/>
      <c r="K231" s="448"/>
      <c r="L231" s="448"/>
      <c r="M231" s="448"/>
      <c r="N231" s="448"/>
      <c r="O231" s="448"/>
      <c r="P231" s="448"/>
      <c r="Q231" s="448"/>
      <c r="R231" s="448"/>
      <c r="S231" s="448"/>
      <c r="T231" s="448"/>
      <c r="U231" s="448"/>
      <c r="V231" s="448"/>
      <c r="W231" s="448"/>
      <c r="X231" s="448"/>
      <c r="Y231" s="448"/>
      <c r="Z231" s="448"/>
      <c r="AA231" s="448"/>
      <c r="AB231" s="448"/>
      <c r="AC231" s="448"/>
      <c r="AD231" s="448"/>
      <c r="AE231" s="448"/>
      <c r="AF231" s="448"/>
      <c r="AG231" s="448"/>
      <c r="AH231" s="448"/>
      <c r="AI231" s="448"/>
      <c r="AJ231" s="448"/>
      <c r="AK231" s="448"/>
      <c r="AL231" s="448"/>
      <c r="AM231" s="448"/>
      <c r="AN231" s="448"/>
      <c r="AO231" s="448"/>
      <c r="AP231" s="448"/>
      <c r="AQ231" s="448"/>
      <c r="AR231" s="448"/>
      <c r="AS231" s="448"/>
      <c r="AT231" s="448"/>
      <c r="AU231" s="448"/>
      <c r="AV231" s="448"/>
      <c r="AW231" s="448"/>
      <c r="AX231" s="448"/>
      <c r="AY231" s="448"/>
      <c r="AZ231" s="448"/>
      <c r="BA231" s="448"/>
    </row>
    <row r="232" spans="1:53" x14ac:dyDescent="0.2">
      <c r="A232" s="448"/>
      <c r="B232" s="448"/>
      <c r="C232" s="448"/>
      <c r="D232" s="448"/>
      <c r="E232" s="448"/>
      <c r="F232" s="448"/>
      <c r="G232" s="448"/>
      <c r="H232" s="448"/>
      <c r="I232" s="448"/>
      <c r="J232" s="448"/>
      <c r="K232" s="448"/>
      <c r="L232" s="448"/>
      <c r="M232" s="448"/>
      <c r="N232" s="448"/>
      <c r="O232" s="448"/>
      <c r="P232" s="448"/>
      <c r="Q232" s="448"/>
      <c r="R232" s="448"/>
      <c r="S232" s="448"/>
      <c r="T232" s="448"/>
      <c r="U232" s="448"/>
      <c r="V232" s="448"/>
      <c r="W232" s="448"/>
      <c r="X232" s="448"/>
      <c r="Y232" s="448"/>
      <c r="Z232" s="448"/>
      <c r="AA232" s="448"/>
      <c r="AB232" s="448"/>
      <c r="AC232" s="448"/>
      <c r="AD232" s="448"/>
      <c r="AE232" s="448"/>
      <c r="AF232" s="448"/>
      <c r="AG232" s="448"/>
      <c r="AH232" s="448"/>
      <c r="AI232" s="448"/>
      <c r="AJ232" s="448"/>
      <c r="AK232" s="448"/>
      <c r="AL232" s="448"/>
      <c r="AM232" s="448"/>
      <c r="AN232" s="448"/>
      <c r="AO232" s="448"/>
      <c r="AP232" s="448"/>
      <c r="AQ232" s="448"/>
      <c r="AR232" s="448"/>
      <c r="AS232" s="448"/>
      <c r="AT232" s="448"/>
      <c r="AU232" s="448"/>
      <c r="AV232" s="448"/>
      <c r="AW232" s="448"/>
      <c r="AX232" s="448"/>
      <c r="AY232" s="448"/>
      <c r="AZ232" s="448"/>
      <c r="BA232" s="448"/>
    </row>
    <row r="233" spans="1:53" x14ac:dyDescent="0.2">
      <c r="A233" s="448"/>
      <c r="B233" s="448"/>
      <c r="C233" s="448"/>
      <c r="D233" s="448"/>
      <c r="E233" s="448"/>
      <c r="F233" s="448"/>
      <c r="G233" s="448"/>
      <c r="H233" s="448"/>
      <c r="I233" s="448"/>
      <c r="J233" s="448"/>
      <c r="K233" s="448"/>
      <c r="L233" s="448"/>
      <c r="M233" s="448"/>
      <c r="N233" s="448"/>
      <c r="O233" s="448"/>
      <c r="P233" s="448"/>
      <c r="Q233" s="448"/>
      <c r="R233" s="448"/>
      <c r="S233" s="448"/>
      <c r="T233" s="448"/>
      <c r="U233" s="448"/>
      <c r="V233" s="448"/>
      <c r="W233" s="448"/>
      <c r="X233" s="448"/>
      <c r="Y233" s="448"/>
      <c r="Z233" s="448"/>
      <c r="AA233" s="448"/>
      <c r="AB233" s="448"/>
      <c r="AC233" s="448"/>
      <c r="AD233" s="448"/>
      <c r="AE233" s="448"/>
      <c r="AF233" s="448"/>
      <c r="AG233" s="448"/>
      <c r="AH233" s="448"/>
      <c r="AI233" s="448"/>
      <c r="AJ233" s="448"/>
      <c r="AK233" s="448"/>
      <c r="AL233" s="448"/>
      <c r="AM233" s="448"/>
      <c r="AN233" s="448"/>
      <c r="AO233" s="448"/>
      <c r="AP233" s="448"/>
      <c r="AQ233" s="448"/>
      <c r="AR233" s="448"/>
      <c r="AS233" s="448"/>
      <c r="AT233" s="448"/>
      <c r="AU233" s="448"/>
      <c r="AV233" s="448"/>
      <c r="AW233" s="448"/>
      <c r="AX233" s="448"/>
      <c r="AY233" s="448"/>
      <c r="AZ233" s="448"/>
      <c r="BA233" s="448"/>
    </row>
    <row r="234" spans="1:53" x14ac:dyDescent="0.2">
      <c r="A234" s="448"/>
      <c r="B234" s="448"/>
      <c r="C234" s="448"/>
      <c r="D234" s="448"/>
      <c r="E234" s="448"/>
      <c r="F234" s="448"/>
      <c r="G234" s="448"/>
      <c r="H234" s="448"/>
      <c r="I234" s="448"/>
      <c r="J234" s="448"/>
      <c r="K234" s="448"/>
      <c r="L234" s="448"/>
      <c r="M234" s="448"/>
      <c r="N234" s="448"/>
      <c r="O234" s="448"/>
      <c r="P234" s="448"/>
      <c r="Q234" s="448"/>
      <c r="R234" s="448"/>
      <c r="S234" s="448"/>
      <c r="T234" s="448"/>
      <c r="U234" s="448"/>
      <c r="V234" s="448"/>
      <c r="W234" s="448"/>
      <c r="X234" s="448"/>
      <c r="Y234" s="448"/>
      <c r="Z234" s="448"/>
      <c r="AA234" s="448"/>
      <c r="AB234" s="448"/>
      <c r="AC234" s="448"/>
      <c r="AD234" s="448"/>
      <c r="AE234" s="448"/>
      <c r="AF234" s="448"/>
      <c r="AG234" s="448"/>
      <c r="AH234" s="448"/>
      <c r="AI234" s="448"/>
      <c r="AJ234" s="448"/>
      <c r="AK234" s="448"/>
      <c r="AL234" s="448"/>
      <c r="AM234" s="448"/>
      <c r="AN234" s="448"/>
      <c r="AO234" s="448"/>
      <c r="AP234" s="448"/>
      <c r="AQ234" s="448"/>
      <c r="AR234" s="448"/>
      <c r="AS234" s="448"/>
      <c r="AT234" s="448"/>
      <c r="AU234" s="448"/>
      <c r="AV234" s="448"/>
      <c r="AW234" s="448"/>
      <c r="AX234" s="448"/>
      <c r="AY234" s="448"/>
      <c r="AZ234" s="448"/>
      <c r="BA234" s="448"/>
    </row>
    <row r="235" spans="1:53" x14ac:dyDescent="0.2">
      <c r="A235" s="448"/>
      <c r="B235" s="448"/>
      <c r="C235" s="448"/>
      <c r="D235" s="448"/>
      <c r="E235" s="448"/>
      <c r="F235" s="448"/>
      <c r="G235" s="448"/>
      <c r="H235" s="448"/>
      <c r="I235" s="448"/>
      <c r="J235" s="448"/>
      <c r="K235" s="448"/>
      <c r="L235" s="448"/>
      <c r="M235" s="448"/>
      <c r="N235" s="448"/>
      <c r="O235" s="448"/>
      <c r="P235" s="448"/>
      <c r="Q235" s="448"/>
      <c r="R235" s="448"/>
      <c r="S235" s="448"/>
      <c r="T235" s="448"/>
      <c r="U235" s="448"/>
      <c r="V235" s="448"/>
      <c r="W235" s="448"/>
      <c r="X235" s="448"/>
      <c r="Y235" s="448"/>
      <c r="Z235" s="448"/>
      <c r="AA235" s="448"/>
      <c r="AB235" s="448"/>
      <c r="AC235" s="448"/>
      <c r="AD235" s="448"/>
      <c r="AE235" s="448"/>
      <c r="AF235" s="448"/>
      <c r="AG235" s="448"/>
      <c r="AH235" s="448"/>
      <c r="AI235" s="448"/>
      <c r="AJ235" s="448"/>
      <c r="AK235" s="448"/>
      <c r="AL235" s="448"/>
      <c r="AM235" s="448"/>
      <c r="AN235" s="448"/>
      <c r="AO235" s="448"/>
      <c r="AP235" s="448"/>
      <c r="AQ235" s="448"/>
      <c r="AR235" s="448"/>
      <c r="AS235" s="448"/>
      <c r="AT235" s="448"/>
      <c r="AU235" s="448"/>
      <c r="AV235" s="448"/>
      <c r="AW235" s="448"/>
      <c r="AX235" s="448"/>
      <c r="AY235" s="448"/>
      <c r="AZ235" s="448"/>
      <c r="BA235" s="448"/>
    </row>
    <row r="236" spans="1:53" x14ac:dyDescent="0.2">
      <c r="A236" s="448"/>
      <c r="B236" s="448"/>
      <c r="C236" s="448"/>
      <c r="D236" s="448"/>
      <c r="E236" s="448"/>
      <c r="F236" s="448"/>
      <c r="G236" s="448"/>
      <c r="H236" s="448"/>
      <c r="I236" s="448"/>
      <c r="J236" s="448"/>
      <c r="K236" s="448"/>
      <c r="L236" s="448"/>
      <c r="M236" s="448"/>
      <c r="N236" s="448"/>
      <c r="O236" s="448"/>
      <c r="P236" s="448"/>
      <c r="Q236" s="448"/>
      <c r="R236" s="448"/>
      <c r="S236" s="448"/>
      <c r="T236" s="448"/>
      <c r="U236" s="448"/>
      <c r="V236" s="448"/>
      <c r="W236" s="448"/>
      <c r="X236" s="448"/>
      <c r="Y236" s="448"/>
      <c r="Z236" s="448"/>
      <c r="AA236" s="448"/>
      <c r="AB236" s="448"/>
      <c r="AC236" s="448"/>
      <c r="AD236" s="448"/>
      <c r="AE236" s="448"/>
      <c r="AF236" s="448"/>
      <c r="AG236" s="448"/>
      <c r="AH236" s="448"/>
      <c r="AI236" s="448"/>
      <c r="AJ236" s="448"/>
      <c r="AK236" s="448"/>
      <c r="AL236" s="448"/>
      <c r="AM236" s="448"/>
      <c r="AN236" s="448"/>
      <c r="AO236" s="448"/>
      <c r="AP236" s="448"/>
      <c r="AQ236" s="448"/>
      <c r="AR236" s="448"/>
      <c r="AS236" s="448"/>
      <c r="AT236" s="448"/>
      <c r="AU236" s="448"/>
      <c r="AV236" s="448"/>
      <c r="AW236" s="448"/>
      <c r="AX236" s="448"/>
      <c r="AY236" s="448"/>
      <c r="AZ236" s="448"/>
      <c r="BA236" s="448"/>
    </row>
    <row r="237" spans="1:53" x14ac:dyDescent="0.2">
      <c r="A237" s="448"/>
      <c r="B237" s="448"/>
      <c r="C237" s="448"/>
      <c r="D237" s="448"/>
      <c r="E237" s="448"/>
      <c r="F237" s="448"/>
      <c r="G237" s="448"/>
      <c r="H237" s="448"/>
      <c r="I237" s="448"/>
      <c r="J237" s="448"/>
      <c r="K237" s="448"/>
      <c r="L237" s="448"/>
      <c r="M237" s="448"/>
      <c r="N237" s="448"/>
      <c r="O237" s="448"/>
      <c r="P237" s="448"/>
      <c r="Q237" s="448"/>
      <c r="R237" s="448"/>
      <c r="S237" s="448"/>
      <c r="T237" s="448"/>
      <c r="U237" s="448"/>
      <c r="V237" s="448"/>
      <c r="W237" s="448"/>
      <c r="X237" s="448"/>
      <c r="Y237" s="448"/>
      <c r="Z237" s="448"/>
      <c r="AA237" s="448"/>
      <c r="AB237" s="448"/>
      <c r="AC237" s="448"/>
      <c r="AD237" s="448"/>
      <c r="AE237" s="448"/>
      <c r="AF237" s="448"/>
      <c r="AG237" s="448"/>
      <c r="AH237" s="448"/>
      <c r="AI237" s="448"/>
      <c r="AJ237" s="448"/>
      <c r="AK237" s="448"/>
      <c r="AL237" s="448"/>
      <c r="AM237" s="448"/>
      <c r="AN237" s="448"/>
      <c r="AO237" s="448"/>
      <c r="AP237" s="448"/>
      <c r="AQ237" s="448"/>
      <c r="AR237" s="448"/>
      <c r="AS237" s="448"/>
      <c r="AT237" s="448"/>
      <c r="AU237" s="448"/>
      <c r="AV237" s="448"/>
      <c r="AW237" s="448"/>
      <c r="AX237" s="448"/>
      <c r="AY237" s="448"/>
      <c r="AZ237" s="448"/>
      <c r="BA237" s="448"/>
    </row>
    <row r="238" spans="1:53" x14ac:dyDescent="0.2">
      <c r="A238" s="448"/>
      <c r="B238" s="448"/>
      <c r="C238" s="448"/>
      <c r="D238" s="448"/>
      <c r="E238" s="448"/>
      <c r="F238" s="448"/>
      <c r="G238" s="448"/>
      <c r="H238" s="448"/>
      <c r="I238" s="448"/>
      <c r="J238" s="448"/>
      <c r="K238" s="448"/>
      <c r="L238" s="448"/>
      <c r="M238" s="448"/>
      <c r="N238" s="448"/>
      <c r="O238" s="448"/>
      <c r="P238" s="448"/>
      <c r="Q238" s="448"/>
      <c r="R238" s="448"/>
      <c r="S238" s="448"/>
      <c r="T238" s="448"/>
      <c r="U238" s="448"/>
      <c r="V238" s="448"/>
      <c r="W238" s="448"/>
      <c r="X238" s="448"/>
      <c r="Y238" s="448"/>
      <c r="Z238" s="448"/>
      <c r="AA238" s="448"/>
      <c r="AB238" s="448"/>
      <c r="AC238" s="448"/>
      <c r="AD238" s="448"/>
      <c r="AE238" s="448"/>
      <c r="AF238" s="448"/>
      <c r="AG238" s="448"/>
      <c r="AH238" s="448"/>
      <c r="AI238" s="448"/>
      <c r="AJ238" s="448"/>
      <c r="AK238" s="448"/>
      <c r="AL238" s="448"/>
      <c r="AM238" s="448"/>
      <c r="AN238" s="448"/>
      <c r="AO238" s="448"/>
      <c r="AP238" s="448"/>
      <c r="AQ238" s="448"/>
      <c r="AR238" s="448"/>
      <c r="AS238" s="448"/>
      <c r="AT238" s="448"/>
      <c r="AU238" s="448"/>
      <c r="AV238" s="448"/>
      <c r="AW238" s="448"/>
      <c r="AX238" s="448"/>
      <c r="AY238" s="448"/>
      <c r="AZ238" s="448"/>
      <c r="BA238" s="448"/>
    </row>
    <row r="239" spans="1:53" x14ac:dyDescent="0.2">
      <c r="A239" s="448"/>
      <c r="B239" s="448"/>
      <c r="C239" s="448"/>
      <c r="D239" s="448"/>
      <c r="E239" s="448"/>
      <c r="F239" s="448"/>
      <c r="G239" s="448"/>
      <c r="H239" s="448"/>
      <c r="I239" s="448"/>
      <c r="J239" s="448"/>
      <c r="K239" s="448"/>
      <c r="L239" s="448"/>
      <c r="M239" s="448"/>
      <c r="N239" s="448"/>
      <c r="O239" s="448"/>
      <c r="P239" s="448"/>
      <c r="Q239" s="448"/>
      <c r="R239" s="448"/>
      <c r="S239" s="448"/>
      <c r="T239" s="448"/>
      <c r="U239" s="448"/>
      <c r="V239" s="448"/>
      <c r="W239" s="448"/>
      <c r="X239" s="448"/>
      <c r="Y239" s="448"/>
      <c r="Z239" s="448"/>
      <c r="AA239" s="448"/>
      <c r="AB239" s="448"/>
      <c r="AC239" s="448"/>
      <c r="AD239" s="448"/>
      <c r="AE239" s="448"/>
      <c r="AF239" s="448"/>
      <c r="AG239" s="448"/>
      <c r="AH239" s="448"/>
      <c r="AI239" s="448"/>
      <c r="AJ239" s="448"/>
      <c r="AK239" s="448"/>
      <c r="AL239" s="448"/>
      <c r="AM239" s="448"/>
      <c r="AN239" s="448"/>
      <c r="AO239" s="448"/>
      <c r="AP239" s="448"/>
      <c r="AQ239" s="448"/>
      <c r="AR239" s="448"/>
      <c r="AS239" s="448"/>
      <c r="AT239" s="448"/>
      <c r="AU239" s="448"/>
      <c r="AV239" s="448"/>
      <c r="AW239" s="448"/>
      <c r="AX239" s="448"/>
      <c r="AY239" s="448"/>
      <c r="AZ239" s="448"/>
      <c r="BA239" s="448"/>
    </row>
    <row r="240" spans="1:53" x14ac:dyDescent="0.2">
      <c r="A240" s="448"/>
      <c r="B240" s="448"/>
      <c r="C240" s="448"/>
      <c r="D240" s="448"/>
      <c r="E240" s="448"/>
      <c r="F240" s="448"/>
      <c r="G240" s="448"/>
      <c r="H240" s="448"/>
      <c r="I240" s="448"/>
      <c r="J240" s="448"/>
      <c r="K240" s="448"/>
      <c r="L240" s="448"/>
      <c r="M240" s="448"/>
      <c r="N240" s="448"/>
      <c r="O240" s="448"/>
      <c r="P240" s="448"/>
      <c r="Q240" s="448"/>
      <c r="R240" s="448"/>
      <c r="S240" s="448"/>
      <c r="T240" s="448"/>
      <c r="U240" s="448"/>
      <c r="V240" s="448"/>
      <c r="W240" s="448"/>
      <c r="X240" s="448"/>
      <c r="Y240" s="448"/>
      <c r="Z240" s="448"/>
      <c r="AA240" s="448"/>
      <c r="AB240" s="448"/>
      <c r="AC240" s="448"/>
      <c r="AD240" s="448"/>
      <c r="AE240" s="448"/>
      <c r="AF240" s="448"/>
      <c r="AG240" s="448"/>
      <c r="AH240" s="448"/>
      <c r="AI240" s="448"/>
      <c r="AJ240" s="448"/>
      <c r="AK240" s="448"/>
      <c r="AL240" s="448"/>
      <c r="AM240" s="448"/>
      <c r="AN240" s="448"/>
      <c r="AO240" s="448"/>
      <c r="AP240" s="448"/>
      <c r="AQ240" s="448"/>
      <c r="AR240" s="448"/>
      <c r="AS240" s="448"/>
      <c r="AT240" s="448"/>
      <c r="AU240" s="448"/>
      <c r="AV240" s="448"/>
      <c r="AW240" s="448"/>
      <c r="AX240" s="448"/>
      <c r="AY240" s="448"/>
      <c r="AZ240" s="448"/>
      <c r="BA240" s="448"/>
    </row>
    <row r="241" spans="1:53" x14ac:dyDescent="0.2">
      <c r="A241" s="448"/>
      <c r="B241" s="448"/>
      <c r="C241" s="448"/>
      <c r="D241" s="448"/>
      <c r="E241" s="448"/>
      <c r="F241" s="448"/>
      <c r="G241" s="448"/>
      <c r="H241" s="448"/>
      <c r="I241" s="448"/>
      <c r="J241" s="448"/>
      <c r="K241" s="448"/>
      <c r="L241" s="448"/>
      <c r="M241" s="448"/>
      <c r="N241" s="448"/>
      <c r="O241" s="448"/>
      <c r="P241" s="448"/>
      <c r="Q241" s="448"/>
      <c r="R241" s="448"/>
      <c r="S241" s="448"/>
      <c r="T241" s="448"/>
      <c r="U241" s="448"/>
      <c r="V241" s="448"/>
      <c r="W241" s="448"/>
      <c r="X241" s="448"/>
      <c r="Y241" s="448"/>
      <c r="Z241" s="448"/>
      <c r="AA241" s="448"/>
      <c r="AB241" s="448"/>
      <c r="AC241" s="448"/>
      <c r="AD241" s="448"/>
      <c r="AE241" s="448"/>
      <c r="AF241" s="448"/>
      <c r="AG241" s="448"/>
      <c r="AH241" s="448"/>
      <c r="AI241" s="448"/>
      <c r="AJ241" s="448"/>
      <c r="AK241" s="448"/>
      <c r="AL241" s="448"/>
      <c r="AM241" s="448"/>
      <c r="AN241" s="448"/>
      <c r="AO241" s="448"/>
      <c r="AP241" s="448"/>
      <c r="AQ241" s="448"/>
      <c r="AR241" s="448"/>
      <c r="AS241" s="448"/>
      <c r="AT241" s="448"/>
      <c r="AU241" s="448"/>
      <c r="AV241" s="448"/>
      <c r="AW241" s="448"/>
      <c r="AX241" s="448"/>
      <c r="AY241" s="448"/>
      <c r="AZ241" s="448"/>
      <c r="BA241" s="448"/>
    </row>
    <row r="242" spans="1:53" x14ac:dyDescent="0.2">
      <c r="A242" s="448"/>
      <c r="B242" s="448"/>
      <c r="C242" s="448"/>
      <c r="D242" s="448"/>
      <c r="E242" s="448"/>
      <c r="F242" s="448"/>
      <c r="G242" s="448"/>
      <c r="H242" s="448"/>
      <c r="I242" s="448"/>
      <c r="J242" s="448"/>
      <c r="K242" s="448"/>
      <c r="L242" s="448"/>
      <c r="M242" s="448"/>
      <c r="N242" s="448"/>
      <c r="O242" s="448"/>
      <c r="P242" s="448"/>
      <c r="Q242" s="448"/>
      <c r="R242" s="448"/>
      <c r="S242" s="448"/>
      <c r="T242" s="448"/>
      <c r="U242" s="448"/>
      <c r="V242" s="448"/>
      <c r="W242" s="448"/>
      <c r="X242" s="448"/>
      <c r="Y242" s="448"/>
      <c r="Z242" s="448"/>
      <c r="AA242" s="448"/>
      <c r="AB242" s="448"/>
      <c r="AC242" s="448"/>
      <c r="AD242" s="448"/>
      <c r="AE242" s="448"/>
      <c r="AF242" s="448"/>
      <c r="AG242" s="448"/>
      <c r="AH242" s="448"/>
      <c r="AI242" s="448"/>
      <c r="AJ242" s="448"/>
      <c r="AK242" s="448"/>
      <c r="AL242" s="448"/>
      <c r="AM242" s="448"/>
      <c r="AN242" s="448"/>
      <c r="AO242" s="448"/>
      <c r="AP242" s="448"/>
      <c r="AQ242" s="448"/>
      <c r="AR242" s="448"/>
      <c r="AS242" s="448"/>
      <c r="AT242" s="448"/>
      <c r="AU242" s="448"/>
      <c r="AV242" s="448"/>
      <c r="AW242" s="448"/>
      <c r="AX242" s="448"/>
      <c r="AY242" s="448"/>
      <c r="AZ242" s="448"/>
      <c r="BA242" s="448"/>
    </row>
    <row r="243" spans="1:53" x14ac:dyDescent="0.2">
      <c r="A243" s="448"/>
      <c r="B243" s="448"/>
      <c r="C243" s="448"/>
      <c r="D243" s="448"/>
      <c r="E243" s="448"/>
      <c r="F243" s="448"/>
      <c r="G243" s="448"/>
      <c r="H243" s="448"/>
      <c r="I243" s="448"/>
      <c r="J243" s="448"/>
      <c r="K243" s="448"/>
      <c r="L243" s="448"/>
      <c r="M243" s="448"/>
      <c r="N243" s="448"/>
      <c r="O243" s="448"/>
      <c r="P243" s="448"/>
      <c r="Q243" s="448"/>
      <c r="R243" s="448"/>
      <c r="S243" s="448"/>
      <c r="T243" s="448"/>
      <c r="U243" s="448"/>
      <c r="V243" s="448"/>
      <c r="W243" s="448"/>
      <c r="X243" s="448"/>
      <c r="Y243" s="448"/>
      <c r="Z243" s="448"/>
      <c r="AA243" s="448"/>
      <c r="AB243" s="448"/>
      <c r="AC243" s="448"/>
      <c r="AD243" s="448"/>
      <c r="AE243" s="448"/>
      <c r="AF243" s="448"/>
      <c r="AG243" s="448"/>
      <c r="AH243" s="448"/>
      <c r="AI243" s="448"/>
      <c r="AJ243" s="448"/>
      <c r="AK243" s="448"/>
      <c r="AL243" s="448"/>
      <c r="AM243" s="448"/>
      <c r="AN243" s="448"/>
      <c r="AO243" s="448"/>
      <c r="AP243" s="448"/>
      <c r="AQ243" s="448"/>
      <c r="AR243" s="448"/>
      <c r="AS243" s="448"/>
      <c r="AT243" s="448"/>
      <c r="AU243" s="448"/>
      <c r="AV243" s="448"/>
      <c r="AW243" s="448"/>
      <c r="AX243" s="448"/>
      <c r="AY243" s="448"/>
      <c r="AZ243" s="448"/>
      <c r="BA243" s="448"/>
    </row>
    <row r="244" spans="1:53" x14ac:dyDescent="0.2">
      <c r="A244" s="448"/>
      <c r="B244" s="448"/>
      <c r="C244" s="448"/>
      <c r="D244" s="448"/>
      <c r="E244" s="448"/>
      <c r="F244" s="448"/>
      <c r="G244" s="448"/>
      <c r="H244" s="448"/>
      <c r="I244" s="448"/>
      <c r="J244" s="448"/>
      <c r="K244" s="448"/>
      <c r="L244" s="448"/>
      <c r="M244" s="448"/>
      <c r="N244" s="448"/>
      <c r="O244" s="448"/>
      <c r="P244" s="448"/>
      <c r="Q244" s="448"/>
      <c r="R244" s="448"/>
      <c r="S244" s="448"/>
      <c r="T244" s="448"/>
      <c r="U244" s="448"/>
      <c r="V244" s="448"/>
      <c r="W244" s="448"/>
      <c r="X244" s="448"/>
      <c r="Y244" s="448"/>
      <c r="Z244" s="448"/>
      <c r="AA244" s="448"/>
      <c r="AB244" s="448"/>
      <c r="AC244" s="448"/>
      <c r="AD244" s="448"/>
      <c r="AE244" s="448"/>
      <c r="AF244" s="448"/>
      <c r="AG244" s="448"/>
      <c r="AH244" s="448"/>
      <c r="AI244" s="448"/>
      <c r="AJ244" s="448"/>
      <c r="AK244" s="448"/>
      <c r="AL244" s="448"/>
      <c r="AM244" s="448"/>
      <c r="AN244" s="448"/>
      <c r="AO244" s="448"/>
      <c r="AP244" s="448"/>
      <c r="AQ244" s="448"/>
      <c r="AR244" s="448"/>
      <c r="AS244" s="448"/>
      <c r="AT244" s="448"/>
      <c r="AU244" s="448"/>
      <c r="AV244" s="448"/>
      <c r="AW244" s="448"/>
      <c r="AX244" s="448"/>
      <c r="AY244" s="448"/>
      <c r="AZ244" s="448"/>
      <c r="BA244" s="448"/>
    </row>
    <row r="245" spans="1:53" x14ac:dyDescent="0.2">
      <c r="A245" s="448"/>
      <c r="B245" s="448"/>
      <c r="C245" s="448"/>
      <c r="D245" s="448"/>
      <c r="E245" s="448"/>
      <c r="F245" s="448"/>
      <c r="G245" s="448"/>
      <c r="H245" s="448"/>
      <c r="I245" s="448"/>
      <c r="J245" s="448"/>
      <c r="K245" s="448"/>
      <c r="L245" s="448"/>
      <c r="M245" s="448"/>
      <c r="N245" s="448"/>
      <c r="O245" s="448"/>
      <c r="P245" s="448"/>
      <c r="Q245" s="448"/>
      <c r="R245" s="448"/>
      <c r="S245" s="448"/>
      <c r="T245" s="448"/>
      <c r="U245" s="448"/>
      <c r="V245" s="448"/>
      <c r="W245" s="448"/>
      <c r="X245" s="448"/>
      <c r="Y245" s="448"/>
      <c r="Z245" s="448"/>
      <c r="AA245" s="448"/>
      <c r="AB245" s="448"/>
      <c r="AC245" s="448"/>
      <c r="AD245" s="448"/>
      <c r="AE245" s="448"/>
      <c r="AF245" s="448"/>
      <c r="AG245" s="448"/>
      <c r="AH245" s="448"/>
      <c r="AI245" s="448"/>
      <c r="AJ245" s="448"/>
      <c r="AK245" s="448"/>
      <c r="AL245" s="448"/>
      <c r="AM245" s="448"/>
      <c r="AN245" s="448"/>
      <c r="AO245" s="448"/>
      <c r="AP245" s="448"/>
      <c r="AQ245" s="448"/>
      <c r="AR245" s="448"/>
      <c r="AS245" s="448"/>
      <c r="AT245" s="448"/>
      <c r="AU245" s="448"/>
      <c r="AV245" s="448"/>
      <c r="AW245" s="448"/>
      <c r="AX245" s="448"/>
      <c r="AY245" s="448"/>
      <c r="AZ245" s="448"/>
      <c r="BA245" s="448"/>
    </row>
    <row r="246" spans="1:53" x14ac:dyDescent="0.2">
      <c r="A246" s="448"/>
      <c r="B246" s="448"/>
      <c r="C246" s="448"/>
      <c r="D246" s="448"/>
      <c r="E246" s="448"/>
      <c r="F246" s="448"/>
      <c r="G246" s="448"/>
      <c r="H246" s="448"/>
      <c r="I246" s="448"/>
      <c r="J246" s="448"/>
      <c r="K246" s="448"/>
      <c r="L246" s="448"/>
      <c r="M246" s="448"/>
      <c r="N246" s="448"/>
      <c r="O246" s="448"/>
      <c r="P246" s="448"/>
      <c r="Q246" s="448"/>
      <c r="R246" s="448"/>
      <c r="S246" s="448"/>
      <c r="T246" s="448"/>
      <c r="U246" s="448"/>
      <c r="V246" s="448"/>
      <c r="W246" s="448"/>
      <c r="X246" s="448"/>
      <c r="Y246" s="448"/>
      <c r="Z246" s="448"/>
      <c r="AA246" s="448"/>
      <c r="AB246" s="448"/>
      <c r="AC246" s="448"/>
      <c r="AD246" s="448"/>
      <c r="AE246" s="448"/>
      <c r="AF246" s="448"/>
      <c r="AG246" s="448"/>
      <c r="AH246" s="448"/>
      <c r="AI246" s="448"/>
      <c r="AJ246" s="448"/>
      <c r="AK246" s="448"/>
      <c r="AL246" s="448"/>
      <c r="AM246" s="448"/>
      <c r="AN246" s="448"/>
      <c r="AO246" s="448"/>
      <c r="AP246" s="448"/>
      <c r="AQ246" s="448"/>
      <c r="AR246" s="448"/>
      <c r="AS246" s="448"/>
      <c r="AT246" s="448"/>
      <c r="AU246" s="448"/>
      <c r="AV246" s="448"/>
      <c r="AW246" s="448"/>
      <c r="AX246" s="448"/>
      <c r="AY246" s="448"/>
      <c r="AZ246" s="448"/>
      <c r="BA246" s="448"/>
    </row>
    <row r="247" spans="1:53" x14ac:dyDescent="0.2">
      <c r="A247" s="448"/>
      <c r="B247" s="448"/>
      <c r="C247" s="448"/>
      <c r="D247" s="448"/>
      <c r="E247" s="448"/>
      <c r="F247" s="448"/>
      <c r="G247" s="448"/>
      <c r="H247" s="448"/>
      <c r="I247" s="448"/>
      <c r="J247" s="448"/>
      <c r="K247" s="448"/>
      <c r="L247" s="448"/>
      <c r="M247" s="448"/>
      <c r="N247" s="448"/>
      <c r="O247" s="448"/>
      <c r="P247" s="448"/>
      <c r="Q247" s="448"/>
      <c r="R247" s="448"/>
      <c r="S247" s="448"/>
      <c r="T247" s="448"/>
      <c r="U247" s="448"/>
      <c r="V247" s="448"/>
      <c r="W247" s="448"/>
      <c r="X247" s="448"/>
      <c r="Y247" s="448"/>
      <c r="Z247" s="448"/>
      <c r="AA247" s="448"/>
      <c r="AB247" s="448"/>
      <c r="AC247" s="448"/>
      <c r="AD247" s="448"/>
      <c r="AE247" s="448"/>
      <c r="AF247" s="448"/>
      <c r="AG247" s="448"/>
      <c r="AH247" s="448"/>
      <c r="AI247" s="448"/>
      <c r="AJ247" s="448"/>
      <c r="AK247" s="448"/>
      <c r="AL247" s="448"/>
      <c r="AM247" s="448"/>
      <c r="AN247" s="448"/>
      <c r="AO247" s="448"/>
      <c r="AP247" s="448"/>
      <c r="AQ247" s="448"/>
      <c r="AR247" s="448"/>
      <c r="AS247" s="448"/>
      <c r="AT247" s="448"/>
      <c r="AU247" s="448"/>
      <c r="AV247" s="448"/>
      <c r="AW247" s="448"/>
      <c r="AX247" s="448"/>
      <c r="AY247" s="448"/>
      <c r="AZ247" s="448"/>
      <c r="BA247" s="448"/>
    </row>
    <row r="248" spans="1:53" x14ac:dyDescent="0.2">
      <c r="A248" s="448"/>
      <c r="B248" s="448"/>
      <c r="C248" s="448"/>
      <c r="D248" s="448"/>
      <c r="E248" s="448"/>
      <c r="F248" s="448"/>
      <c r="G248" s="448"/>
      <c r="H248" s="448"/>
      <c r="I248" s="448"/>
      <c r="J248" s="448"/>
      <c r="K248" s="448"/>
      <c r="L248" s="448"/>
      <c r="M248" s="448"/>
      <c r="N248" s="448"/>
      <c r="O248" s="448"/>
      <c r="P248" s="448"/>
      <c r="Q248" s="448"/>
      <c r="R248" s="448"/>
      <c r="S248" s="448"/>
      <c r="T248" s="448"/>
      <c r="U248" s="448"/>
      <c r="V248" s="448"/>
      <c r="W248" s="448"/>
      <c r="X248" s="448"/>
      <c r="Y248" s="448"/>
      <c r="Z248" s="448"/>
      <c r="AA248" s="448"/>
      <c r="AB248" s="448"/>
      <c r="AC248" s="448"/>
      <c r="AD248" s="448"/>
      <c r="AE248" s="448"/>
      <c r="AF248" s="448"/>
      <c r="AG248" s="448"/>
      <c r="AH248" s="448"/>
      <c r="AI248" s="448"/>
      <c r="AJ248" s="448"/>
      <c r="AK248" s="448"/>
      <c r="AL248" s="448"/>
      <c r="AM248" s="448"/>
      <c r="AN248" s="448"/>
      <c r="AO248" s="448"/>
      <c r="AP248" s="448"/>
      <c r="AQ248" s="448"/>
      <c r="AR248" s="448"/>
      <c r="AS248" s="448"/>
      <c r="AT248" s="448"/>
      <c r="AU248" s="448"/>
      <c r="AV248" s="448"/>
      <c r="AW248" s="448"/>
      <c r="AX248" s="448"/>
      <c r="AY248" s="448"/>
      <c r="AZ248" s="448"/>
      <c r="BA248" s="448"/>
    </row>
    <row r="249" spans="1:53" x14ac:dyDescent="0.2">
      <c r="A249" s="448"/>
      <c r="B249" s="448"/>
      <c r="C249" s="448"/>
      <c r="D249" s="448"/>
      <c r="E249" s="448"/>
      <c r="F249" s="448"/>
      <c r="G249" s="448"/>
      <c r="H249" s="448"/>
      <c r="I249" s="448"/>
      <c r="J249" s="448"/>
      <c r="K249" s="448"/>
      <c r="L249" s="448"/>
      <c r="M249" s="448"/>
      <c r="N249" s="448"/>
      <c r="O249" s="448"/>
      <c r="P249" s="448"/>
      <c r="Q249" s="448"/>
      <c r="R249" s="448"/>
      <c r="S249" s="448"/>
      <c r="T249" s="448"/>
      <c r="U249" s="448"/>
      <c r="V249" s="448"/>
      <c r="W249" s="448"/>
      <c r="X249" s="448"/>
      <c r="Y249" s="448"/>
      <c r="Z249" s="448"/>
      <c r="AA249" s="448"/>
      <c r="AB249" s="448"/>
      <c r="AC249" s="448"/>
      <c r="AD249" s="448"/>
      <c r="AE249" s="448"/>
      <c r="AF249" s="448"/>
      <c r="AG249" s="448"/>
      <c r="AH249" s="448"/>
      <c r="AI249" s="448"/>
      <c r="AJ249" s="448"/>
      <c r="AK249" s="448"/>
      <c r="AL249" s="448"/>
      <c r="AM249" s="448"/>
      <c r="AN249" s="448"/>
      <c r="AO249" s="448"/>
      <c r="AP249" s="448"/>
      <c r="AQ249" s="448"/>
      <c r="AR249" s="448"/>
      <c r="AS249" s="448"/>
      <c r="AT249" s="448"/>
      <c r="AU249" s="448"/>
      <c r="AV249" s="448"/>
      <c r="AW249" s="448"/>
      <c r="AX249" s="448"/>
      <c r="AY249" s="448"/>
      <c r="AZ249" s="448"/>
      <c r="BA249" s="448"/>
    </row>
    <row r="250" spans="1:53" x14ac:dyDescent="0.2">
      <c r="A250" s="448"/>
      <c r="B250" s="448"/>
      <c r="C250" s="448"/>
      <c r="D250" s="448"/>
      <c r="E250" s="448"/>
      <c r="F250" s="448"/>
      <c r="G250" s="448"/>
      <c r="H250" s="448"/>
      <c r="I250" s="448"/>
      <c r="J250" s="448"/>
      <c r="K250" s="448"/>
      <c r="L250" s="448"/>
      <c r="M250" s="448"/>
      <c r="N250" s="448"/>
      <c r="O250" s="448"/>
      <c r="P250" s="448"/>
      <c r="Q250" s="448"/>
      <c r="R250" s="448"/>
      <c r="S250" s="448"/>
      <c r="T250" s="448"/>
      <c r="U250" s="448"/>
      <c r="V250" s="448"/>
      <c r="W250" s="448"/>
      <c r="X250" s="448"/>
      <c r="Y250" s="448"/>
      <c r="Z250" s="448"/>
      <c r="AA250" s="448"/>
      <c r="AB250" s="448"/>
      <c r="AC250" s="448"/>
      <c r="AD250" s="448"/>
      <c r="AE250" s="448"/>
      <c r="AF250" s="448"/>
      <c r="AG250" s="448"/>
      <c r="AH250" s="448"/>
      <c r="AI250" s="448"/>
      <c r="AJ250" s="448"/>
      <c r="AK250" s="448"/>
      <c r="AL250" s="448"/>
      <c r="AM250" s="448"/>
      <c r="AN250" s="448"/>
      <c r="AO250" s="448"/>
      <c r="AP250" s="448"/>
      <c r="AQ250" s="448"/>
      <c r="AR250" s="448"/>
      <c r="AS250" s="448"/>
      <c r="AT250" s="448"/>
      <c r="AU250" s="448"/>
      <c r="AV250" s="448"/>
      <c r="AW250" s="448"/>
      <c r="AX250" s="448"/>
      <c r="AY250" s="448"/>
      <c r="AZ250" s="448"/>
      <c r="BA250" s="448"/>
    </row>
    <row r="251" spans="1:53" x14ac:dyDescent="0.2">
      <c r="A251" s="448"/>
      <c r="B251" s="448"/>
      <c r="C251" s="448"/>
      <c r="D251" s="448"/>
      <c r="E251" s="448"/>
      <c r="F251" s="448"/>
      <c r="G251" s="448"/>
      <c r="H251" s="448"/>
      <c r="I251" s="448"/>
      <c r="J251" s="448"/>
      <c r="K251" s="448"/>
      <c r="L251" s="448"/>
      <c r="M251" s="448"/>
      <c r="N251" s="448"/>
      <c r="O251" s="448"/>
      <c r="P251" s="448"/>
      <c r="Q251" s="448"/>
      <c r="R251" s="448"/>
      <c r="S251" s="448"/>
      <c r="T251" s="448"/>
      <c r="U251" s="448"/>
      <c r="V251" s="448"/>
      <c r="W251" s="448"/>
      <c r="X251" s="448"/>
      <c r="Y251" s="448"/>
      <c r="Z251" s="448"/>
      <c r="AA251" s="448"/>
      <c r="AB251" s="448"/>
      <c r="AC251" s="448"/>
      <c r="AD251" s="448"/>
      <c r="AE251" s="448"/>
      <c r="AF251" s="448"/>
      <c r="AG251" s="448"/>
      <c r="AH251" s="448"/>
      <c r="AI251" s="448"/>
      <c r="AJ251" s="448"/>
      <c r="AK251" s="448"/>
      <c r="AL251" s="448"/>
      <c r="AM251" s="448"/>
      <c r="AN251" s="448"/>
      <c r="AO251" s="448"/>
      <c r="AP251" s="448"/>
      <c r="AQ251" s="448"/>
      <c r="AR251" s="448"/>
      <c r="AS251" s="448"/>
      <c r="AT251" s="448"/>
      <c r="AU251" s="448"/>
      <c r="AV251" s="448"/>
      <c r="AW251" s="448"/>
      <c r="AX251" s="448"/>
      <c r="AY251" s="448"/>
      <c r="AZ251" s="448"/>
      <c r="BA251" s="448"/>
    </row>
    <row r="252" spans="1:53" x14ac:dyDescent="0.2">
      <c r="A252" s="448"/>
      <c r="B252" s="448"/>
      <c r="C252" s="448"/>
      <c r="D252" s="448"/>
      <c r="E252" s="448"/>
      <c r="F252" s="448"/>
      <c r="G252" s="448"/>
      <c r="H252" s="448"/>
      <c r="I252" s="448"/>
      <c r="J252" s="448"/>
      <c r="K252" s="448"/>
      <c r="L252" s="448"/>
      <c r="M252" s="448"/>
      <c r="N252" s="448"/>
      <c r="O252" s="448"/>
      <c r="P252" s="448"/>
      <c r="Q252" s="448"/>
      <c r="R252" s="448"/>
      <c r="S252" s="448"/>
      <c r="T252" s="448"/>
      <c r="U252" s="448"/>
      <c r="V252" s="448"/>
      <c r="W252" s="448"/>
      <c r="X252" s="448"/>
      <c r="Y252" s="448"/>
      <c r="Z252" s="448"/>
      <c r="AA252" s="448"/>
      <c r="AB252" s="448"/>
      <c r="AC252" s="448"/>
      <c r="AD252" s="448"/>
      <c r="AE252" s="448"/>
      <c r="AF252" s="448"/>
      <c r="AG252" s="448"/>
      <c r="AH252" s="448"/>
      <c r="AI252" s="448"/>
      <c r="AJ252" s="448"/>
      <c r="AK252" s="448"/>
      <c r="AL252" s="448"/>
      <c r="AM252" s="448"/>
      <c r="AN252" s="448"/>
      <c r="AO252" s="448"/>
      <c r="AP252" s="448"/>
      <c r="AQ252" s="448"/>
      <c r="AR252" s="448"/>
      <c r="AS252" s="448"/>
      <c r="AT252" s="448"/>
      <c r="AU252" s="448"/>
      <c r="AV252" s="448"/>
      <c r="AW252" s="448"/>
      <c r="AX252" s="448"/>
      <c r="AY252" s="448"/>
      <c r="AZ252" s="448"/>
      <c r="BA252" s="448"/>
    </row>
    <row r="253" spans="1:53" x14ac:dyDescent="0.2">
      <c r="A253" s="448"/>
      <c r="B253" s="448"/>
      <c r="C253" s="448"/>
      <c r="D253" s="448"/>
      <c r="E253" s="448"/>
      <c r="F253" s="448"/>
      <c r="G253" s="448"/>
      <c r="H253" s="448"/>
      <c r="I253" s="448"/>
      <c r="J253" s="448"/>
      <c r="K253" s="448"/>
      <c r="L253" s="448"/>
      <c r="M253" s="448"/>
      <c r="N253" s="448"/>
      <c r="O253" s="448"/>
      <c r="P253" s="448"/>
      <c r="Q253" s="448"/>
      <c r="R253" s="448"/>
      <c r="S253" s="448"/>
      <c r="T253" s="448"/>
      <c r="U253" s="448"/>
      <c r="V253" s="448"/>
      <c r="W253" s="448"/>
      <c r="X253" s="448"/>
      <c r="Y253" s="448"/>
      <c r="Z253" s="448"/>
      <c r="AA253" s="448"/>
      <c r="AB253" s="448"/>
      <c r="AC253" s="448"/>
      <c r="AD253" s="448"/>
      <c r="AE253" s="448"/>
      <c r="AF253" s="448"/>
      <c r="AG253" s="448"/>
      <c r="AH253" s="448"/>
      <c r="AI253" s="448"/>
      <c r="AJ253" s="448"/>
      <c r="AK253" s="448"/>
      <c r="AL253" s="448"/>
      <c r="AM253" s="448"/>
      <c r="AN253" s="448"/>
      <c r="AO253" s="448"/>
      <c r="AP253" s="448"/>
      <c r="AQ253" s="448"/>
      <c r="AR253" s="448"/>
      <c r="AS253" s="448"/>
      <c r="AT253" s="448"/>
      <c r="AU253" s="448"/>
      <c r="AV253" s="448"/>
      <c r="AW253" s="448"/>
      <c r="AX253" s="448"/>
      <c r="AY253" s="448"/>
      <c r="AZ253" s="448"/>
      <c r="BA253" s="448"/>
    </row>
    <row r="254" spans="1:53" x14ac:dyDescent="0.2">
      <c r="A254" s="448"/>
      <c r="B254" s="448"/>
      <c r="C254" s="448"/>
      <c r="D254" s="448"/>
      <c r="E254" s="448"/>
      <c r="F254" s="448"/>
      <c r="G254" s="448"/>
      <c r="H254" s="448"/>
      <c r="I254" s="448"/>
      <c r="J254" s="448"/>
      <c r="K254" s="448"/>
      <c r="L254" s="448"/>
      <c r="M254" s="448"/>
      <c r="N254" s="448"/>
      <c r="O254" s="448"/>
      <c r="P254" s="448"/>
      <c r="Q254" s="448"/>
      <c r="R254" s="448"/>
      <c r="S254" s="448"/>
      <c r="T254" s="448"/>
      <c r="U254" s="448"/>
      <c r="V254" s="448"/>
      <c r="W254" s="448"/>
      <c r="X254" s="448"/>
      <c r="Y254" s="448"/>
      <c r="Z254" s="448"/>
      <c r="AA254" s="448"/>
      <c r="AB254" s="448"/>
      <c r="AC254" s="448"/>
      <c r="AD254" s="448"/>
      <c r="AE254" s="448"/>
      <c r="AF254" s="448"/>
      <c r="AG254" s="448"/>
      <c r="AH254" s="448"/>
      <c r="AI254" s="448"/>
      <c r="AJ254" s="448"/>
      <c r="AK254" s="448"/>
      <c r="AL254" s="448"/>
      <c r="AM254" s="448"/>
      <c r="AN254" s="448"/>
      <c r="AO254" s="448"/>
      <c r="AP254" s="448"/>
      <c r="AQ254" s="448"/>
      <c r="AR254" s="448"/>
      <c r="AS254" s="448"/>
      <c r="AT254" s="448"/>
      <c r="AU254" s="448"/>
      <c r="AV254" s="448"/>
      <c r="AW254" s="448"/>
      <c r="AX254" s="448"/>
      <c r="AY254" s="448"/>
      <c r="AZ254" s="448"/>
      <c r="BA254" s="448"/>
    </row>
    <row r="255" spans="1:53" x14ac:dyDescent="0.2">
      <c r="A255" s="448"/>
      <c r="B255" s="448"/>
      <c r="C255" s="448"/>
      <c r="D255" s="448"/>
      <c r="E255" s="448"/>
      <c r="F255" s="448"/>
      <c r="G255" s="448"/>
      <c r="H255" s="448"/>
      <c r="I255" s="448"/>
      <c r="J255" s="448"/>
      <c r="K255" s="448"/>
      <c r="L255" s="448"/>
      <c r="M255" s="448"/>
      <c r="N255" s="448"/>
      <c r="O255" s="448"/>
      <c r="P255" s="448"/>
      <c r="Q255" s="448"/>
      <c r="R255" s="448"/>
      <c r="S255" s="448"/>
      <c r="T255" s="448"/>
      <c r="U255" s="448"/>
      <c r="V255" s="448"/>
      <c r="W255" s="448"/>
      <c r="X255" s="448"/>
      <c r="Y255" s="448"/>
      <c r="Z255" s="448"/>
      <c r="AA255" s="448"/>
      <c r="AB255" s="448"/>
      <c r="AC255" s="448"/>
      <c r="AD255" s="448"/>
      <c r="AE255" s="448"/>
      <c r="AF255" s="448"/>
      <c r="AG255" s="448"/>
      <c r="AH255" s="448"/>
      <c r="AI255" s="448"/>
      <c r="AJ255" s="448"/>
      <c r="AK255" s="448"/>
      <c r="AL255" s="448"/>
      <c r="AM255" s="448"/>
      <c r="AN255" s="448"/>
      <c r="AO255" s="448"/>
      <c r="AP255" s="448"/>
      <c r="AQ255" s="448"/>
      <c r="AR255" s="448"/>
      <c r="AS255" s="448"/>
      <c r="AT255" s="448"/>
      <c r="AU255" s="448"/>
      <c r="AV255" s="448"/>
      <c r="AW255" s="448"/>
      <c r="AX255" s="448"/>
      <c r="AY255" s="448"/>
      <c r="AZ255" s="448"/>
      <c r="BA255" s="448"/>
    </row>
    <row r="256" spans="1:53" x14ac:dyDescent="0.2">
      <c r="A256" s="448"/>
      <c r="B256" s="448"/>
      <c r="C256" s="448"/>
      <c r="D256" s="448"/>
      <c r="E256" s="448"/>
      <c r="F256" s="448"/>
      <c r="G256" s="448"/>
      <c r="H256" s="448"/>
      <c r="I256" s="448"/>
      <c r="J256" s="448"/>
      <c r="K256" s="448"/>
      <c r="L256" s="448"/>
      <c r="M256" s="448"/>
      <c r="N256" s="448"/>
      <c r="O256" s="448"/>
      <c r="P256" s="448"/>
      <c r="Q256" s="448"/>
      <c r="R256" s="448"/>
      <c r="S256" s="448"/>
      <c r="T256" s="448"/>
      <c r="U256" s="448"/>
      <c r="V256" s="448"/>
      <c r="W256" s="448"/>
      <c r="X256" s="448"/>
      <c r="Y256" s="448"/>
      <c r="Z256" s="448"/>
      <c r="AA256" s="448"/>
      <c r="AB256" s="448"/>
      <c r="AC256" s="448"/>
      <c r="AD256" s="448"/>
      <c r="AE256" s="448"/>
      <c r="AF256" s="448"/>
      <c r="AG256" s="448"/>
      <c r="AH256" s="448"/>
      <c r="AI256" s="448"/>
      <c r="AJ256" s="448"/>
      <c r="AK256" s="448"/>
      <c r="AL256" s="448"/>
      <c r="AM256" s="448"/>
      <c r="AN256" s="448"/>
      <c r="AO256" s="448"/>
      <c r="AP256" s="448"/>
      <c r="AQ256" s="448"/>
      <c r="AR256" s="448"/>
      <c r="AS256" s="448"/>
      <c r="AT256" s="448"/>
      <c r="AU256" s="448"/>
      <c r="AV256" s="448"/>
      <c r="AW256" s="448"/>
      <c r="AX256" s="448"/>
      <c r="AY256" s="448"/>
      <c r="AZ256" s="448"/>
      <c r="BA256" s="448"/>
    </row>
    <row r="257" spans="1:53" x14ac:dyDescent="0.2">
      <c r="A257" s="448"/>
      <c r="B257" s="448"/>
      <c r="C257" s="448"/>
      <c r="D257" s="448"/>
      <c r="E257" s="448"/>
      <c r="F257" s="448"/>
      <c r="G257" s="448"/>
      <c r="H257" s="448"/>
      <c r="I257" s="448"/>
      <c r="J257" s="448"/>
      <c r="K257" s="448"/>
      <c r="L257" s="448"/>
      <c r="M257" s="448"/>
      <c r="N257" s="448"/>
      <c r="O257" s="448"/>
      <c r="P257" s="448"/>
      <c r="Q257" s="448"/>
      <c r="R257" s="448"/>
      <c r="S257" s="448"/>
      <c r="T257" s="448"/>
      <c r="U257" s="448"/>
      <c r="V257" s="448"/>
      <c r="W257" s="448"/>
      <c r="X257" s="448"/>
      <c r="Y257" s="448"/>
      <c r="Z257" s="448"/>
      <c r="AA257" s="448"/>
      <c r="AB257" s="448"/>
      <c r="AC257" s="448"/>
      <c r="AD257" s="448"/>
      <c r="AE257" s="448"/>
      <c r="AF257" s="448"/>
      <c r="AG257" s="448"/>
      <c r="AH257" s="448"/>
      <c r="AI257" s="448"/>
      <c r="AJ257" s="448"/>
      <c r="AK257" s="448"/>
      <c r="AL257" s="448"/>
      <c r="AM257" s="448"/>
      <c r="AN257" s="448"/>
      <c r="AO257" s="448"/>
      <c r="AP257" s="448"/>
      <c r="AQ257" s="448"/>
      <c r="AR257" s="448"/>
      <c r="AS257" s="448"/>
      <c r="AT257" s="448"/>
      <c r="AU257" s="448"/>
      <c r="AV257" s="448"/>
      <c r="AW257" s="448"/>
      <c r="AX257" s="448"/>
      <c r="AY257" s="448"/>
      <c r="AZ257" s="448"/>
      <c r="BA257" s="448"/>
    </row>
    <row r="258" spans="1:53" x14ac:dyDescent="0.2">
      <c r="A258" s="448"/>
      <c r="B258" s="448"/>
      <c r="C258" s="448"/>
      <c r="D258" s="448"/>
      <c r="E258" s="448"/>
      <c r="F258" s="448"/>
      <c r="G258" s="448"/>
      <c r="H258" s="448"/>
      <c r="I258" s="448"/>
      <c r="J258" s="448"/>
      <c r="K258" s="448"/>
      <c r="L258" s="448"/>
      <c r="M258" s="448"/>
      <c r="N258" s="448"/>
      <c r="O258" s="448"/>
      <c r="P258" s="448"/>
      <c r="Q258" s="448"/>
      <c r="R258" s="448"/>
      <c r="S258" s="448"/>
      <c r="T258" s="448"/>
      <c r="U258" s="448"/>
      <c r="V258" s="448"/>
      <c r="W258" s="448"/>
      <c r="X258" s="448"/>
      <c r="Y258" s="448"/>
      <c r="Z258" s="448"/>
      <c r="AA258" s="448"/>
      <c r="AB258" s="448"/>
      <c r="AC258" s="448"/>
      <c r="AD258" s="448"/>
      <c r="AE258" s="448"/>
      <c r="AF258" s="448"/>
      <c r="AG258" s="448"/>
      <c r="AH258" s="448"/>
      <c r="AI258" s="448"/>
      <c r="AJ258" s="448"/>
      <c r="AK258" s="448"/>
      <c r="AL258" s="448"/>
      <c r="AM258" s="448"/>
      <c r="AN258" s="448"/>
      <c r="AO258" s="448"/>
      <c r="AP258" s="448"/>
      <c r="AQ258" s="448"/>
      <c r="AR258" s="448"/>
      <c r="AS258" s="448"/>
      <c r="AT258" s="448"/>
      <c r="AU258" s="448"/>
      <c r="AV258" s="448"/>
      <c r="AW258" s="448"/>
      <c r="AX258" s="448"/>
      <c r="AY258" s="448"/>
      <c r="AZ258" s="448"/>
      <c r="BA258" s="448"/>
    </row>
    <row r="259" spans="1:53" x14ac:dyDescent="0.2">
      <c r="A259" s="448"/>
      <c r="B259" s="448"/>
      <c r="C259" s="448"/>
      <c r="D259" s="448"/>
      <c r="E259" s="448"/>
      <c r="F259" s="448"/>
      <c r="G259" s="448"/>
      <c r="H259" s="448"/>
      <c r="I259" s="448"/>
      <c r="J259" s="448"/>
      <c r="K259" s="448"/>
      <c r="L259" s="448"/>
      <c r="M259" s="448"/>
      <c r="N259" s="448"/>
      <c r="O259" s="448"/>
      <c r="P259" s="448"/>
      <c r="Q259" s="448"/>
      <c r="R259" s="448"/>
      <c r="S259" s="448"/>
      <c r="T259" s="448"/>
      <c r="U259" s="448"/>
      <c r="V259" s="448"/>
      <c r="W259" s="448"/>
      <c r="X259" s="448"/>
      <c r="Y259" s="448"/>
      <c r="Z259" s="448"/>
      <c r="AA259" s="448"/>
      <c r="AB259" s="448"/>
      <c r="AC259" s="448"/>
      <c r="AD259" s="448"/>
      <c r="AE259" s="448"/>
      <c r="AF259" s="448"/>
      <c r="AG259" s="448"/>
      <c r="AH259" s="448"/>
      <c r="AI259" s="448"/>
      <c r="AJ259" s="448"/>
      <c r="AK259" s="448"/>
      <c r="AL259" s="448"/>
      <c r="AM259" s="448"/>
      <c r="AN259" s="448"/>
      <c r="AO259" s="448"/>
      <c r="AP259" s="448"/>
      <c r="AQ259" s="448"/>
      <c r="AR259" s="448"/>
      <c r="AS259" s="448"/>
      <c r="AT259" s="448"/>
      <c r="AU259" s="448"/>
      <c r="AV259" s="448"/>
      <c r="AW259" s="448"/>
      <c r="AX259" s="448"/>
      <c r="AY259" s="448"/>
      <c r="AZ259" s="448"/>
      <c r="BA259" s="448"/>
    </row>
    <row r="260" spans="1:53" x14ac:dyDescent="0.2">
      <c r="A260" s="448"/>
      <c r="B260" s="448"/>
      <c r="C260" s="448"/>
      <c r="D260" s="448"/>
      <c r="E260" s="448"/>
      <c r="F260" s="448"/>
      <c r="G260" s="448"/>
      <c r="H260" s="448"/>
      <c r="I260" s="448"/>
      <c r="J260" s="448"/>
      <c r="K260" s="448"/>
      <c r="L260" s="448"/>
      <c r="M260" s="448"/>
      <c r="N260" s="448"/>
      <c r="O260" s="448"/>
      <c r="P260" s="448"/>
      <c r="Q260" s="448"/>
      <c r="R260" s="448"/>
      <c r="S260" s="448"/>
      <c r="T260" s="448"/>
      <c r="U260" s="448"/>
      <c r="V260" s="448"/>
      <c r="W260" s="448"/>
      <c r="X260" s="448"/>
      <c r="Y260" s="448"/>
      <c r="Z260" s="448"/>
      <c r="AA260" s="448"/>
      <c r="AB260" s="448"/>
      <c r="AC260" s="448"/>
      <c r="AD260" s="448"/>
      <c r="AE260" s="448"/>
      <c r="AF260" s="448"/>
      <c r="AG260" s="448"/>
      <c r="AH260" s="448"/>
      <c r="AI260" s="448"/>
      <c r="AJ260" s="448"/>
      <c r="AK260" s="448"/>
      <c r="AL260" s="448"/>
      <c r="AM260" s="448"/>
      <c r="AN260" s="448"/>
      <c r="AO260" s="448"/>
      <c r="AP260" s="448"/>
      <c r="AQ260" s="448"/>
      <c r="AR260" s="448"/>
      <c r="AS260" s="448"/>
      <c r="AT260" s="448"/>
      <c r="AU260" s="448"/>
      <c r="AV260" s="448"/>
      <c r="AW260" s="448"/>
      <c r="AX260" s="448"/>
      <c r="AY260" s="448"/>
      <c r="AZ260" s="448"/>
      <c r="BA260" s="448"/>
    </row>
    <row r="261" spans="1:53" x14ac:dyDescent="0.2">
      <c r="A261" s="448"/>
      <c r="B261" s="448"/>
      <c r="C261" s="448"/>
      <c r="D261" s="448"/>
      <c r="E261" s="448"/>
      <c r="F261" s="448"/>
      <c r="G261" s="448"/>
      <c r="H261" s="448"/>
      <c r="I261" s="448"/>
      <c r="J261" s="448"/>
      <c r="K261" s="448"/>
      <c r="L261" s="448"/>
      <c r="M261" s="448"/>
      <c r="N261" s="448"/>
      <c r="O261" s="448"/>
      <c r="P261" s="448"/>
      <c r="Q261" s="448"/>
      <c r="R261" s="448"/>
      <c r="S261" s="448"/>
      <c r="T261" s="448"/>
      <c r="U261" s="448"/>
      <c r="V261" s="448"/>
      <c r="W261" s="448"/>
      <c r="X261" s="448"/>
      <c r="Y261" s="448"/>
      <c r="Z261" s="448"/>
      <c r="AA261" s="448"/>
      <c r="AB261" s="448"/>
      <c r="AC261" s="448"/>
      <c r="AD261" s="448"/>
      <c r="AE261" s="448"/>
      <c r="AF261" s="448"/>
      <c r="AG261" s="448"/>
      <c r="AH261" s="448"/>
      <c r="AI261" s="448"/>
      <c r="AJ261" s="448"/>
      <c r="AK261" s="448"/>
      <c r="AL261" s="448"/>
      <c r="AM261" s="448"/>
      <c r="AN261" s="448"/>
      <c r="AO261" s="448"/>
      <c r="AP261" s="448"/>
      <c r="AQ261" s="448"/>
      <c r="AR261" s="448"/>
      <c r="AS261" s="448"/>
      <c r="AT261" s="448"/>
      <c r="AU261" s="448"/>
      <c r="AV261" s="448"/>
      <c r="AW261" s="448"/>
      <c r="AX261" s="448"/>
      <c r="AY261" s="448"/>
      <c r="AZ261" s="448"/>
      <c r="BA261" s="448"/>
    </row>
    <row r="262" spans="1:53" x14ac:dyDescent="0.2">
      <c r="A262" s="448"/>
      <c r="B262" s="448"/>
      <c r="C262" s="448"/>
      <c r="D262" s="448"/>
      <c r="E262" s="448"/>
      <c r="F262" s="448"/>
      <c r="G262" s="448"/>
      <c r="H262" s="448"/>
      <c r="I262" s="448"/>
      <c r="J262" s="448"/>
      <c r="K262" s="448"/>
      <c r="L262" s="448"/>
      <c r="M262" s="448"/>
      <c r="N262" s="448"/>
      <c r="O262" s="448"/>
      <c r="P262" s="448"/>
      <c r="Q262" s="448"/>
      <c r="R262" s="448"/>
      <c r="S262" s="448"/>
      <c r="T262" s="448"/>
      <c r="U262" s="448"/>
      <c r="V262" s="448"/>
      <c r="W262" s="448"/>
      <c r="X262" s="448"/>
      <c r="Y262" s="448"/>
      <c r="Z262" s="448"/>
      <c r="AA262" s="448"/>
      <c r="AB262" s="448"/>
      <c r="AC262" s="448"/>
      <c r="AD262" s="448"/>
      <c r="AE262" s="448"/>
      <c r="AF262" s="448"/>
      <c r="AG262" s="448"/>
      <c r="AH262" s="448"/>
      <c r="AI262" s="448"/>
      <c r="AJ262" s="448"/>
      <c r="AK262" s="448"/>
      <c r="AL262" s="448"/>
      <c r="AM262" s="448"/>
      <c r="AN262" s="448"/>
      <c r="AO262" s="448"/>
      <c r="AP262" s="448"/>
      <c r="AQ262" s="448"/>
      <c r="AR262" s="448"/>
      <c r="AS262" s="448"/>
      <c r="AT262" s="448"/>
      <c r="AU262" s="448"/>
      <c r="AV262" s="448"/>
      <c r="AW262" s="448"/>
      <c r="AX262" s="448"/>
      <c r="AY262" s="448"/>
      <c r="AZ262" s="448"/>
      <c r="BA262" s="448"/>
    </row>
    <row r="263" spans="1:53" x14ac:dyDescent="0.2">
      <c r="A263" s="448"/>
      <c r="B263" s="448"/>
      <c r="C263" s="448"/>
      <c r="D263" s="448"/>
      <c r="E263" s="448"/>
      <c r="F263" s="448"/>
      <c r="G263" s="448"/>
      <c r="H263" s="448"/>
      <c r="I263" s="448"/>
      <c r="J263" s="448"/>
      <c r="K263" s="448"/>
      <c r="L263" s="448"/>
      <c r="M263" s="448"/>
      <c r="N263" s="448"/>
      <c r="O263" s="448"/>
      <c r="P263" s="448"/>
      <c r="Q263" s="448"/>
      <c r="R263" s="448"/>
      <c r="S263" s="448"/>
      <c r="T263" s="448"/>
      <c r="U263" s="448"/>
      <c r="V263" s="448"/>
      <c r="W263" s="448"/>
      <c r="X263" s="448"/>
      <c r="Y263" s="448"/>
      <c r="Z263" s="448"/>
      <c r="AA263" s="448"/>
      <c r="AB263" s="448"/>
      <c r="AC263" s="448"/>
      <c r="AD263" s="448"/>
      <c r="AE263" s="448"/>
      <c r="AF263" s="448"/>
      <c r="AG263" s="448"/>
      <c r="AH263" s="448"/>
      <c r="AI263" s="448"/>
      <c r="AJ263" s="448"/>
      <c r="AK263" s="448"/>
      <c r="AL263" s="448"/>
      <c r="AM263" s="448"/>
      <c r="AN263" s="448"/>
      <c r="AO263" s="448"/>
      <c r="AP263" s="448"/>
      <c r="AQ263" s="448"/>
      <c r="AR263" s="448"/>
      <c r="AS263" s="448"/>
      <c r="AT263" s="448"/>
      <c r="AU263" s="448"/>
      <c r="AV263" s="448"/>
      <c r="AW263" s="448"/>
      <c r="AX263" s="448"/>
      <c r="AY263" s="448"/>
      <c r="AZ263" s="448"/>
      <c r="BA263" s="448"/>
    </row>
    <row r="264" spans="1:53" x14ac:dyDescent="0.2">
      <c r="A264" s="448"/>
      <c r="B264" s="448"/>
      <c r="C264" s="448"/>
      <c r="D264" s="448"/>
      <c r="E264" s="448"/>
      <c r="F264" s="448"/>
      <c r="G264" s="448"/>
      <c r="H264" s="448"/>
      <c r="I264" s="448"/>
      <c r="J264" s="448"/>
      <c r="K264" s="448"/>
      <c r="L264" s="448"/>
      <c r="M264" s="448"/>
      <c r="N264" s="448"/>
      <c r="O264" s="448"/>
      <c r="P264" s="448"/>
      <c r="Q264" s="448"/>
      <c r="R264" s="448"/>
      <c r="S264" s="448"/>
      <c r="T264" s="448"/>
      <c r="U264" s="448"/>
      <c r="V264" s="448"/>
      <c r="W264" s="448"/>
      <c r="X264" s="448"/>
      <c r="Y264" s="448"/>
      <c r="Z264" s="448"/>
      <c r="AA264" s="448"/>
      <c r="AB264" s="448"/>
      <c r="AC264" s="448"/>
      <c r="AD264" s="448"/>
      <c r="AE264" s="448"/>
      <c r="AF264" s="448"/>
      <c r="AG264" s="448"/>
      <c r="AH264" s="448"/>
      <c r="AI264" s="448"/>
      <c r="AJ264" s="448"/>
      <c r="AK264" s="448"/>
      <c r="AL264" s="448"/>
      <c r="AM264" s="448"/>
      <c r="AN264" s="448"/>
      <c r="AO264" s="448"/>
      <c r="AP264" s="448"/>
      <c r="AQ264" s="448"/>
      <c r="AR264" s="448"/>
      <c r="AS264" s="448"/>
      <c r="AT264" s="448"/>
      <c r="AU264" s="448"/>
      <c r="AV264" s="448"/>
      <c r="AW264" s="448"/>
      <c r="AX264" s="448"/>
      <c r="AY264" s="448"/>
      <c r="AZ264" s="448"/>
      <c r="BA264" s="448"/>
    </row>
    <row r="265" spans="1:53" x14ac:dyDescent="0.2">
      <c r="A265" s="448"/>
      <c r="B265" s="448"/>
      <c r="C265" s="448"/>
      <c r="D265" s="448"/>
      <c r="E265" s="448"/>
      <c r="F265" s="448"/>
      <c r="G265" s="448"/>
      <c r="H265" s="448"/>
      <c r="I265" s="448"/>
      <c r="J265" s="448"/>
      <c r="K265" s="448"/>
      <c r="L265" s="448"/>
      <c r="M265" s="448"/>
      <c r="N265" s="448"/>
      <c r="O265" s="448"/>
      <c r="P265" s="448"/>
      <c r="Q265" s="448"/>
      <c r="R265" s="448"/>
      <c r="S265" s="448"/>
      <c r="T265" s="448"/>
      <c r="U265" s="448"/>
      <c r="V265" s="448"/>
      <c r="W265" s="448"/>
      <c r="X265" s="448"/>
      <c r="Y265" s="448"/>
      <c r="Z265" s="448"/>
      <c r="AA265" s="448"/>
      <c r="AB265" s="448"/>
      <c r="AC265" s="448"/>
      <c r="AD265" s="448"/>
      <c r="AE265" s="448"/>
      <c r="AF265" s="448"/>
      <c r="AG265" s="448"/>
      <c r="AH265" s="448"/>
      <c r="AI265" s="448"/>
      <c r="AJ265" s="448"/>
      <c r="AK265" s="448"/>
      <c r="AL265" s="448"/>
      <c r="AM265" s="448"/>
      <c r="AN265" s="448"/>
      <c r="AO265" s="448"/>
      <c r="AP265" s="448"/>
      <c r="AQ265" s="448"/>
      <c r="AR265" s="448"/>
      <c r="AS265" s="448"/>
      <c r="AT265" s="448"/>
      <c r="AU265" s="448"/>
      <c r="AV265" s="448"/>
      <c r="AW265" s="448"/>
      <c r="AX265" s="448"/>
      <c r="AY265" s="448"/>
      <c r="AZ265" s="448"/>
      <c r="BA265" s="448"/>
    </row>
    <row r="266" spans="1:53" x14ac:dyDescent="0.2">
      <c r="A266" s="448"/>
      <c r="B266" s="448"/>
      <c r="C266" s="448"/>
      <c r="D266" s="448"/>
      <c r="E266" s="448"/>
      <c r="F266" s="448"/>
      <c r="G266" s="448"/>
      <c r="H266" s="448"/>
      <c r="I266" s="448"/>
      <c r="J266" s="448"/>
      <c r="K266" s="448"/>
      <c r="L266" s="448"/>
      <c r="M266" s="448"/>
      <c r="N266" s="448"/>
      <c r="O266" s="448"/>
      <c r="P266" s="448"/>
      <c r="Q266" s="448"/>
      <c r="R266" s="448"/>
      <c r="S266" s="448"/>
      <c r="T266" s="448"/>
      <c r="U266" s="448"/>
      <c r="V266" s="448"/>
      <c r="W266" s="448"/>
      <c r="X266" s="448"/>
      <c r="Y266" s="448"/>
      <c r="Z266" s="448"/>
      <c r="AA266" s="448"/>
      <c r="AB266" s="448"/>
      <c r="AC266" s="448"/>
      <c r="AD266" s="448"/>
      <c r="AE266" s="448"/>
      <c r="AF266" s="448"/>
      <c r="AG266" s="448"/>
      <c r="AH266" s="448"/>
      <c r="AI266" s="448"/>
      <c r="AJ266" s="448"/>
      <c r="AK266" s="448"/>
      <c r="AL266" s="448"/>
      <c r="AM266" s="448"/>
      <c r="AN266" s="448"/>
      <c r="AO266" s="448"/>
      <c r="AP266" s="448"/>
      <c r="AQ266" s="448"/>
      <c r="AR266" s="448"/>
      <c r="AS266" s="448"/>
      <c r="AT266" s="448"/>
      <c r="AU266" s="448"/>
      <c r="AV266" s="448"/>
      <c r="AW266" s="448"/>
      <c r="AX266" s="448"/>
      <c r="AY266" s="448"/>
      <c r="AZ266" s="448"/>
      <c r="BA266" s="448"/>
    </row>
  </sheetData>
  <sheetProtection algorithmName="SHA-512" hashValue="OUlWL5QzKgTbxlh/WCB4UVZp8jxMZ1z6thUhGVl9ef15W6XhbgRBHgS+phtOGKFUWpKk+7MRsMRCZ7Zz6geabg==" saltValue="v1+YvbCKLZQOlPGnXEbh9A==" spinCount="100000" sheet="1" objects="1" scenarios="1" insertRows="0"/>
  <mergeCells count="12">
    <mergeCell ref="C3:H3"/>
    <mergeCell ref="N2:Q2"/>
    <mergeCell ref="J2:J4"/>
    <mergeCell ref="K2:K4"/>
    <mergeCell ref="N1:V1"/>
    <mergeCell ref="L2:L4"/>
    <mergeCell ref="M2:M4"/>
    <mergeCell ref="X2:X4"/>
    <mergeCell ref="R2:R4"/>
    <mergeCell ref="U2:U4"/>
    <mergeCell ref="V2:V4"/>
    <mergeCell ref="W2:W4"/>
  </mergeCells>
  <phoneticPr fontId="0" type="noConversion"/>
  <dataValidations count="4">
    <dataValidation type="whole" operator="lessThan" allowBlank="1" showInputMessage="1" showErrorMessage="1" sqref="J148:X193" xr:uid="{00000000-0002-0000-0500-000004000000}">
      <formula1>-99999</formula1>
    </dataValidation>
    <dataValidation type="whole" operator="lessThan" allowBlank="1" showInputMessage="1" showErrorMessage="1" sqref="B146:E147 V74:X147 G146:G147 P1:P26 A1:A8 A55:A147 N1:O2 J28:J53 V1:X26 H4:H53 A12:A53 N28:N53 P28:P53 B1:B4 C1:C3 D4:G4 D1:H2 I1:I53 K1:M53 J1:J26 O5:O53 N5:N26 Q1:U53 H55:U147 F147" xr:uid="{B94810B1-0CF2-4F8D-97A6-AE34ABF1CDCD}">
      <formula1>-9999</formula1>
    </dataValidation>
    <dataValidation operator="lessThan" allowBlank="1" showInputMessage="1" showErrorMessage="1" sqref="A9:A11 G55:G145 N3:O4 G5:G53 B5:B53 D5:E53 B55:B145 D55:E145 C4:C145 F5:F72" xr:uid="{3C535A59-D747-43DD-81D9-F22D4379EA4E}"/>
    <dataValidation type="whole" operator="lessThan" allowBlank="1" showInputMessage="1" showErrorMessage="1" sqref="V27:X73 A54:B54 J27 P27 N27 D54:E54 G54:U54" xr:uid="{BD4FA959-7425-4A92-9781-ADECF310243C}">
      <formula1>-999</formula1>
    </dataValidation>
  </dataValidations>
  <printOptions horizontalCentered="1"/>
  <pageMargins left="0.39370078740157483" right="0.39370078740157483" top="0.98425196850393704" bottom="0.78740157480314965" header="0.51181102362204722" footer="0.51181102362204722"/>
  <pageSetup paperSize="9" scale="40" fitToHeight="0" orientation="landscape" blackAndWhite="1" r:id="rId1"/>
  <headerFooter alignWithMargins="0">
    <oddHeader xml:space="preserve">&amp;L&amp;"Verdana,Standard"&amp;10ÖSTERREICHISCHES FILMINSTITUT&amp;R&amp;"Verdana,Standard"&amp;10&amp;F
</oddHeader>
    <oddFooter>&amp;L&amp;"Verdana,Standard"&amp;10Ausdruck vom &amp;D&amp;R&amp;"Verdana,Standard"&amp;10Seite &amp;P von &amp;N</oddFooter>
  </headerFooter>
  <ignoredErrors>
    <ignoredError sqref="Y2:Y4" unlockedFormula="1"/>
  </ignoredErrors>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6">
    <pageSetUpPr fitToPage="1"/>
  </sheetPr>
  <dimension ref="A1:BA254"/>
  <sheetViews>
    <sheetView workbookViewId="0">
      <selection activeCell="C5" sqref="C5"/>
    </sheetView>
  </sheetViews>
  <sheetFormatPr baseColWidth="10" defaultColWidth="11.5" defaultRowHeight="15" x14ac:dyDescent="0.2"/>
  <cols>
    <col min="1" max="1" width="23.125" style="4" customWidth="1"/>
    <col min="2" max="2" width="18.25" style="4" customWidth="1"/>
    <col min="3" max="3" width="12.25" style="4" customWidth="1"/>
    <col min="4" max="4" width="11.5" style="2" customWidth="1"/>
    <col min="5" max="8" width="11.5" style="4" customWidth="1"/>
    <col min="9" max="10" width="6.875" style="4" customWidth="1"/>
    <col min="11" max="16384" width="11.5" style="4"/>
  </cols>
  <sheetData>
    <row r="1" spans="1:53" s="3" customFormat="1" ht="18" x14ac:dyDescent="0.2">
      <c r="A1" s="865" t="s">
        <v>630</v>
      </c>
      <c r="B1" s="866"/>
      <c r="C1" s="867"/>
      <c r="D1" s="868"/>
      <c r="E1" s="409"/>
      <c r="F1" s="409"/>
      <c r="G1" s="409"/>
      <c r="H1" s="869" t="s">
        <v>706</v>
      </c>
      <c r="I1" s="870">
        <v>2.95</v>
      </c>
      <c r="J1" s="871"/>
      <c r="K1" s="872" t="s">
        <v>1165</v>
      </c>
      <c r="L1" s="409"/>
      <c r="M1" s="409"/>
      <c r="N1" s="409"/>
      <c r="O1" s="409"/>
      <c r="P1" s="409"/>
      <c r="Q1" s="409"/>
      <c r="R1" s="409"/>
      <c r="S1" s="409"/>
      <c r="T1" s="409"/>
      <c r="U1" s="409"/>
      <c r="V1" s="409"/>
      <c r="W1" s="409"/>
      <c r="X1" s="409"/>
      <c r="Y1" s="409"/>
      <c r="Z1" s="409"/>
      <c r="AA1" s="409"/>
      <c r="AB1" s="409"/>
      <c r="AC1" s="409"/>
      <c r="AD1" s="409"/>
      <c r="AE1" s="409"/>
      <c r="AF1" s="409"/>
      <c r="AG1" s="409"/>
      <c r="AH1" s="409"/>
      <c r="AI1" s="409"/>
      <c r="AJ1" s="409"/>
      <c r="AK1" s="409"/>
      <c r="AL1" s="409"/>
      <c r="AM1" s="409"/>
      <c r="AN1" s="409"/>
      <c r="AO1" s="409"/>
      <c r="AP1" s="409"/>
      <c r="AQ1" s="409"/>
      <c r="AR1" s="409"/>
      <c r="AS1" s="409"/>
      <c r="AT1" s="409"/>
      <c r="AU1" s="409"/>
      <c r="AV1" s="409"/>
      <c r="AW1" s="409"/>
      <c r="AX1" s="409"/>
      <c r="AY1" s="409"/>
      <c r="AZ1" s="409"/>
    </row>
    <row r="2" spans="1:53" s="6" customFormat="1" ht="15" customHeight="1" x14ac:dyDescent="0.2">
      <c r="A2" s="410"/>
      <c r="B2" s="410"/>
      <c r="C2" s="410"/>
      <c r="D2" s="873"/>
      <c r="E2" s="410"/>
      <c r="F2" s="410"/>
      <c r="G2" s="410"/>
      <c r="H2" s="869" t="s">
        <v>705</v>
      </c>
      <c r="I2" s="870">
        <v>3.78</v>
      </c>
      <c r="J2" s="871"/>
      <c r="K2" s="870">
        <f>SVGrund_lfd_mo*I2%</f>
        <v>261.95400000000001</v>
      </c>
      <c r="L2" s="410"/>
      <c r="M2" s="410"/>
      <c r="N2" s="410"/>
      <c r="O2" s="410"/>
      <c r="P2" s="410"/>
      <c r="Q2" s="410"/>
      <c r="R2" s="410"/>
      <c r="S2" s="410"/>
      <c r="T2" s="410"/>
      <c r="U2" s="410"/>
      <c r="V2" s="410"/>
      <c r="W2" s="410"/>
      <c r="X2" s="410"/>
      <c r="Y2" s="410"/>
      <c r="Z2" s="410"/>
      <c r="AA2" s="410"/>
      <c r="AB2" s="410"/>
      <c r="AC2" s="410"/>
      <c r="AD2" s="410"/>
      <c r="AE2" s="410"/>
      <c r="AF2" s="410"/>
      <c r="AG2" s="410"/>
      <c r="AH2" s="410"/>
      <c r="AI2" s="410"/>
      <c r="AJ2" s="410"/>
      <c r="AK2" s="410"/>
      <c r="AL2" s="410"/>
      <c r="AM2" s="410"/>
      <c r="AN2" s="410"/>
      <c r="AO2" s="410"/>
      <c r="AP2" s="410"/>
      <c r="AQ2" s="410"/>
      <c r="AR2" s="410"/>
      <c r="AS2" s="410"/>
      <c r="AT2" s="410"/>
      <c r="AU2" s="410"/>
      <c r="AV2" s="410"/>
      <c r="AW2" s="410"/>
      <c r="AX2" s="410"/>
      <c r="AY2" s="410"/>
      <c r="AZ2" s="410"/>
      <c r="BA2" s="3"/>
    </row>
    <row r="3" spans="1:53" s="6" customFormat="1" ht="15" customHeight="1" x14ac:dyDescent="0.2">
      <c r="A3" s="874" t="s">
        <v>1166</v>
      </c>
      <c r="B3" s="874"/>
      <c r="C3" s="875"/>
      <c r="D3" s="876"/>
      <c r="E3" s="877"/>
      <c r="F3" s="410"/>
      <c r="G3" s="410"/>
      <c r="H3" s="869" t="s">
        <v>704</v>
      </c>
      <c r="I3" s="870">
        <v>1.1000000000000001</v>
      </c>
      <c r="J3" s="871"/>
      <c r="K3" s="870">
        <f>SVGrund_lfd_mo*I3%</f>
        <v>76.23</v>
      </c>
      <c r="L3" s="410"/>
      <c r="M3" s="410"/>
      <c r="N3" s="410"/>
      <c r="O3" s="410"/>
      <c r="P3" s="410"/>
      <c r="Q3" s="410"/>
      <c r="R3" s="410"/>
      <c r="S3" s="410"/>
      <c r="T3" s="410"/>
      <c r="U3" s="410"/>
      <c r="V3" s="410"/>
      <c r="W3" s="410"/>
      <c r="X3" s="410"/>
      <c r="Y3" s="410"/>
      <c r="Z3" s="410"/>
      <c r="AA3" s="410"/>
      <c r="AB3" s="410"/>
      <c r="AC3" s="410"/>
      <c r="AD3" s="410"/>
      <c r="AE3" s="410"/>
      <c r="AF3" s="410"/>
      <c r="AG3" s="410"/>
      <c r="AH3" s="410"/>
      <c r="AI3" s="410"/>
      <c r="AJ3" s="410"/>
      <c r="AK3" s="410"/>
      <c r="AL3" s="410"/>
      <c r="AM3" s="410"/>
      <c r="AN3" s="410"/>
      <c r="AO3" s="410"/>
      <c r="AP3" s="410"/>
      <c r="AQ3" s="410"/>
      <c r="AR3" s="410"/>
      <c r="AS3" s="410"/>
      <c r="AT3" s="410"/>
      <c r="AU3" s="410"/>
      <c r="AV3" s="410"/>
      <c r="AW3" s="410"/>
      <c r="AX3" s="410"/>
      <c r="AY3" s="410"/>
      <c r="AZ3" s="410"/>
      <c r="BA3" s="3"/>
    </row>
    <row r="4" spans="1:53" s="6" customFormat="1" ht="15" customHeight="1" x14ac:dyDescent="0.2">
      <c r="A4" s="874"/>
      <c r="B4" s="874"/>
      <c r="C4" s="878" t="s">
        <v>162</v>
      </c>
      <c r="D4" s="878" t="s">
        <v>158</v>
      </c>
      <c r="E4" s="879" t="s">
        <v>159</v>
      </c>
      <c r="F4" s="410"/>
      <c r="G4" s="410"/>
      <c r="H4" s="869" t="s">
        <v>703</v>
      </c>
      <c r="I4" s="870">
        <v>12.55</v>
      </c>
      <c r="J4" s="871"/>
      <c r="K4" s="870">
        <f>SVGrund_lfd_mo*I4%</f>
        <v>869.71500000000003</v>
      </c>
      <c r="L4" s="410"/>
      <c r="M4" s="410"/>
      <c r="N4" s="410"/>
      <c r="O4" s="410"/>
      <c r="P4" s="410"/>
      <c r="Q4" s="410"/>
      <c r="R4" s="410"/>
      <c r="S4" s="410"/>
      <c r="T4" s="410"/>
      <c r="U4" s="410"/>
      <c r="V4" s="410"/>
      <c r="W4" s="410"/>
      <c r="X4" s="410"/>
      <c r="Y4" s="410"/>
      <c r="Z4" s="410"/>
      <c r="AA4" s="410"/>
      <c r="AB4" s="410"/>
      <c r="AC4" s="410"/>
      <c r="AD4" s="410"/>
      <c r="AE4" s="410"/>
      <c r="AF4" s="410"/>
      <c r="AG4" s="410"/>
      <c r="AH4" s="410"/>
      <c r="AI4" s="410"/>
      <c r="AJ4" s="410"/>
      <c r="AK4" s="410"/>
      <c r="AL4" s="410"/>
      <c r="AM4" s="410"/>
      <c r="AN4" s="410"/>
      <c r="AO4" s="410"/>
      <c r="AP4" s="410"/>
      <c r="AQ4" s="410"/>
      <c r="AR4" s="410"/>
      <c r="AS4" s="410"/>
      <c r="AT4" s="410"/>
      <c r="AU4" s="410"/>
      <c r="AV4" s="410"/>
      <c r="AW4" s="410"/>
      <c r="AX4" s="410"/>
      <c r="AY4" s="410"/>
      <c r="AZ4" s="410"/>
      <c r="BA4" s="3"/>
    </row>
    <row r="5" spans="1:53" s="6" customFormat="1" ht="15" customHeight="1" x14ac:dyDescent="0.2">
      <c r="A5" s="877" t="s">
        <v>160</v>
      </c>
      <c r="B5" s="877"/>
      <c r="C5" s="876">
        <v>6930</v>
      </c>
      <c r="D5" s="876">
        <f>SVGrund_lfd_mo/30*7</f>
        <v>1617</v>
      </c>
      <c r="E5" s="876">
        <f>SVGrund_lfd_mo/30</f>
        <v>231</v>
      </c>
      <c r="F5" s="410"/>
      <c r="G5" s="410"/>
      <c r="H5" s="869"/>
      <c r="I5" s="870"/>
      <c r="J5" s="871"/>
      <c r="K5" s="880"/>
      <c r="L5" s="410"/>
      <c r="M5" s="410"/>
      <c r="N5" s="410"/>
      <c r="O5" s="410"/>
      <c r="P5" s="410"/>
      <c r="Q5" s="410"/>
      <c r="R5" s="410"/>
      <c r="S5" s="410"/>
      <c r="T5" s="410"/>
      <c r="U5" s="410"/>
      <c r="V5" s="410"/>
      <c r="W5" s="410"/>
      <c r="X5" s="410"/>
      <c r="Y5" s="410"/>
      <c r="Z5" s="410"/>
      <c r="AA5" s="410"/>
      <c r="AB5" s="410"/>
      <c r="AC5" s="410"/>
      <c r="AD5" s="410"/>
      <c r="AE5" s="410"/>
      <c r="AF5" s="410"/>
      <c r="AG5" s="410"/>
      <c r="AH5" s="410"/>
      <c r="AI5" s="410"/>
      <c r="AJ5" s="410"/>
      <c r="AK5" s="410"/>
      <c r="AL5" s="410"/>
      <c r="AM5" s="410"/>
      <c r="AN5" s="410"/>
      <c r="AO5" s="410"/>
      <c r="AP5" s="410"/>
      <c r="AQ5" s="410"/>
      <c r="AR5" s="410"/>
      <c r="AS5" s="410"/>
      <c r="AT5" s="410"/>
      <c r="AU5" s="410"/>
      <c r="AV5" s="410"/>
      <c r="AW5" s="410"/>
      <c r="AX5" s="410"/>
      <c r="AY5" s="410"/>
      <c r="AZ5" s="410"/>
      <c r="BA5" s="3"/>
    </row>
    <row r="6" spans="1:53" s="6" customFormat="1" ht="15" customHeight="1" x14ac:dyDescent="0.2">
      <c r="A6" s="877" t="s">
        <v>161</v>
      </c>
      <c r="B6" s="877"/>
      <c r="C6" s="876">
        <f>C5*2</f>
        <v>13860</v>
      </c>
      <c r="D6" s="876">
        <f>SVGrund_SZ/30*7</f>
        <v>3234</v>
      </c>
      <c r="E6" s="876">
        <f>SVGrund_SZ/30</f>
        <v>462</v>
      </c>
      <c r="F6" s="410"/>
      <c r="G6" s="410"/>
      <c r="H6" s="869" t="s">
        <v>701</v>
      </c>
      <c r="I6" s="870">
        <v>0.1</v>
      </c>
      <c r="J6" s="871"/>
      <c r="K6" s="880"/>
      <c r="L6" s="881"/>
      <c r="M6" s="410"/>
      <c r="N6" s="410"/>
      <c r="O6" s="410"/>
      <c r="P6" s="410"/>
      <c r="Q6" s="410"/>
      <c r="R6" s="410"/>
      <c r="S6" s="410"/>
      <c r="T6" s="410"/>
      <c r="U6" s="410"/>
      <c r="V6" s="410"/>
      <c r="W6" s="410"/>
      <c r="X6" s="410"/>
      <c r="Y6" s="410"/>
      <c r="Z6" s="410"/>
      <c r="AA6" s="410"/>
      <c r="AB6" s="410"/>
      <c r="AC6" s="410"/>
      <c r="AD6" s="410"/>
      <c r="AE6" s="410"/>
      <c r="AF6" s="410"/>
      <c r="AG6" s="410"/>
      <c r="AH6" s="410"/>
      <c r="AI6" s="410"/>
      <c r="AJ6" s="410"/>
      <c r="AK6" s="410"/>
      <c r="AL6" s="410"/>
      <c r="AM6" s="410"/>
      <c r="AN6" s="410"/>
      <c r="AO6" s="410"/>
      <c r="AP6" s="410"/>
      <c r="AQ6" s="410"/>
      <c r="AR6" s="410"/>
      <c r="AS6" s="410"/>
      <c r="AT6" s="410"/>
      <c r="AU6" s="410"/>
      <c r="AV6" s="410"/>
      <c r="AW6" s="410"/>
      <c r="AX6" s="410"/>
      <c r="AY6" s="410"/>
      <c r="AZ6" s="410"/>
      <c r="BA6" s="3"/>
    </row>
    <row r="7" spans="1:53" s="6" customFormat="1" ht="15" customHeight="1" x14ac:dyDescent="0.2">
      <c r="A7" s="877"/>
      <c r="B7" s="877"/>
      <c r="C7" s="882"/>
      <c r="D7" s="876"/>
      <c r="E7" s="877"/>
      <c r="F7" s="410"/>
      <c r="G7" s="410"/>
      <c r="H7" s="869" t="s">
        <v>702</v>
      </c>
      <c r="I7" s="870">
        <v>0.5</v>
      </c>
      <c r="J7" s="871"/>
      <c r="K7" s="880"/>
      <c r="L7" s="410"/>
      <c r="M7" s="410"/>
      <c r="N7" s="410"/>
      <c r="O7" s="410"/>
      <c r="P7" s="410"/>
      <c r="Q7" s="410"/>
      <c r="R7" s="410"/>
      <c r="S7" s="410"/>
      <c r="T7" s="410"/>
      <c r="U7" s="410"/>
      <c r="V7" s="410"/>
      <c r="W7" s="410"/>
      <c r="X7" s="410"/>
      <c r="Y7" s="410"/>
      <c r="Z7" s="410"/>
      <c r="AA7" s="410"/>
      <c r="AB7" s="410"/>
      <c r="AC7" s="410"/>
      <c r="AD7" s="410"/>
      <c r="AE7" s="410"/>
      <c r="AF7" s="410"/>
      <c r="AG7" s="410"/>
      <c r="AH7" s="410"/>
      <c r="AI7" s="410"/>
      <c r="AJ7" s="410"/>
      <c r="AK7" s="410"/>
      <c r="AL7" s="410"/>
      <c r="AM7" s="410"/>
      <c r="AN7" s="410"/>
      <c r="AO7" s="410"/>
      <c r="AP7" s="410"/>
      <c r="AQ7" s="410"/>
      <c r="AR7" s="410"/>
      <c r="AS7" s="410"/>
      <c r="AT7" s="410"/>
      <c r="AU7" s="410"/>
      <c r="AV7" s="410"/>
      <c r="AW7" s="410"/>
      <c r="AX7" s="410"/>
      <c r="AY7" s="410"/>
      <c r="AZ7" s="410"/>
      <c r="BA7" s="3"/>
    </row>
    <row r="8" spans="1:53" s="6" customFormat="1" ht="15" customHeight="1" x14ac:dyDescent="0.2">
      <c r="A8" s="877" t="s">
        <v>155</v>
      </c>
      <c r="B8" s="877"/>
      <c r="C8" s="875">
        <f>I9/100</f>
        <v>0.20980000000000004</v>
      </c>
      <c r="D8" s="876"/>
      <c r="E8" s="877"/>
      <c r="F8" s="410"/>
      <c r="G8" s="410"/>
      <c r="H8" s="869"/>
      <c r="I8" s="412"/>
      <c r="J8" s="413"/>
      <c r="K8" s="410"/>
      <c r="L8" s="410"/>
      <c r="M8" s="410"/>
      <c r="N8" s="410"/>
      <c r="O8" s="410"/>
      <c r="P8" s="410"/>
      <c r="Q8" s="410"/>
      <c r="R8" s="410"/>
      <c r="S8" s="410"/>
      <c r="T8" s="410"/>
      <c r="U8" s="410"/>
      <c r="V8" s="410"/>
      <c r="W8" s="410"/>
      <c r="X8" s="410"/>
      <c r="Y8" s="410"/>
      <c r="Z8" s="410"/>
      <c r="AA8" s="410"/>
      <c r="AB8" s="410"/>
      <c r="AC8" s="410"/>
      <c r="AD8" s="410"/>
      <c r="AE8" s="410"/>
      <c r="AF8" s="410"/>
      <c r="AG8" s="410"/>
      <c r="AH8" s="410"/>
      <c r="AI8" s="410"/>
      <c r="AJ8" s="410"/>
      <c r="AK8" s="410"/>
      <c r="AL8" s="410"/>
      <c r="AM8" s="410"/>
      <c r="AN8" s="410"/>
      <c r="AO8" s="410"/>
      <c r="AP8" s="410"/>
      <c r="AQ8" s="410"/>
      <c r="AR8" s="410"/>
      <c r="AS8" s="410"/>
      <c r="AT8" s="410"/>
      <c r="AU8" s="410"/>
      <c r="AV8" s="410"/>
      <c r="AW8" s="410"/>
      <c r="AX8" s="410"/>
      <c r="AY8" s="410"/>
      <c r="AZ8" s="410"/>
      <c r="BA8" s="3"/>
    </row>
    <row r="9" spans="1:53" s="6" customFormat="1" ht="15" customHeight="1" x14ac:dyDescent="0.2">
      <c r="A9" s="877" t="s">
        <v>156</v>
      </c>
      <c r="B9" s="877"/>
      <c r="C9" s="875">
        <f>I11/100</f>
        <v>0.20480000000000004</v>
      </c>
      <c r="D9" s="875"/>
      <c r="E9" s="877"/>
      <c r="F9" s="410"/>
      <c r="G9" s="410"/>
      <c r="H9" s="883" t="s">
        <v>708</v>
      </c>
      <c r="I9" s="414">
        <f>SUM(I1:I8)</f>
        <v>20.980000000000004</v>
      </c>
      <c r="J9" s="414"/>
      <c r="K9" s="410"/>
      <c r="L9" s="410"/>
      <c r="M9" s="410"/>
      <c r="N9" s="410"/>
      <c r="O9" s="410"/>
      <c r="P9" s="410"/>
      <c r="Q9" s="410"/>
      <c r="R9" s="410"/>
      <c r="S9" s="410"/>
      <c r="T9" s="410"/>
      <c r="U9" s="410"/>
      <c r="V9" s="410"/>
      <c r="W9" s="410"/>
      <c r="X9" s="410"/>
      <c r="Y9" s="410"/>
      <c r="Z9" s="410"/>
      <c r="AA9" s="410"/>
      <c r="AB9" s="410"/>
      <c r="AC9" s="410"/>
      <c r="AD9" s="410"/>
      <c r="AE9" s="410"/>
      <c r="AF9" s="410"/>
      <c r="AG9" s="410"/>
      <c r="AH9" s="410"/>
      <c r="AI9" s="410"/>
      <c r="AJ9" s="410"/>
      <c r="AK9" s="410"/>
      <c r="AL9" s="410"/>
      <c r="AM9" s="410"/>
      <c r="AN9" s="410"/>
      <c r="AO9" s="410"/>
      <c r="AP9" s="410"/>
      <c r="AQ9" s="410"/>
      <c r="AR9" s="410"/>
      <c r="AS9" s="410"/>
      <c r="AT9" s="410"/>
      <c r="AU9" s="410"/>
      <c r="AV9" s="410"/>
      <c r="AW9" s="410"/>
      <c r="AX9" s="410"/>
      <c r="AY9" s="410"/>
      <c r="AZ9" s="410"/>
      <c r="BA9" s="3"/>
    </row>
    <row r="10" spans="1:53" s="6" customFormat="1" ht="15" customHeight="1" x14ac:dyDescent="0.2">
      <c r="A10" s="877" t="s">
        <v>163</v>
      </c>
      <c r="B10" s="877"/>
      <c r="C10" s="876">
        <f>SVGrund_lfd_mo*SV_lfd</f>
        <v>1453.9140000000002</v>
      </c>
      <c r="D10" s="876">
        <f>SVGrund_lfd_mo*SV_lfd/30*7</f>
        <v>339.24660000000006</v>
      </c>
      <c r="E10" s="876">
        <f>SVGrund_lfd_mo*SV_lfd/30</f>
        <v>48.463800000000006</v>
      </c>
      <c r="F10" s="410"/>
      <c r="G10" s="410"/>
      <c r="H10" s="869" t="s">
        <v>702</v>
      </c>
      <c r="I10" s="870">
        <v>-0.5</v>
      </c>
      <c r="J10" s="412"/>
      <c r="K10" s="410"/>
      <c r="L10" s="410"/>
      <c r="M10" s="410"/>
      <c r="N10" s="410"/>
      <c r="O10" s="410"/>
      <c r="P10" s="410"/>
      <c r="Q10" s="410"/>
      <c r="R10" s="410"/>
      <c r="S10" s="410"/>
      <c r="T10" s="410"/>
      <c r="U10" s="410"/>
      <c r="V10" s="410"/>
      <c r="W10" s="410"/>
      <c r="X10" s="410"/>
      <c r="Y10" s="410"/>
      <c r="Z10" s="410"/>
      <c r="AA10" s="410"/>
      <c r="AB10" s="410"/>
      <c r="AC10" s="410"/>
      <c r="AD10" s="410"/>
      <c r="AE10" s="410"/>
      <c r="AF10" s="410"/>
      <c r="AG10" s="410"/>
      <c r="AH10" s="410"/>
      <c r="AI10" s="410"/>
      <c r="AJ10" s="410"/>
      <c r="AK10" s="410"/>
      <c r="AL10" s="410"/>
      <c r="AM10" s="410"/>
      <c r="AN10" s="410"/>
      <c r="AO10" s="410"/>
      <c r="AP10" s="410"/>
      <c r="AQ10" s="410"/>
      <c r="AR10" s="410"/>
      <c r="AS10" s="410"/>
      <c r="AT10" s="410"/>
      <c r="AU10" s="410"/>
      <c r="AV10" s="410"/>
      <c r="AW10" s="410"/>
      <c r="AX10" s="410"/>
      <c r="AY10" s="410"/>
      <c r="AZ10" s="410"/>
      <c r="BA10" s="3"/>
    </row>
    <row r="11" spans="1:53" s="6" customFormat="1" ht="15" customHeight="1" x14ac:dyDescent="0.2">
      <c r="A11" s="877" t="s">
        <v>164</v>
      </c>
      <c r="B11" s="877"/>
      <c r="C11" s="876">
        <f>SVGrund_SZ*SV_SZ</f>
        <v>2838.5280000000007</v>
      </c>
      <c r="D11" s="876">
        <f>SVGrund_SZ*SV_SZ/30*7</f>
        <v>662.32320000000016</v>
      </c>
      <c r="E11" s="876">
        <f>SVGrund_SZ*SV_SZ/30</f>
        <v>94.617600000000024</v>
      </c>
      <c r="F11" s="410"/>
      <c r="G11" s="410"/>
      <c r="H11" s="883" t="s">
        <v>707</v>
      </c>
      <c r="I11" s="414">
        <f>SUM(I9:I10)</f>
        <v>20.480000000000004</v>
      </c>
      <c r="J11" s="412"/>
      <c r="K11" s="410"/>
      <c r="L11" s="410"/>
      <c r="M11" s="410"/>
      <c r="N11" s="410"/>
      <c r="O11" s="410"/>
      <c r="P11" s="410"/>
      <c r="Q11" s="410"/>
      <c r="R11" s="410"/>
      <c r="S11" s="410"/>
      <c r="T11" s="410"/>
      <c r="U11" s="410"/>
      <c r="V11" s="410"/>
      <c r="W11" s="410"/>
      <c r="X11" s="410"/>
      <c r="Y11" s="410"/>
      <c r="Z11" s="410"/>
      <c r="AA11" s="410"/>
      <c r="AB11" s="410"/>
      <c r="AC11" s="410"/>
      <c r="AD11" s="410"/>
      <c r="AE11" s="410"/>
      <c r="AF11" s="410"/>
      <c r="AG11" s="410"/>
      <c r="AH11" s="410"/>
      <c r="AI11" s="410"/>
      <c r="AJ11" s="410"/>
      <c r="AK11" s="410"/>
      <c r="AL11" s="410"/>
      <c r="AM11" s="410"/>
      <c r="AN11" s="410"/>
      <c r="AO11" s="410"/>
      <c r="AP11" s="410"/>
      <c r="AQ11" s="410"/>
      <c r="AR11" s="410"/>
      <c r="AS11" s="410"/>
      <c r="AT11" s="410"/>
      <c r="AU11" s="410"/>
      <c r="AV11" s="410"/>
      <c r="AW11" s="410"/>
      <c r="AX11" s="410"/>
      <c r="AY11" s="410"/>
      <c r="AZ11" s="410"/>
      <c r="BA11" s="3"/>
    </row>
    <row r="12" spans="1:53" s="6" customFormat="1" ht="15" customHeight="1" x14ac:dyDescent="0.2">
      <c r="A12" s="877"/>
      <c r="B12" s="877"/>
      <c r="C12" s="877"/>
      <c r="D12" s="876"/>
      <c r="E12" s="876"/>
      <c r="F12" s="410"/>
      <c r="G12" s="410"/>
      <c r="H12" s="410"/>
      <c r="I12" s="412"/>
      <c r="J12" s="412"/>
      <c r="K12" s="410"/>
      <c r="L12" s="410"/>
      <c r="M12" s="410"/>
      <c r="N12" s="410"/>
      <c r="O12" s="410"/>
      <c r="P12" s="410"/>
      <c r="Q12" s="410"/>
      <c r="R12" s="410"/>
      <c r="S12" s="410"/>
      <c r="T12" s="410"/>
      <c r="U12" s="410"/>
      <c r="V12" s="410"/>
      <c r="W12" s="410"/>
      <c r="X12" s="410"/>
      <c r="Y12" s="410"/>
      <c r="Z12" s="410"/>
      <c r="AA12" s="410"/>
      <c r="AB12" s="410"/>
      <c r="AC12" s="410"/>
      <c r="AD12" s="410"/>
      <c r="AE12" s="410"/>
      <c r="AF12" s="410"/>
      <c r="AG12" s="410"/>
      <c r="AH12" s="410"/>
      <c r="AI12" s="410"/>
      <c r="AJ12" s="410"/>
      <c r="AK12" s="410"/>
      <c r="AL12" s="410"/>
      <c r="AM12" s="410"/>
      <c r="AN12" s="410"/>
      <c r="AO12" s="410"/>
      <c r="AP12" s="410"/>
      <c r="AQ12" s="410"/>
      <c r="AR12" s="410"/>
      <c r="AS12" s="410"/>
      <c r="AT12" s="410"/>
      <c r="AU12" s="410"/>
      <c r="AV12" s="410"/>
      <c r="AW12" s="410"/>
      <c r="AX12" s="410"/>
      <c r="AY12" s="410"/>
      <c r="AZ12" s="410"/>
      <c r="BA12" s="3"/>
    </row>
    <row r="13" spans="1:53" s="6" customFormat="1" ht="15" customHeight="1" x14ac:dyDescent="0.2">
      <c r="A13" s="877" t="s">
        <v>631</v>
      </c>
      <c r="B13" s="877"/>
      <c r="C13" s="875">
        <v>3.6999999999999998E-2</v>
      </c>
      <c r="D13" s="876"/>
      <c r="E13" s="877"/>
      <c r="F13" s="410"/>
      <c r="G13" s="410"/>
      <c r="H13" s="410"/>
      <c r="I13" s="412"/>
      <c r="J13" s="412"/>
      <c r="K13" s="410"/>
      <c r="L13" s="410"/>
      <c r="M13" s="410"/>
      <c r="N13" s="410"/>
      <c r="O13" s="410"/>
      <c r="P13" s="410"/>
      <c r="Q13" s="410"/>
      <c r="R13" s="410"/>
      <c r="S13" s="410"/>
      <c r="T13" s="410"/>
      <c r="U13" s="410"/>
      <c r="V13" s="410"/>
      <c r="W13" s="410"/>
      <c r="X13" s="410"/>
      <c r="Y13" s="410"/>
      <c r="Z13" s="410"/>
      <c r="AA13" s="410"/>
      <c r="AB13" s="410"/>
      <c r="AC13" s="410"/>
      <c r="AD13" s="410"/>
      <c r="AE13" s="410"/>
      <c r="AF13" s="410"/>
      <c r="AG13" s="410"/>
      <c r="AH13" s="410"/>
      <c r="AI13" s="410"/>
      <c r="AJ13" s="410"/>
      <c r="AK13" s="410"/>
      <c r="AL13" s="410"/>
      <c r="AM13" s="410"/>
      <c r="AN13" s="410"/>
      <c r="AO13" s="410"/>
      <c r="AP13" s="410"/>
      <c r="AQ13" s="410"/>
      <c r="AR13" s="410"/>
      <c r="AS13" s="410"/>
      <c r="AT13" s="410"/>
      <c r="AU13" s="410"/>
      <c r="AV13" s="410"/>
      <c r="AW13" s="410"/>
      <c r="AX13" s="410"/>
      <c r="AY13" s="410"/>
      <c r="AZ13" s="410"/>
      <c r="BA13" s="3"/>
    </row>
    <row r="14" spans="1:53" s="6" customFormat="1" ht="15" customHeight="1" x14ac:dyDescent="0.2">
      <c r="A14" s="877" t="s">
        <v>243</v>
      </c>
      <c r="B14" s="877"/>
      <c r="C14" s="875">
        <v>3.5999999999999999E-3</v>
      </c>
      <c r="D14" s="876"/>
      <c r="E14" s="877"/>
      <c r="F14" s="410"/>
      <c r="G14" s="410"/>
      <c r="H14" s="410"/>
      <c r="I14" s="412"/>
      <c r="J14" s="412"/>
      <c r="K14" s="410"/>
      <c r="L14" s="410"/>
      <c r="M14" s="410"/>
      <c r="N14" s="410"/>
      <c r="O14" s="410"/>
      <c r="P14" s="410"/>
      <c r="Q14" s="410"/>
      <c r="R14" s="410"/>
      <c r="S14" s="410"/>
      <c r="T14" s="410"/>
      <c r="U14" s="410"/>
      <c r="V14" s="410"/>
      <c r="W14" s="410"/>
      <c r="X14" s="410"/>
      <c r="Y14" s="410"/>
      <c r="Z14" s="410"/>
      <c r="AA14" s="410"/>
      <c r="AB14" s="410"/>
      <c r="AC14" s="410"/>
      <c r="AD14" s="410"/>
      <c r="AE14" s="410"/>
      <c r="AF14" s="410"/>
      <c r="AG14" s="410"/>
      <c r="AH14" s="410"/>
      <c r="AI14" s="410"/>
      <c r="AJ14" s="410"/>
      <c r="AK14" s="410"/>
      <c r="AL14" s="410"/>
      <c r="AM14" s="410"/>
      <c r="AN14" s="410"/>
      <c r="AO14" s="410"/>
      <c r="AP14" s="410"/>
      <c r="AQ14" s="410"/>
      <c r="AR14" s="410"/>
      <c r="AS14" s="410"/>
      <c r="AT14" s="410"/>
      <c r="AU14" s="410"/>
      <c r="AV14" s="410"/>
      <c r="AW14" s="410"/>
      <c r="AX14" s="410"/>
      <c r="AY14" s="410"/>
      <c r="AZ14" s="410"/>
      <c r="BA14" s="3"/>
    </row>
    <row r="15" spans="1:53" s="6" customFormat="1" ht="15" customHeight="1" x14ac:dyDescent="0.2">
      <c r="A15" s="877" t="s">
        <v>47</v>
      </c>
      <c r="B15" s="877"/>
      <c r="C15" s="875">
        <v>0.03</v>
      </c>
      <c r="D15" s="884"/>
      <c r="E15" s="877"/>
      <c r="F15" s="410"/>
      <c r="G15" s="410"/>
      <c r="H15" s="411"/>
      <c r="I15" s="412"/>
      <c r="J15" s="413"/>
      <c r="K15" s="410"/>
      <c r="L15" s="410"/>
      <c r="M15" s="410"/>
      <c r="N15" s="410"/>
      <c r="O15" s="410"/>
      <c r="P15" s="410"/>
      <c r="Q15" s="410"/>
      <c r="R15" s="410"/>
      <c r="S15" s="410"/>
      <c r="T15" s="410"/>
      <c r="U15" s="410"/>
      <c r="V15" s="410"/>
      <c r="W15" s="410"/>
      <c r="X15" s="410"/>
      <c r="Y15" s="410"/>
      <c r="Z15" s="410"/>
      <c r="AA15" s="410"/>
      <c r="AB15" s="410"/>
      <c r="AC15" s="410"/>
      <c r="AD15" s="410"/>
      <c r="AE15" s="410"/>
      <c r="AF15" s="410"/>
      <c r="AG15" s="410"/>
      <c r="AH15" s="410"/>
      <c r="AI15" s="410"/>
      <c r="AJ15" s="410"/>
      <c r="AK15" s="410"/>
      <c r="AL15" s="410"/>
      <c r="AM15" s="410"/>
      <c r="AN15" s="410"/>
      <c r="AO15" s="410"/>
      <c r="AP15" s="410"/>
      <c r="AQ15" s="410"/>
      <c r="AR15" s="410"/>
      <c r="AS15" s="410"/>
      <c r="AT15" s="410"/>
      <c r="AU15" s="410"/>
      <c r="AV15" s="410"/>
      <c r="AW15" s="410"/>
      <c r="AX15" s="410"/>
      <c r="AY15" s="410"/>
      <c r="AZ15" s="410"/>
      <c r="BA15" s="3"/>
    </row>
    <row r="16" spans="1:53" s="6" customFormat="1" ht="15" customHeight="1" x14ac:dyDescent="0.2">
      <c r="A16" s="877"/>
      <c r="B16" s="877"/>
      <c r="C16" s="875"/>
      <c r="D16" s="876"/>
      <c r="E16" s="885" t="s">
        <v>190</v>
      </c>
      <c r="F16" s="876">
        <v>0.5</v>
      </c>
      <c r="G16" s="886" t="s">
        <v>1161</v>
      </c>
      <c r="H16" s="410"/>
      <c r="I16" s="414"/>
      <c r="J16" s="414"/>
      <c r="K16" s="410"/>
      <c r="L16" s="410"/>
      <c r="M16" s="410"/>
      <c r="N16" s="410"/>
      <c r="O16" s="410"/>
      <c r="P16" s="410"/>
      <c r="Q16" s="410"/>
      <c r="R16" s="410"/>
      <c r="S16" s="410"/>
      <c r="T16" s="410"/>
      <c r="U16" s="410"/>
      <c r="V16" s="410"/>
      <c r="W16" s="410"/>
      <c r="X16" s="410"/>
      <c r="Y16" s="410"/>
      <c r="Z16" s="410"/>
      <c r="AA16" s="410"/>
      <c r="AB16" s="410"/>
      <c r="AC16" s="410"/>
      <c r="AD16" s="410"/>
      <c r="AE16" s="410"/>
      <c r="AF16" s="410"/>
      <c r="AG16" s="410"/>
      <c r="AH16" s="410"/>
      <c r="AI16" s="410"/>
      <c r="AJ16" s="410"/>
      <c r="AK16" s="410"/>
      <c r="AL16" s="410"/>
      <c r="AM16" s="410"/>
      <c r="AN16" s="410"/>
      <c r="AO16" s="410"/>
      <c r="AP16" s="410"/>
      <c r="AQ16" s="410"/>
      <c r="AR16" s="410"/>
      <c r="AS16" s="410"/>
      <c r="AT16" s="410"/>
      <c r="AU16" s="410"/>
      <c r="AV16" s="410"/>
      <c r="AW16" s="410"/>
      <c r="AX16" s="410"/>
      <c r="AY16" s="410"/>
      <c r="AZ16" s="410"/>
      <c r="BA16" s="3"/>
    </row>
    <row r="17" spans="1:53" s="6" customFormat="1" ht="15" customHeight="1" x14ac:dyDescent="0.2">
      <c r="A17" s="877" t="s">
        <v>133</v>
      </c>
      <c r="B17" s="877"/>
      <c r="C17" s="875">
        <v>1.5299999999999999E-2</v>
      </c>
      <c r="D17" s="876"/>
      <c r="E17" s="885" t="s">
        <v>191</v>
      </c>
      <c r="F17" s="876">
        <v>15.4</v>
      </c>
      <c r="G17" s="886" t="s">
        <v>1163</v>
      </c>
      <c r="H17" s="410"/>
      <c r="I17" s="412"/>
      <c r="J17" s="412"/>
      <c r="K17" s="410"/>
      <c r="L17" s="410"/>
      <c r="M17" s="410"/>
      <c r="N17" s="410"/>
      <c r="O17" s="410"/>
      <c r="P17" s="410"/>
      <c r="Q17" s="410"/>
      <c r="R17" s="410"/>
      <c r="S17" s="410"/>
      <c r="T17" s="410"/>
      <c r="U17" s="410"/>
      <c r="V17" s="410"/>
      <c r="W17" s="410"/>
      <c r="X17" s="410"/>
      <c r="Y17" s="410"/>
      <c r="Z17" s="410"/>
      <c r="AA17" s="410"/>
      <c r="AB17" s="410"/>
      <c r="AC17" s="410"/>
      <c r="AD17" s="410"/>
      <c r="AE17" s="410"/>
      <c r="AF17" s="410"/>
      <c r="AG17" s="410"/>
      <c r="AH17" s="410"/>
      <c r="AI17" s="410"/>
      <c r="AJ17" s="410"/>
      <c r="AK17" s="410"/>
      <c r="AL17" s="410"/>
      <c r="AM17" s="410"/>
      <c r="AN17" s="410"/>
      <c r="AO17" s="410"/>
      <c r="AP17" s="410"/>
      <c r="AQ17" s="410"/>
      <c r="AR17" s="410"/>
      <c r="AS17" s="410"/>
      <c r="AT17" s="410"/>
      <c r="AU17" s="410"/>
      <c r="AV17" s="410"/>
      <c r="AW17" s="410"/>
      <c r="AX17" s="410"/>
      <c r="AY17" s="410"/>
      <c r="AZ17" s="410"/>
      <c r="BA17" s="3"/>
    </row>
    <row r="18" spans="1:53" s="6" customFormat="1" ht="15" customHeight="1" x14ac:dyDescent="0.2">
      <c r="A18" s="877" t="s">
        <v>134</v>
      </c>
      <c r="B18" s="877"/>
      <c r="C18" s="882">
        <v>2</v>
      </c>
      <c r="D18" s="876"/>
      <c r="E18" s="885" t="s">
        <v>192</v>
      </c>
      <c r="F18" s="876">
        <v>30</v>
      </c>
      <c r="G18" s="886" t="s">
        <v>1161</v>
      </c>
      <c r="H18" s="410"/>
      <c r="I18" s="887"/>
      <c r="J18" s="410"/>
      <c r="K18" s="410"/>
      <c r="L18" s="410"/>
      <c r="M18" s="410"/>
      <c r="N18" s="410"/>
      <c r="O18" s="410"/>
      <c r="P18" s="410"/>
      <c r="Q18" s="410"/>
      <c r="R18" s="410"/>
      <c r="S18" s="410"/>
      <c r="T18" s="410"/>
      <c r="U18" s="410"/>
      <c r="V18" s="410"/>
      <c r="W18" s="410"/>
      <c r="X18" s="410"/>
      <c r="Y18" s="410"/>
      <c r="Z18" s="410"/>
      <c r="AA18" s="410"/>
      <c r="AB18" s="410"/>
      <c r="AC18" s="410"/>
      <c r="AD18" s="410"/>
      <c r="AE18" s="410"/>
      <c r="AF18" s="410"/>
      <c r="AG18" s="410"/>
      <c r="AH18" s="410"/>
      <c r="AI18" s="410"/>
      <c r="AJ18" s="410"/>
      <c r="AK18" s="410"/>
      <c r="AL18" s="410"/>
      <c r="AM18" s="410"/>
      <c r="AN18" s="410"/>
      <c r="AO18" s="410"/>
      <c r="AP18" s="410"/>
      <c r="AQ18" s="410"/>
      <c r="AR18" s="410"/>
      <c r="AS18" s="410"/>
      <c r="AT18" s="410"/>
      <c r="AU18" s="410"/>
      <c r="AV18" s="410"/>
      <c r="AW18" s="410"/>
      <c r="AX18" s="410"/>
      <c r="AY18" s="410"/>
      <c r="AZ18" s="410"/>
      <c r="BA18" s="3"/>
    </row>
    <row r="19" spans="1:53" s="6" customFormat="1" ht="15" customHeight="1" x14ac:dyDescent="0.2">
      <c r="A19" s="877"/>
      <c r="B19" s="877"/>
      <c r="C19" s="882"/>
      <c r="D19" s="876"/>
      <c r="E19" s="876"/>
      <c r="F19" s="876"/>
      <c r="G19" s="876"/>
      <c r="H19" s="410"/>
      <c r="I19" s="410"/>
      <c r="J19" s="410"/>
      <c r="K19" s="410"/>
      <c r="L19" s="410"/>
      <c r="M19" s="410"/>
      <c r="N19" s="410"/>
      <c r="O19" s="410"/>
      <c r="P19" s="410"/>
      <c r="Q19" s="410"/>
      <c r="R19" s="410"/>
      <c r="S19" s="410"/>
      <c r="T19" s="410"/>
      <c r="U19" s="410"/>
      <c r="V19" s="410"/>
      <c r="W19" s="410"/>
      <c r="X19" s="410"/>
      <c r="Y19" s="410"/>
      <c r="Z19" s="410"/>
      <c r="AA19" s="410"/>
      <c r="AB19" s="410"/>
      <c r="AC19" s="410"/>
      <c r="AD19" s="410"/>
      <c r="AE19" s="410"/>
      <c r="AF19" s="410"/>
      <c r="AG19" s="410"/>
      <c r="AH19" s="410"/>
      <c r="AI19" s="410"/>
      <c r="AJ19" s="410"/>
      <c r="AK19" s="410"/>
      <c r="AL19" s="410"/>
      <c r="AM19" s="410"/>
      <c r="AN19" s="410"/>
      <c r="AO19" s="410"/>
      <c r="AP19" s="410"/>
      <c r="AQ19" s="410"/>
      <c r="AR19" s="410"/>
      <c r="AS19" s="410"/>
      <c r="AT19" s="410"/>
      <c r="AU19" s="410"/>
      <c r="AV19" s="410"/>
      <c r="AW19" s="410"/>
      <c r="AX19" s="410"/>
      <c r="AY19" s="410"/>
      <c r="AZ19" s="410"/>
      <c r="BA19" s="3"/>
    </row>
    <row r="20" spans="1:53" s="6" customFormat="1" ht="15" customHeight="1" x14ac:dyDescent="0.2">
      <c r="A20" s="410"/>
      <c r="B20" s="410"/>
      <c r="C20" s="410"/>
      <c r="D20" s="873"/>
      <c r="E20" s="410"/>
      <c r="F20" s="410"/>
      <c r="G20" s="410"/>
      <c r="H20" s="410"/>
      <c r="I20" s="412"/>
      <c r="J20" s="412"/>
      <c r="K20" s="410"/>
      <c r="L20" s="410"/>
      <c r="M20" s="410"/>
      <c r="N20" s="410"/>
      <c r="O20" s="410"/>
      <c r="P20" s="410"/>
      <c r="Q20" s="410"/>
      <c r="R20" s="410"/>
      <c r="S20" s="410"/>
      <c r="T20" s="410"/>
      <c r="U20" s="410"/>
      <c r="V20" s="410"/>
      <c r="W20" s="410"/>
      <c r="X20" s="410"/>
      <c r="Y20" s="410"/>
      <c r="Z20" s="410"/>
      <c r="AA20" s="410"/>
      <c r="AB20" s="410"/>
      <c r="AC20" s="410"/>
      <c r="AD20" s="410"/>
      <c r="AE20" s="410"/>
      <c r="AF20" s="410"/>
      <c r="AG20" s="410"/>
      <c r="AH20" s="410"/>
      <c r="AI20" s="410"/>
      <c r="AJ20" s="410"/>
      <c r="AK20" s="410"/>
      <c r="AL20" s="410"/>
      <c r="AM20" s="410"/>
      <c r="AN20" s="410"/>
      <c r="AO20" s="410"/>
      <c r="AP20" s="410"/>
      <c r="AQ20" s="410"/>
      <c r="AR20" s="410"/>
      <c r="AS20" s="410"/>
      <c r="AT20" s="410"/>
      <c r="AU20" s="410"/>
      <c r="AV20" s="410"/>
      <c r="AW20" s="410"/>
      <c r="AX20" s="410"/>
      <c r="AY20" s="410"/>
      <c r="AZ20" s="410"/>
      <c r="BA20" s="3"/>
    </row>
    <row r="21" spans="1:53" ht="18" customHeight="1" x14ac:dyDescent="0.2">
      <c r="A21" s="865" t="s">
        <v>165</v>
      </c>
      <c r="B21" s="866"/>
      <c r="C21" s="888"/>
      <c r="D21" s="868"/>
      <c r="E21" s="415"/>
      <c r="F21" s="879"/>
      <c r="G21" s="415"/>
      <c r="H21" s="410"/>
      <c r="I21" s="412"/>
      <c r="J21" s="412"/>
      <c r="K21" s="415"/>
      <c r="L21" s="415"/>
      <c r="M21" s="415"/>
      <c r="N21" s="415"/>
      <c r="O21" s="415"/>
      <c r="P21" s="415"/>
      <c r="Q21" s="415"/>
      <c r="R21" s="415"/>
      <c r="S21" s="415"/>
      <c r="T21" s="415"/>
      <c r="U21" s="415"/>
      <c r="V21" s="415"/>
      <c r="W21" s="415"/>
      <c r="X21" s="415"/>
      <c r="Y21" s="415"/>
      <c r="Z21" s="415"/>
      <c r="AA21" s="415"/>
      <c r="AB21" s="415"/>
      <c r="AC21" s="415"/>
      <c r="AD21" s="415"/>
      <c r="AE21" s="415"/>
      <c r="AF21" s="415"/>
      <c r="AG21" s="415"/>
      <c r="AH21" s="415"/>
      <c r="AI21" s="415"/>
      <c r="AJ21" s="415"/>
      <c r="AK21" s="415"/>
      <c r="AL21" s="415"/>
      <c r="AM21" s="415"/>
      <c r="AN21" s="415"/>
      <c r="AO21" s="415"/>
      <c r="AP21" s="415"/>
      <c r="AQ21" s="415"/>
      <c r="AR21" s="415"/>
      <c r="AS21" s="415"/>
      <c r="AT21" s="415"/>
      <c r="AU21" s="415"/>
      <c r="AV21" s="415"/>
      <c r="AW21" s="415"/>
      <c r="AX21" s="415"/>
      <c r="AY21" s="415"/>
      <c r="AZ21" s="415"/>
      <c r="BA21" s="3"/>
    </row>
    <row r="22" spans="1:53" x14ac:dyDescent="0.2">
      <c r="A22" s="410"/>
      <c r="B22" s="410"/>
      <c r="C22" s="889" t="s">
        <v>546</v>
      </c>
      <c r="D22" s="889" t="s">
        <v>545</v>
      </c>
      <c r="E22" s="890"/>
      <c r="F22" s="879"/>
      <c r="G22" s="410"/>
      <c r="H22" s="410"/>
      <c r="I22" s="412"/>
      <c r="J22" s="412"/>
      <c r="K22" s="415"/>
      <c r="L22" s="415"/>
      <c r="M22" s="415"/>
      <c r="N22" s="415"/>
      <c r="O22" s="415"/>
      <c r="P22" s="415"/>
      <c r="Q22" s="415"/>
      <c r="R22" s="415"/>
      <c r="S22" s="415"/>
      <c r="T22" s="415"/>
      <c r="U22" s="415"/>
      <c r="V22" s="415"/>
      <c r="W22" s="415"/>
      <c r="X22" s="415"/>
      <c r="Y22" s="415"/>
      <c r="Z22" s="415"/>
      <c r="AA22" s="415"/>
      <c r="AB22" s="415"/>
      <c r="AC22" s="415"/>
      <c r="AD22" s="415"/>
      <c r="AE22" s="415"/>
      <c r="AF22" s="415"/>
      <c r="AG22" s="415"/>
      <c r="AH22" s="415"/>
      <c r="AI22" s="415"/>
      <c r="AJ22" s="415"/>
      <c r="AK22" s="415"/>
      <c r="AL22" s="415"/>
      <c r="AM22" s="415"/>
      <c r="AN22" s="415"/>
      <c r="AO22" s="415"/>
      <c r="AP22" s="415"/>
      <c r="AQ22" s="415"/>
      <c r="AR22" s="415"/>
      <c r="AS22" s="415"/>
      <c r="AT22" s="415"/>
      <c r="AU22" s="415"/>
      <c r="AV22" s="415"/>
      <c r="AW22" s="415"/>
      <c r="AX22" s="415"/>
      <c r="AY22" s="415"/>
      <c r="AZ22" s="415"/>
      <c r="BA22" s="3"/>
    </row>
    <row r="23" spans="1:53" ht="15" customHeight="1" x14ac:dyDescent="0.2">
      <c r="A23" s="877" t="s">
        <v>35</v>
      </c>
      <c r="B23" s="877"/>
      <c r="C23" s="891"/>
      <c r="D23" s="416">
        <f ca="1">ROUND(IF(NFK_ges&lt;=200000,NFK_ges*12%,IF(NFK_ges&lt;=500000,24000+(NFK_ges-200000)*5%,IF(NFK_ges&lt;=800000,39000+(NFK_ges-500000)*3%,IF(NFK_ges&lt;=2800000,48000+(NFK_ges-800000)*2%,IF(NFK_ges&lt;=6000000,88000+(NFK_ges-2800000)*1%,NFK_ges*2%))))),-1)</f>
        <v>0</v>
      </c>
      <c r="E23" s="876"/>
      <c r="F23" s="876"/>
      <c r="G23" s="892"/>
      <c r="H23" s="410"/>
      <c r="I23" s="412"/>
      <c r="J23" s="412"/>
      <c r="K23" s="415"/>
      <c r="L23" s="415"/>
      <c r="M23" s="415"/>
      <c r="N23" s="415"/>
      <c r="O23" s="415"/>
      <c r="P23" s="415"/>
      <c r="Q23" s="415"/>
      <c r="R23" s="415"/>
      <c r="S23" s="415"/>
      <c r="T23" s="415"/>
      <c r="U23" s="415"/>
      <c r="V23" s="415"/>
      <c r="W23" s="415"/>
      <c r="X23" s="415"/>
      <c r="Y23" s="415"/>
      <c r="Z23" s="415"/>
      <c r="AA23" s="415"/>
      <c r="AB23" s="415"/>
      <c r="AC23" s="415"/>
      <c r="AD23" s="415"/>
      <c r="AE23" s="415"/>
      <c r="AF23" s="415"/>
      <c r="AG23" s="415"/>
      <c r="AH23" s="415"/>
      <c r="AI23" s="415"/>
      <c r="AJ23" s="415"/>
      <c r="AK23" s="415"/>
      <c r="AL23" s="415"/>
      <c r="AM23" s="415"/>
      <c r="AN23" s="415"/>
      <c r="AO23" s="415"/>
      <c r="AP23" s="415"/>
      <c r="AQ23" s="415"/>
      <c r="AR23" s="415"/>
      <c r="AS23" s="415"/>
      <c r="AT23" s="415"/>
      <c r="AU23" s="415"/>
      <c r="AV23" s="415"/>
      <c r="AW23" s="415"/>
      <c r="AX23" s="415"/>
      <c r="AY23" s="415"/>
      <c r="AZ23" s="415"/>
      <c r="BA23" s="3"/>
    </row>
    <row r="24" spans="1:53" ht="15" customHeight="1" x14ac:dyDescent="0.2">
      <c r="A24" s="877" t="s">
        <v>142</v>
      </c>
      <c r="B24" s="877"/>
      <c r="C24" s="891"/>
      <c r="D24" s="416">
        <f ca="1">ROUND(IF(NFK_ges&lt;=200000,NFK_ges*18%,IF(NFK_ges&lt;=300000,36000+(NFK_ges-200000)*6%,IF(NFK_ges&lt;=600000,42000+(NFK_ges-300000)*4%,IF(NFK_ges&lt;=2400000,54000+(NFK_ges-600000)*3%,IF(NFK_ges&lt;=3000000,108000+(NFK_ges-2400000)*2%,IF(NFK_ges&lt;=4500000,120000+(NFK_ges-3000000)*1%,NFK_ges*3%)))))),-1)</f>
        <v>0</v>
      </c>
      <c r="E24" s="893"/>
      <c r="F24" s="876"/>
      <c r="G24" s="892"/>
      <c r="H24" s="410"/>
      <c r="I24" s="412"/>
      <c r="J24" s="412"/>
      <c r="K24" s="415"/>
      <c r="L24" s="415"/>
      <c r="M24" s="415"/>
      <c r="N24" s="415"/>
      <c r="O24" s="415"/>
      <c r="P24" s="415"/>
      <c r="Q24" s="415"/>
      <c r="R24" s="415"/>
      <c r="S24" s="415"/>
      <c r="T24" s="415"/>
      <c r="U24" s="415"/>
      <c r="V24" s="415"/>
      <c r="W24" s="415"/>
      <c r="X24" s="415"/>
      <c r="Y24" s="415"/>
      <c r="Z24" s="415"/>
      <c r="AA24" s="415"/>
      <c r="AB24" s="415"/>
      <c r="AC24" s="415"/>
      <c r="AD24" s="415"/>
      <c r="AE24" s="415"/>
      <c r="AF24" s="415"/>
      <c r="AG24" s="415"/>
      <c r="AH24" s="415"/>
      <c r="AI24" s="415"/>
      <c r="AJ24" s="415"/>
      <c r="AK24" s="415"/>
      <c r="AL24" s="415"/>
      <c r="AM24" s="415"/>
      <c r="AN24" s="415"/>
      <c r="AO24" s="415"/>
      <c r="AP24" s="415"/>
      <c r="AQ24" s="415"/>
      <c r="AR24" s="415"/>
      <c r="AS24" s="415"/>
      <c r="AT24" s="415"/>
      <c r="AU24" s="415"/>
      <c r="AV24" s="415"/>
      <c r="AW24" s="415"/>
      <c r="AX24" s="415"/>
      <c r="AY24" s="415"/>
      <c r="AZ24" s="415"/>
      <c r="BA24" s="3"/>
    </row>
    <row r="25" spans="1:53" ht="15" customHeight="1" x14ac:dyDescent="0.2">
      <c r="A25" s="877"/>
      <c r="B25" s="877"/>
      <c r="C25" s="891"/>
      <c r="D25" s="416"/>
      <c r="E25" s="893"/>
      <c r="F25" s="876"/>
      <c r="G25" s="892"/>
      <c r="H25" s="410"/>
      <c r="I25" s="412"/>
      <c r="J25" s="412"/>
      <c r="K25" s="415"/>
      <c r="L25" s="415"/>
      <c r="M25" s="415"/>
      <c r="N25" s="415"/>
      <c r="O25" s="415"/>
      <c r="P25" s="415"/>
      <c r="Q25" s="415"/>
      <c r="R25" s="415"/>
      <c r="S25" s="415"/>
      <c r="T25" s="415"/>
      <c r="U25" s="415"/>
      <c r="V25" s="415"/>
      <c r="W25" s="415"/>
      <c r="X25" s="415"/>
      <c r="Y25" s="415"/>
      <c r="Z25" s="415"/>
      <c r="AA25" s="415"/>
      <c r="AB25" s="415"/>
      <c r="AC25" s="415"/>
      <c r="AD25" s="415"/>
      <c r="AE25" s="415"/>
      <c r="AF25" s="415"/>
      <c r="AG25" s="415"/>
      <c r="AH25" s="415"/>
      <c r="AI25" s="415"/>
      <c r="AJ25" s="415"/>
      <c r="AK25" s="415"/>
      <c r="AL25" s="415"/>
      <c r="AM25" s="415"/>
      <c r="AN25" s="415"/>
      <c r="AO25" s="415"/>
      <c r="AP25" s="415"/>
      <c r="AQ25" s="415"/>
      <c r="AR25" s="415"/>
      <c r="AS25" s="415"/>
      <c r="AT25" s="415"/>
      <c r="AU25" s="415"/>
      <c r="AV25" s="415"/>
      <c r="AW25" s="415"/>
      <c r="AX25" s="415"/>
      <c r="AY25" s="415"/>
      <c r="AZ25" s="415"/>
      <c r="BA25" s="3"/>
    </row>
    <row r="26" spans="1:53" ht="15" customHeight="1" x14ac:dyDescent="0.2">
      <c r="A26" s="877"/>
      <c r="B26" s="877"/>
      <c r="C26" s="891"/>
      <c r="D26" s="894"/>
      <c r="E26" s="894"/>
      <c r="F26" s="876"/>
      <c r="G26" s="892"/>
      <c r="H26" s="410"/>
      <c r="I26" s="412"/>
      <c r="J26" s="412"/>
      <c r="K26" s="415"/>
      <c r="L26" s="415"/>
      <c r="M26" s="415"/>
      <c r="N26" s="415"/>
      <c r="O26" s="415"/>
      <c r="P26" s="415"/>
      <c r="Q26" s="415"/>
      <c r="R26" s="415"/>
      <c r="S26" s="415"/>
      <c r="T26" s="415"/>
      <c r="U26" s="415"/>
      <c r="V26" s="415"/>
      <c r="W26" s="415"/>
      <c r="X26" s="415"/>
      <c r="Y26" s="415"/>
      <c r="Z26" s="415"/>
      <c r="AA26" s="415"/>
      <c r="AB26" s="415"/>
      <c r="AC26" s="415"/>
      <c r="AD26" s="415"/>
      <c r="AE26" s="415"/>
      <c r="AF26" s="415"/>
      <c r="AG26" s="415"/>
      <c r="AH26" s="415"/>
      <c r="AI26" s="415"/>
      <c r="AJ26" s="415"/>
      <c r="AK26" s="415"/>
      <c r="AL26" s="415"/>
      <c r="AM26" s="415"/>
      <c r="AN26" s="415"/>
      <c r="AO26" s="415"/>
      <c r="AP26" s="415"/>
      <c r="AQ26" s="415"/>
      <c r="AR26" s="415"/>
      <c r="AS26" s="415"/>
      <c r="AT26" s="415"/>
      <c r="AU26" s="415"/>
      <c r="AV26" s="415"/>
      <c r="AW26" s="415"/>
      <c r="AX26" s="415"/>
      <c r="AY26" s="415"/>
      <c r="AZ26" s="415"/>
      <c r="BA26" s="3"/>
    </row>
    <row r="27" spans="1:53" ht="15" customHeight="1" x14ac:dyDescent="0.2">
      <c r="A27" s="877" t="s">
        <v>214</v>
      </c>
      <c r="B27" s="877"/>
      <c r="C27" s="416">
        <f ca="1">IF(NFK&gt;5000000,250000,IF(NFK&lt;=200000,NFK*10%,IF(NFK&lt;=1000000,20000+(NFK-200000)*6.875%,IF(NFK&lt;=1000000,NFK*7.5%,IF(NFK&lt;=1500000,75000+(NFK-1000000)*5%,IF(NFK&lt;=2500000,100000+(NFK-1500000)*2.5%,NFK*5%))))))</f>
        <v>0</v>
      </c>
      <c r="D27" s="417"/>
      <c r="E27" s="894"/>
      <c r="F27" s="417"/>
      <c r="G27" s="892"/>
      <c r="H27" s="410"/>
      <c r="I27" s="412"/>
      <c r="J27" s="412"/>
      <c r="K27" s="415"/>
      <c r="L27" s="415"/>
      <c r="M27" s="415"/>
      <c r="N27" s="415"/>
      <c r="O27" s="415"/>
      <c r="P27" s="415"/>
      <c r="Q27" s="415"/>
      <c r="R27" s="415"/>
      <c r="S27" s="415"/>
      <c r="T27" s="415"/>
      <c r="U27" s="415"/>
      <c r="V27" s="415"/>
      <c r="W27" s="415"/>
      <c r="X27" s="415"/>
      <c r="Y27" s="415"/>
      <c r="Z27" s="415"/>
      <c r="AA27" s="415"/>
      <c r="AB27" s="415"/>
      <c r="AC27" s="415"/>
      <c r="AD27" s="415"/>
      <c r="AE27" s="415"/>
      <c r="AF27" s="415"/>
      <c r="AG27" s="415"/>
      <c r="AH27" s="415"/>
      <c r="AI27" s="415"/>
      <c r="AJ27" s="415"/>
      <c r="AK27" s="415"/>
      <c r="AL27" s="415"/>
      <c r="AM27" s="415"/>
      <c r="AN27" s="415"/>
      <c r="AO27" s="415"/>
      <c r="AP27" s="415"/>
      <c r="AQ27" s="415"/>
      <c r="AR27" s="415"/>
      <c r="AS27" s="415"/>
      <c r="AT27" s="415"/>
      <c r="AU27" s="415"/>
      <c r="AV27" s="415"/>
      <c r="AW27" s="415"/>
      <c r="AX27" s="415"/>
      <c r="AY27" s="415"/>
      <c r="AZ27" s="415"/>
      <c r="BA27" s="3"/>
    </row>
    <row r="28" spans="1:53" ht="15" customHeight="1" x14ac:dyDescent="0.2">
      <c r="A28" s="877" t="s">
        <v>548</v>
      </c>
      <c r="B28" s="877"/>
      <c r="C28" s="416">
        <f ca="1">ROUND(IF(NFK&gt;=5000000,375000,IF(NFK&lt;=800000,NFK*9%,IF(NFK&lt;=1200000,72000+(NFK-800000)*30000/400000,IF(NFK&lt;=1600000,102000+(NFK-1200000)*26000/400000,IF(NFK&lt;=2500000,128000+(NFK-1600000)*59500/900000,NFK*7.5%))))),-1)</f>
        <v>0</v>
      </c>
      <c r="D28" s="877"/>
      <c r="E28" s="894"/>
      <c r="F28" s="410"/>
      <c r="G28" s="410"/>
      <c r="H28" s="410"/>
      <c r="I28" s="412"/>
      <c r="J28" s="412"/>
      <c r="K28" s="415"/>
      <c r="L28" s="415"/>
      <c r="M28" s="415"/>
      <c r="N28" s="415"/>
      <c r="O28" s="415"/>
      <c r="P28" s="415"/>
      <c r="Q28" s="415"/>
      <c r="R28" s="415"/>
      <c r="S28" s="415"/>
      <c r="T28" s="415"/>
      <c r="U28" s="415"/>
      <c r="V28" s="415"/>
      <c r="W28" s="415"/>
      <c r="X28" s="415"/>
      <c r="Y28" s="415"/>
      <c r="Z28" s="415"/>
      <c r="AA28" s="415"/>
      <c r="AB28" s="415"/>
      <c r="AC28" s="415"/>
      <c r="AD28" s="415"/>
      <c r="AE28" s="415"/>
      <c r="AF28" s="415"/>
      <c r="AG28" s="415"/>
      <c r="AH28" s="415"/>
      <c r="AI28" s="415"/>
      <c r="AJ28" s="415"/>
      <c r="AK28" s="415"/>
      <c r="AL28" s="415"/>
      <c r="AM28" s="415"/>
      <c r="AN28" s="415"/>
      <c r="AO28" s="415"/>
      <c r="AP28" s="415"/>
      <c r="AQ28" s="415"/>
      <c r="AR28" s="415"/>
      <c r="AS28" s="415"/>
      <c r="AT28" s="415"/>
      <c r="AU28" s="415"/>
      <c r="AV28" s="415"/>
      <c r="AW28" s="415"/>
      <c r="AX28" s="415"/>
      <c r="AY28" s="415"/>
      <c r="AZ28" s="415"/>
      <c r="BA28" s="3"/>
    </row>
    <row r="29" spans="1:53" s="5" customFormat="1" ht="15" customHeight="1" x14ac:dyDescent="0.2">
      <c r="A29" s="410"/>
      <c r="B29" s="410"/>
      <c r="C29" s="410"/>
      <c r="D29" s="410"/>
      <c r="E29" s="410"/>
      <c r="F29" s="410"/>
      <c r="G29" s="410"/>
      <c r="H29" s="410"/>
      <c r="I29" s="412"/>
      <c r="J29" s="412"/>
      <c r="K29" s="418"/>
      <c r="L29" s="418"/>
      <c r="M29" s="418"/>
      <c r="N29" s="418"/>
      <c r="O29" s="418"/>
      <c r="P29" s="418"/>
      <c r="Q29" s="418"/>
      <c r="R29" s="418"/>
      <c r="S29" s="418"/>
      <c r="T29" s="418"/>
      <c r="U29" s="418"/>
      <c r="V29" s="418"/>
      <c r="W29" s="418"/>
      <c r="X29" s="418"/>
      <c r="Y29" s="418"/>
      <c r="Z29" s="418"/>
      <c r="AA29" s="418"/>
      <c r="AB29" s="418"/>
      <c r="AC29" s="418"/>
      <c r="AD29" s="418"/>
      <c r="AE29" s="418"/>
      <c r="AF29" s="418"/>
      <c r="AG29" s="418"/>
      <c r="AH29" s="418"/>
      <c r="AI29" s="418"/>
      <c r="AJ29" s="418"/>
      <c r="AK29" s="418"/>
      <c r="AL29" s="418"/>
      <c r="AM29" s="418"/>
      <c r="AN29" s="418"/>
      <c r="AO29" s="418"/>
      <c r="AP29" s="418"/>
      <c r="AQ29" s="418"/>
      <c r="AR29" s="418"/>
      <c r="AS29" s="418"/>
      <c r="AT29" s="418"/>
      <c r="AU29" s="418"/>
      <c r="AV29" s="418"/>
      <c r="AW29" s="418"/>
      <c r="AX29" s="418"/>
      <c r="AY29" s="418"/>
      <c r="AZ29" s="418"/>
      <c r="BA29" s="3"/>
    </row>
    <row r="30" spans="1:53" ht="15" customHeight="1" x14ac:dyDescent="0.2">
      <c r="A30" s="410"/>
      <c r="B30" s="410"/>
      <c r="C30" s="410"/>
      <c r="D30" s="410"/>
      <c r="E30" s="410"/>
      <c r="F30" s="410"/>
      <c r="G30" s="410"/>
      <c r="H30" s="411"/>
      <c r="I30" s="412"/>
      <c r="J30" s="413"/>
      <c r="K30" s="415"/>
      <c r="L30" s="415"/>
      <c r="M30" s="415"/>
      <c r="N30" s="415"/>
      <c r="O30" s="415"/>
      <c r="P30" s="415"/>
      <c r="Q30" s="415"/>
      <c r="R30" s="415"/>
      <c r="S30" s="415"/>
      <c r="T30" s="415"/>
      <c r="U30" s="415"/>
      <c r="V30" s="415"/>
      <c r="W30" s="415"/>
      <c r="X30" s="415"/>
      <c r="Y30" s="415"/>
      <c r="Z30" s="415"/>
      <c r="AA30" s="415"/>
      <c r="AB30" s="415"/>
      <c r="AC30" s="415"/>
      <c r="AD30" s="415"/>
      <c r="AE30" s="415"/>
      <c r="AF30" s="415"/>
      <c r="AG30" s="415"/>
      <c r="AH30" s="415"/>
      <c r="AI30" s="415"/>
      <c r="AJ30" s="415"/>
      <c r="AK30" s="415"/>
      <c r="AL30" s="415"/>
      <c r="AM30" s="415"/>
      <c r="AN30" s="415"/>
      <c r="AO30" s="415"/>
      <c r="AP30" s="415"/>
      <c r="AQ30" s="415"/>
      <c r="AR30" s="415"/>
      <c r="AS30" s="415"/>
      <c r="AT30" s="415"/>
      <c r="AU30" s="415"/>
      <c r="AV30" s="415"/>
      <c r="AW30" s="415"/>
      <c r="AX30" s="415"/>
      <c r="AY30" s="415"/>
      <c r="AZ30" s="415"/>
      <c r="BA30" s="3"/>
    </row>
    <row r="31" spans="1:53" ht="15" hidden="1" customHeight="1" x14ac:dyDescent="0.2">
      <c r="A31" s="410"/>
      <c r="B31" s="410"/>
      <c r="C31" s="410"/>
      <c r="D31" s="410"/>
      <c r="E31" s="410"/>
      <c r="F31" s="410"/>
      <c r="G31" s="410"/>
      <c r="H31" s="411"/>
      <c r="I31" s="412"/>
      <c r="J31" s="413"/>
      <c r="K31" s="415"/>
      <c r="L31" s="415"/>
      <c r="M31" s="415"/>
      <c r="N31" s="415"/>
      <c r="O31" s="415"/>
      <c r="P31" s="415"/>
      <c r="Q31" s="415"/>
      <c r="R31" s="415"/>
      <c r="S31" s="415"/>
      <c r="T31" s="415"/>
      <c r="U31" s="415"/>
      <c r="V31" s="415"/>
      <c r="W31" s="415"/>
      <c r="X31" s="415"/>
      <c r="Y31" s="415"/>
      <c r="Z31" s="415"/>
      <c r="AA31" s="415"/>
      <c r="AB31" s="415"/>
      <c r="AC31" s="415"/>
      <c r="AD31" s="415"/>
      <c r="AE31" s="415"/>
      <c r="AF31" s="415"/>
      <c r="AG31" s="415"/>
      <c r="AH31" s="415"/>
      <c r="AI31" s="415"/>
      <c r="AJ31" s="415"/>
      <c r="AK31" s="415"/>
      <c r="AL31" s="415"/>
      <c r="AM31" s="415"/>
      <c r="AN31" s="415"/>
      <c r="AO31" s="415"/>
      <c r="AP31" s="415"/>
      <c r="AQ31" s="415"/>
      <c r="AR31" s="415"/>
      <c r="AS31" s="415"/>
      <c r="AT31" s="415"/>
      <c r="AU31" s="415"/>
      <c r="AV31" s="415"/>
      <c r="AW31" s="415"/>
      <c r="AX31" s="415"/>
      <c r="AY31" s="415"/>
      <c r="AZ31" s="415"/>
      <c r="BA31" s="3"/>
    </row>
    <row r="32" spans="1:53" ht="15" customHeight="1" x14ac:dyDescent="0.2">
      <c r="A32" s="410"/>
      <c r="B32" s="410"/>
      <c r="C32" s="410"/>
      <c r="D32" s="410"/>
      <c r="E32" s="410"/>
      <c r="F32" s="410"/>
      <c r="G32" s="410"/>
      <c r="H32" s="410"/>
      <c r="I32" s="414"/>
      <c r="J32" s="414"/>
      <c r="K32" s="415"/>
      <c r="L32" s="415"/>
      <c r="M32" s="415"/>
      <c r="N32" s="415"/>
      <c r="O32" s="415"/>
      <c r="P32" s="415"/>
      <c r="Q32" s="415"/>
      <c r="R32" s="415"/>
      <c r="S32" s="415"/>
      <c r="T32" s="415"/>
      <c r="U32" s="415"/>
      <c r="V32" s="415"/>
      <c r="W32" s="415"/>
      <c r="X32" s="415"/>
      <c r="Y32" s="415"/>
      <c r="Z32" s="415"/>
      <c r="AA32" s="415"/>
      <c r="AB32" s="415"/>
      <c r="AC32" s="415"/>
      <c r="AD32" s="415"/>
      <c r="AE32" s="415"/>
      <c r="AF32" s="415"/>
      <c r="AG32" s="415"/>
      <c r="AH32" s="415"/>
      <c r="AI32" s="415"/>
      <c r="AJ32" s="415"/>
      <c r="AK32" s="415"/>
      <c r="AL32" s="415"/>
      <c r="AM32" s="415"/>
      <c r="AN32" s="415"/>
      <c r="AO32" s="415"/>
      <c r="AP32" s="415"/>
      <c r="AQ32" s="415"/>
      <c r="AR32" s="415"/>
      <c r="AS32" s="415"/>
      <c r="AT32" s="415"/>
      <c r="AU32" s="415"/>
      <c r="AV32" s="415"/>
      <c r="AW32" s="415"/>
      <c r="AX32" s="415"/>
      <c r="AY32" s="415"/>
      <c r="AZ32" s="415"/>
      <c r="BA32" s="3"/>
    </row>
    <row r="33" spans="1:53" ht="15" customHeight="1" x14ac:dyDescent="0.2">
      <c r="A33" s="410"/>
      <c r="B33" s="410"/>
      <c r="C33" s="771"/>
      <c r="D33" s="410"/>
      <c r="E33" s="410"/>
      <c r="F33" s="410"/>
      <c r="G33" s="410"/>
      <c r="H33" s="415"/>
      <c r="I33" s="415"/>
      <c r="J33" s="415"/>
      <c r="K33" s="415"/>
      <c r="L33" s="415"/>
      <c r="M33" s="415"/>
      <c r="N33" s="415"/>
      <c r="O33" s="415"/>
      <c r="P33" s="415"/>
      <c r="Q33" s="415"/>
      <c r="R33" s="415"/>
      <c r="S33" s="415"/>
      <c r="T33" s="415"/>
      <c r="U33" s="415"/>
      <c r="V33" s="415"/>
      <c r="W33" s="415"/>
      <c r="X33" s="415"/>
      <c r="Y33" s="415"/>
      <c r="Z33" s="415"/>
      <c r="AA33" s="415"/>
      <c r="AB33" s="415"/>
      <c r="AC33" s="415"/>
      <c r="AD33" s="415"/>
      <c r="AE33" s="415"/>
      <c r="AF33" s="415"/>
      <c r="AG33" s="415"/>
      <c r="AH33" s="415"/>
      <c r="AI33" s="415"/>
      <c r="AJ33" s="415"/>
      <c r="AK33" s="415"/>
      <c r="AL33" s="415"/>
      <c r="AM33" s="415"/>
      <c r="AN33" s="415"/>
      <c r="AO33" s="415"/>
      <c r="AP33" s="415"/>
      <c r="AQ33" s="415"/>
      <c r="AR33" s="415"/>
      <c r="AS33" s="415"/>
      <c r="AT33" s="415"/>
      <c r="AU33" s="415"/>
      <c r="AV33" s="415"/>
      <c r="AW33" s="415"/>
      <c r="AX33" s="415"/>
      <c r="AY33" s="415"/>
      <c r="AZ33" s="415"/>
      <c r="BA33" s="3"/>
    </row>
    <row r="34" spans="1:53" ht="15" customHeight="1" x14ac:dyDescent="0.2">
      <c r="A34" s="410"/>
      <c r="B34" s="410"/>
      <c r="C34" s="410"/>
      <c r="D34" s="410"/>
      <c r="E34" s="410"/>
      <c r="F34" s="410"/>
      <c r="G34" s="410"/>
      <c r="H34" s="415"/>
      <c r="I34" s="415"/>
      <c r="J34" s="415"/>
      <c r="K34" s="415"/>
      <c r="L34" s="415"/>
      <c r="M34" s="415"/>
      <c r="N34" s="415"/>
      <c r="O34" s="415"/>
      <c r="P34" s="415"/>
      <c r="Q34" s="415"/>
      <c r="R34" s="415"/>
      <c r="S34" s="415"/>
      <c r="T34" s="415"/>
      <c r="U34" s="415"/>
      <c r="V34" s="415"/>
      <c r="W34" s="415"/>
      <c r="X34" s="415"/>
      <c r="Y34" s="415"/>
      <c r="Z34" s="415"/>
      <c r="AA34" s="415"/>
      <c r="AB34" s="415"/>
      <c r="AC34" s="415"/>
      <c r="AD34" s="415"/>
      <c r="AE34" s="415"/>
      <c r="AF34" s="415"/>
      <c r="AG34" s="415"/>
      <c r="AH34" s="415"/>
      <c r="AI34" s="415"/>
      <c r="AJ34" s="415"/>
      <c r="AK34" s="415"/>
      <c r="AL34" s="415"/>
      <c r="AM34" s="415"/>
      <c r="AN34" s="415"/>
      <c r="AO34" s="415"/>
      <c r="AP34" s="415"/>
      <c r="AQ34" s="415"/>
      <c r="AR34" s="415"/>
      <c r="AS34" s="415"/>
      <c r="AT34" s="415"/>
      <c r="AU34" s="415"/>
      <c r="AV34" s="415"/>
      <c r="AW34" s="415"/>
      <c r="AX34" s="415"/>
      <c r="AY34" s="415"/>
      <c r="AZ34" s="415"/>
      <c r="BA34" s="3"/>
    </row>
    <row r="35" spans="1:53" ht="15" customHeight="1" x14ac:dyDescent="0.2">
      <c r="A35" s="410"/>
      <c r="B35" s="410"/>
      <c r="C35" s="410"/>
      <c r="D35" s="410"/>
      <c r="E35" s="410"/>
      <c r="F35" s="410"/>
      <c r="G35" s="410"/>
      <c r="H35" s="415"/>
      <c r="I35" s="415"/>
      <c r="J35" s="415"/>
      <c r="K35" s="415"/>
      <c r="L35" s="415"/>
      <c r="M35" s="415"/>
      <c r="N35" s="415"/>
      <c r="O35" s="415"/>
      <c r="P35" s="415"/>
      <c r="Q35" s="415"/>
      <c r="R35" s="415"/>
      <c r="S35" s="415"/>
      <c r="T35" s="415"/>
      <c r="U35" s="415"/>
      <c r="V35" s="415"/>
      <c r="W35" s="415"/>
      <c r="X35" s="415"/>
      <c r="Y35" s="415"/>
      <c r="Z35" s="415"/>
      <c r="AA35" s="415"/>
      <c r="AB35" s="415"/>
      <c r="AC35" s="415"/>
      <c r="AD35" s="415"/>
      <c r="AE35" s="415"/>
      <c r="AF35" s="415"/>
      <c r="AG35" s="415"/>
      <c r="AH35" s="415"/>
      <c r="AI35" s="415"/>
      <c r="AJ35" s="415"/>
      <c r="AK35" s="415"/>
      <c r="AL35" s="415"/>
      <c r="AM35" s="415"/>
      <c r="AN35" s="415"/>
      <c r="AO35" s="415"/>
      <c r="AP35" s="415"/>
      <c r="AQ35" s="415"/>
      <c r="AR35" s="415"/>
      <c r="AS35" s="415"/>
      <c r="AT35" s="415"/>
      <c r="AU35" s="415"/>
      <c r="AV35" s="415"/>
      <c r="AW35" s="415"/>
      <c r="AX35" s="415"/>
      <c r="AY35" s="415"/>
      <c r="AZ35" s="415"/>
      <c r="BA35" s="3"/>
    </row>
    <row r="36" spans="1:53" ht="15" customHeight="1" x14ac:dyDescent="0.2">
      <c r="A36" s="410"/>
      <c r="B36" s="410"/>
      <c r="C36" s="410"/>
      <c r="D36" s="410"/>
      <c r="E36" s="410"/>
      <c r="F36" s="410"/>
      <c r="G36" s="410"/>
      <c r="H36" s="415"/>
      <c r="I36" s="415"/>
      <c r="J36" s="415"/>
      <c r="K36" s="415"/>
      <c r="L36" s="415"/>
      <c r="M36" s="415"/>
      <c r="N36" s="415"/>
      <c r="O36" s="415"/>
      <c r="P36" s="415"/>
      <c r="Q36" s="415"/>
      <c r="R36" s="415"/>
      <c r="S36" s="415"/>
      <c r="T36" s="415"/>
      <c r="U36" s="415"/>
      <c r="V36" s="415"/>
      <c r="W36" s="415"/>
      <c r="X36" s="415"/>
      <c r="Y36" s="415"/>
      <c r="Z36" s="415"/>
      <c r="AA36" s="415"/>
      <c r="AB36" s="415"/>
      <c r="AC36" s="415"/>
      <c r="AD36" s="415"/>
      <c r="AE36" s="415"/>
      <c r="AF36" s="415"/>
      <c r="AG36" s="415"/>
      <c r="AH36" s="415"/>
      <c r="AI36" s="415"/>
      <c r="AJ36" s="415"/>
      <c r="AK36" s="415"/>
      <c r="AL36" s="415"/>
      <c r="AM36" s="415"/>
      <c r="AN36" s="415"/>
      <c r="AO36" s="415"/>
      <c r="AP36" s="415"/>
      <c r="AQ36" s="415"/>
      <c r="AR36" s="415"/>
      <c r="AS36" s="415"/>
      <c r="AT36" s="415"/>
      <c r="AU36" s="415"/>
      <c r="AV36" s="415"/>
      <c r="AW36" s="415"/>
      <c r="AX36" s="415"/>
      <c r="AY36" s="415"/>
      <c r="AZ36" s="415"/>
      <c r="BA36" s="3"/>
    </row>
    <row r="37" spans="1:53" ht="15" customHeight="1" x14ac:dyDescent="0.2">
      <c r="A37" s="410"/>
      <c r="B37" s="410"/>
      <c r="C37" s="410"/>
      <c r="D37" s="410"/>
      <c r="E37" s="410"/>
      <c r="F37" s="410"/>
      <c r="G37" s="410"/>
      <c r="H37" s="415"/>
      <c r="I37" s="415"/>
      <c r="J37" s="415"/>
      <c r="K37" s="415"/>
      <c r="L37" s="415"/>
      <c r="M37" s="415"/>
      <c r="N37" s="415"/>
      <c r="O37" s="415"/>
      <c r="P37" s="415"/>
      <c r="Q37" s="415"/>
      <c r="R37" s="415"/>
      <c r="S37" s="415"/>
      <c r="T37" s="415"/>
      <c r="U37" s="415"/>
      <c r="V37" s="415"/>
      <c r="W37" s="415"/>
      <c r="X37" s="415"/>
      <c r="Y37" s="415"/>
      <c r="Z37" s="415"/>
      <c r="AA37" s="415"/>
      <c r="AB37" s="415"/>
      <c r="AC37" s="415"/>
      <c r="AD37" s="415"/>
      <c r="AE37" s="415"/>
      <c r="AF37" s="415"/>
      <c r="AG37" s="415"/>
      <c r="AH37" s="415"/>
      <c r="AI37" s="415"/>
      <c r="AJ37" s="415"/>
      <c r="AK37" s="415"/>
      <c r="AL37" s="415"/>
      <c r="AM37" s="415"/>
      <c r="AN37" s="415"/>
      <c r="AO37" s="415"/>
      <c r="AP37" s="415"/>
      <c r="AQ37" s="415"/>
      <c r="AR37" s="415"/>
      <c r="AS37" s="415"/>
      <c r="AT37" s="415"/>
      <c r="AU37" s="415"/>
      <c r="AV37" s="415"/>
      <c r="AW37" s="415"/>
      <c r="AX37" s="415"/>
      <c r="AY37" s="415"/>
      <c r="AZ37" s="415"/>
      <c r="BA37" s="3"/>
    </row>
    <row r="38" spans="1:53" ht="15" customHeight="1" x14ac:dyDescent="0.2">
      <c r="A38" s="410"/>
      <c r="B38" s="410"/>
      <c r="C38" s="410"/>
      <c r="D38" s="410"/>
      <c r="E38" s="410"/>
      <c r="F38" s="410"/>
      <c r="G38" s="410"/>
      <c r="H38" s="415"/>
      <c r="I38" s="415"/>
      <c r="J38" s="415"/>
      <c r="K38" s="415"/>
      <c r="L38" s="415"/>
      <c r="M38" s="415"/>
      <c r="N38" s="415"/>
      <c r="O38" s="415"/>
      <c r="P38" s="415"/>
      <c r="Q38" s="415"/>
      <c r="R38" s="415"/>
      <c r="S38" s="415"/>
      <c r="T38" s="415"/>
      <c r="U38" s="415"/>
      <c r="V38" s="415"/>
      <c r="W38" s="415"/>
      <c r="X38" s="415"/>
      <c r="Y38" s="415"/>
      <c r="Z38" s="415"/>
      <c r="AA38" s="415"/>
      <c r="AB38" s="415"/>
      <c r="AC38" s="415"/>
      <c r="AD38" s="415"/>
      <c r="AE38" s="415"/>
      <c r="AF38" s="415"/>
      <c r="AG38" s="415"/>
      <c r="AH38" s="415"/>
      <c r="AI38" s="415"/>
      <c r="AJ38" s="415"/>
      <c r="AK38" s="415"/>
      <c r="AL38" s="415"/>
      <c r="AM38" s="415"/>
      <c r="AN38" s="415"/>
      <c r="AO38" s="415"/>
      <c r="AP38" s="415"/>
      <c r="AQ38" s="415"/>
      <c r="AR38" s="415"/>
      <c r="AS38" s="415"/>
      <c r="AT38" s="415"/>
      <c r="AU38" s="415"/>
      <c r="AV38" s="415"/>
      <c r="AW38" s="415"/>
      <c r="AX38" s="415"/>
      <c r="AY38" s="415"/>
      <c r="AZ38" s="415"/>
      <c r="BA38" s="3"/>
    </row>
    <row r="39" spans="1:53" ht="15" customHeight="1" x14ac:dyDescent="0.2">
      <c r="A39" s="410"/>
      <c r="B39" s="410"/>
      <c r="C39" s="410"/>
      <c r="D39" s="410"/>
      <c r="E39" s="410"/>
      <c r="F39" s="410"/>
      <c r="G39" s="410"/>
      <c r="H39" s="415"/>
      <c r="I39" s="415"/>
      <c r="J39" s="415"/>
      <c r="K39" s="415"/>
      <c r="L39" s="415"/>
      <c r="M39" s="415"/>
      <c r="N39" s="415"/>
      <c r="O39" s="415"/>
      <c r="P39" s="415"/>
      <c r="Q39" s="415"/>
      <c r="R39" s="415"/>
      <c r="S39" s="415"/>
      <c r="T39" s="415"/>
      <c r="U39" s="415"/>
      <c r="V39" s="415"/>
      <c r="W39" s="415"/>
      <c r="X39" s="415"/>
      <c r="Y39" s="415"/>
      <c r="Z39" s="415"/>
      <c r="AA39" s="415"/>
      <c r="AB39" s="415"/>
      <c r="AC39" s="415"/>
      <c r="AD39" s="415"/>
      <c r="AE39" s="415"/>
      <c r="AF39" s="415"/>
      <c r="AG39" s="415"/>
      <c r="AH39" s="415"/>
      <c r="AI39" s="415"/>
      <c r="AJ39" s="415"/>
      <c r="AK39" s="415"/>
      <c r="AL39" s="415"/>
      <c r="AM39" s="415"/>
      <c r="AN39" s="415"/>
      <c r="AO39" s="415"/>
      <c r="AP39" s="415"/>
      <c r="AQ39" s="415"/>
      <c r="AR39" s="415"/>
      <c r="AS39" s="415"/>
      <c r="AT39" s="415"/>
      <c r="AU39" s="415"/>
      <c r="AV39" s="415"/>
      <c r="AW39" s="415"/>
      <c r="AX39" s="415"/>
      <c r="AY39" s="415"/>
      <c r="AZ39" s="415"/>
      <c r="BA39" s="3"/>
    </row>
    <row r="40" spans="1:53" ht="15" customHeight="1" x14ac:dyDescent="0.2">
      <c r="A40" s="410"/>
      <c r="B40" s="410"/>
      <c r="C40" s="410"/>
      <c r="D40" s="410"/>
      <c r="E40" s="410"/>
      <c r="F40" s="410"/>
      <c r="G40" s="410"/>
      <c r="H40" s="415"/>
      <c r="I40" s="415"/>
      <c r="J40" s="415"/>
      <c r="K40" s="415"/>
      <c r="L40" s="415"/>
      <c r="M40" s="415"/>
      <c r="N40" s="415"/>
      <c r="O40" s="415"/>
      <c r="P40" s="415"/>
      <c r="Q40" s="415"/>
      <c r="R40" s="415"/>
      <c r="S40" s="415"/>
      <c r="T40" s="415"/>
      <c r="U40" s="415"/>
      <c r="V40" s="415"/>
      <c r="W40" s="415"/>
      <c r="X40" s="415"/>
      <c r="Y40" s="415"/>
      <c r="Z40" s="415"/>
      <c r="AA40" s="415"/>
      <c r="AB40" s="415"/>
      <c r="AC40" s="415"/>
      <c r="AD40" s="415"/>
      <c r="AE40" s="415"/>
      <c r="AF40" s="415"/>
      <c r="AG40" s="415"/>
      <c r="AH40" s="415"/>
      <c r="AI40" s="415"/>
      <c r="AJ40" s="415"/>
      <c r="AK40" s="415"/>
      <c r="AL40" s="415"/>
      <c r="AM40" s="415"/>
      <c r="AN40" s="415"/>
      <c r="AO40" s="415"/>
      <c r="AP40" s="415"/>
      <c r="AQ40" s="415"/>
      <c r="AR40" s="415"/>
      <c r="AS40" s="415"/>
      <c r="AT40" s="415"/>
      <c r="AU40" s="415"/>
      <c r="AV40" s="415"/>
      <c r="AW40" s="415"/>
      <c r="AX40" s="415"/>
      <c r="AY40" s="415"/>
      <c r="AZ40" s="415"/>
      <c r="BA40" s="3"/>
    </row>
    <row r="41" spans="1:53" ht="15" customHeight="1" x14ac:dyDescent="0.2">
      <c r="A41" s="410"/>
      <c r="B41" s="410"/>
      <c r="C41" s="410"/>
      <c r="D41" s="410"/>
      <c r="E41" s="410"/>
      <c r="F41" s="410"/>
      <c r="G41" s="410"/>
      <c r="H41" s="415"/>
      <c r="I41" s="415"/>
      <c r="J41" s="415"/>
      <c r="K41" s="415"/>
      <c r="L41" s="415"/>
      <c r="M41" s="415"/>
      <c r="N41" s="415"/>
      <c r="O41" s="415"/>
      <c r="P41" s="415"/>
      <c r="Q41" s="415"/>
      <c r="R41" s="415"/>
      <c r="S41" s="415"/>
      <c r="T41" s="415"/>
      <c r="U41" s="415"/>
      <c r="V41" s="415"/>
      <c r="W41" s="415"/>
      <c r="X41" s="415"/>
      <c r="Y41" s="415"/>
      <c r="Z41" s="415"/>
      <c r="AA41" s="415"/>
      <c r="AB41" s="415"/>
      <c r="AC41" s="415"/>
      <c r="AD41" s="415"/>
      <c r="AE41" s="415"/>
      <c r="AF41" s="415"/>
      <c r="AG41" s="415"/>
      <c r="AH41" s="415"/>
      <c r="AI41" s="415"/>
      <c r="AJ41" s="415"/>
      <c r="AK41" s="415"/>
      <c r="AL41" s="415"/>
      <c r="AM41" s="415"/>
      <c r="AN41" s="415"/>
      <c r="AO41" s="415"/>
      <c r="AP41" s="415"/>
      <c r="AQ41" s="415"/>
      <c r="AR41" s="415"/>
      <c r="AS41" s="415"/>
      <c r="AT41" s="415"/>
      <c r="AU41" s="415"/>
      <c r="AV41" s="415"/>
      <c r="AW41" s="415"/>
      <c r="AX41" s="415"/>
      <c r="AY41" s="415"/>
      <c r="AZ41" s="415"/>
      <c r="BA41" s="3"/>
    </row>
    <row r="42" spans="1:53" ht="15" customHeight="1" x14ac:dyDescent="0.2">
      <c r="A42" s="410"/>
      <c r="B42" s="410"/>
      <c r="C42" s="410"/>
      <c r="D42" s="410"/>
      <c r="E42" s="410"/>
      <c r="F42" s="410"/>
      <c r="G42" s="410"/>
      <c r="H42" s="415"/>
      <c r="I42" s="415"/>
      <c r="J42" s="415"/>
      <c r="K42" s="415"/>
      <c r="L42" s="415"/>
      <c r="M42" s="415"/>
      <c r="N42" s="415"/>
      <c r="O42" s="415"/>
      <c r="P42" s="415"/>
      <c r="Q42" s="415"/>
      <c r="R42" s="415"/>
      <c r="S42" s="415"/>
      <c r="T42" s="415"/>
      <c r="U42" s="415"/>
      <c r="V42" s="415"/>
      <c r="W42" s="415"/>
      <c r="X42" s="415"/>
      <c r="Y42" s="415"/>
      <c r="Z42" s="415"/>
      <c r="AA42" s="415"/>
      <c r="AB42" s="415"/>
      <c r="AC42" s="415"/>
      <c r="AD42" s="415"/>
      <c r="AE42" s="415"/>
      <c r="AF42" s="415"/>
      <c r="AG42" s="415"/>
      <c r="AH42" s="415"/>
      <c r="AI42" s="415"/>
      <c r="AJ42" s="415"/>
      <c r="AK42" s="415"/>
      <c r="AL42" s="415"/>
      <c r="AM42" s="415"/>
      <c r="AN42" s="415"/>
      <c r="AO42" s="415"/>
      <c r="AP42" s="415"/>
      <c r="AQ42" s="415"/>
      <c r="AR42" s="415"/>
      <c r="AS42" s="415"/>
      <c r="AT42" s="415"/>
      <c r="AU42" s="415"/>
      <c r="AV42" s="415"/>
      <c r="AW42" s="415"/>
      <c r="AX42" s="415"/>
      <c r="AY42" s="415"/>
      <c r="AZ42" s="415"/>
      <c r="BA42" s="3"/>
    </row>
    <row r="43" spans="1:53" ht="15" customHeight="1" x14ac:dyDescent="0.2">
      <c r="A43" s="410"/>
      <c r="B43" s="410"/>
      <c r="C43" s="410"/>
      <c r="D43" s="410"/>
      <c r="E43" s="410"/>
      <c r="F43" s="410"/>
      <c r="G43" s="410"/>
      <c r="H43" s="415"/>
      <c r="I43" s="415"/>
      <c r="J43" s="415"/>
      <c r="K43" s="415"/>
      <c r="L43" s="415"/>
      <c r="M43" s="415"/>
      <c r="N43" s="415"/>
      <c r="O43" s="415"/>
      <c r="P43" s="415"/>
      <c r="Q43" s="415"/>
      <c r="R43" s="415"/>
      <c r="S43" s="415"/>
      <c r="T43" s="415"/>
      <c r="U43" s="415"/>
      <c r="V43" s="415"/>
      <c r="W43" s="415"/>
      <c r="X43" s="415"/>
      <c r="Y43" s="415"/>
      <c r="Z43" s="415"/>
      <c r="AA43" s="415"/>
      <c r="AB43" s="415"/>
      <c r="AC43" s="415"/>
      <c r="AD43" s="415"/>
      <c r="AE43" s="415"/>
      <c r="AF43" s="415"/>
      <c r="AG43" s="415"/>
      <c r="AH43" s="415"/>
      <c r="AI43" s="415"/>
      <c r="AJ43" s="415"/>
      <c r="AK43" s="415"/>
      <c r="AL43" s="415"/>
      <c r="AM43" s="415"/>
      <c r="AN43" s="415"/>
      <c r="AO43" s="415"/>
      <c r="AP43" s="415"/>
      <c r="AQ43" s="415"/>
      <c r="AR43" s="415"/>
      <c r="AS43" s="415"/>
      <c r="AT43" s="415"/>
      <c r="AU43" s="415"/>
      <c r="AV43" s="415"/>
      <c r="AW43" s="415"/>
      <c r="AX43" s="415"/>
      <c r="AY43" s="415"/>
      <c r="AZ43" s="415"/>
      <c r="BA43" s="3"/>
    </row>
    <row r="44" spans="1:53" ht="15" customHeight="1" x14ac:dyDescent="0.2">
      <c r="A44" s="410"/>
      <c r="B44" s="410"/>
      <c r="C44" s="410"/>
      <c r="D44" s="410"/>
      <c r="E44" s="410"/>
      <c r="F44" s="410"/>
      <c r="G44" s="410"/>
      <c r="H44" s="415"/>
      <c r="I44" s="415"/>
      <c r="J44" s="415"/>
      <c r="K44" s="415"/>
      <c r="L44" s="415"/>
      <c r="M44" s="415"/>
      <c r="N44" s="415"/>
      <c r="O44" s="415"/>
      <c r="P44" s="415"/>
      <c r="Q44" s="415"/>
      <c r="R44" s="415"/>
      <c r="S44" s="415"/>
      <c r="T44" s="415"/>
      <c r="U44" s="415"/>
      <c r="V44" s="415"/>
      <c r="W44" s="415"/>
      <c r="X44" s="415"/>
      <c r="Y44" s="415"/>
      <c r="Z44" s="415"/>
      <c r="AA44" s="415"/>
      <c r="AB44" s="415"/>
      <c r="AC44" s="415"/>
      <c r="AD44" s="415"/>
      <c r="AE44" s="415"/>
      <c r="AF44" s="415"/>
      <c r="AG44" s="415"/>
      <c r="AH44" s="415"/>
      <c r="AI44" s="415"/>
      <c r="AJ44" s="415"/>
      <c r="AK44" s="415"/>
      <c r="AL44" s="415"/>
      <c r="AM44" s="415"/>
      <c r="AN44" s="415"/>
      <c r="AO44" s="415"/>
      <c r="AP44" s="415"/>
      <c r="AQ44" s="415"/>
      <c r="AR44" s="415"/>
      <c r="AS44" s="415"/>
      <c r="AT44" s="415"/>
      <c r="AU44" s="415"/>
      <c r="AV44" s="415"/>
      <c r="AW44" s="415"/>
      <c r="AX44" s="415"/>
      <c r="AY44" s="415"/>
      <c r="AZ44" s="415"/>
      <c r="BA44" s="3"/>
    </row>
    <row r="45" spans="1:53" ht="15" customHeight="1" x14ac:dyDescent="0.2">
      <c r="A45" s="410"/>
      <c r="B45" s="410"/>
      <c r="C45" s="410"/>
      <c r="D45" s="410"/>
      <c r="E45" s="410"/>
      <c r="F45" s="410"/>
      <c r="G45" s="410"/>
      <c r="H45" s="415"/>
      <c r="I45" s="415"/>
      <c r="J45" s="415"/>
      <c r="K45" s="415"/>
      <c r="L45" s="415"/>
      <c r="M45" s="415"/>
      <c r="N45" s="415"/>
      <c r="O45" s="415"/>
      <c r="P45" s="415"/>
      <c r="Q45" s="415"/>
      <c r="R45" s="415"/>
      <c r="S45" s="415"/>
      <c r="T45" s="415"/>
      <c r="U45" s="415"/>
      <c r="V45" s="415"/>
      <c r="W45" s="415"/>
      <c r="X45" s="415"/>
      <c r="Y45" s="415"/>
      <c r="Z45" s="415"/>
      <c r="AA45" s="415"/>
      <c r="AB45" s="415"/>
      <c r="AC45" s="415"/>
      <c r="AD45" s="415"/>
      <c r="AE45" s="415"/>
      <c r="AF45" s="415"/>
      <c r="AG45" s="415"/>
      <c r="AH45" s="415"/>
      <c r="AI45" s="415"/>
      <c r="AJ45" s="415"/>
      <c r="AK45" s="415"/>
      <c r="AL45" s="415"/>
      <c r="AM45" s="415"/>
      <c r="AN45" s="415"/>
      <c r="AO45" s="415"/>
      <c r="AP45" s="415"/>
      <c r="AQ45" s="415"/>
      <c r="AR45" s="415"/>
      <c r="AS45" s="415"/>
      <c r="AT45" s="415"/>
      <c r="AU45" s="415"/>
      <c r="AV45" s="415"/>
      <c r="AW45" s="415"/>
      <c r="AX45" s="415"/>
      <c r="AY45" s="415"/>
      <c r="AZ45" s="415"/>
      <c r="BA45" s="3"/>
    </row>
    <row r="46" spans="1:53" ht="15" customHeight="1" x14ac:dyDescent="0.2">
      <c r="A46" s="410"/>
      <c r="B46" s="410"/>
      <c r="C46" s="410"/>
      <c r="D46" s="410"/>
      <c r="E46" s="410"/>
      <c r="F46" s="410"/>
      <c r="G46" s="410"/>
      <c r="H46" s="415"/>
      <c r="I46" s="415"/>
      <c r="J46" s="415"/>
      <c r="K46" s="415"/>
      <c r="L46" s="415"/>
      <c r="M46" s="415"/>
      <c r="N46" s="415"/>
      <c r="O46" s="415"/>
      <c r="P46" s="415"/>
      <c r="Q46" s="415"/>
      <c r="R46" s="415"/>
      <c r="S46" s="415"/>
      <c r="T46" s="415"/>
      <c r="U46" s="415"/>
      <c r="V46" s="415"/>
      <c r="W46" s="415"/>
      <c r="X46" s="415"/>
      <c r="Y46" s="415"/>
      <c r="Z46" s="415"/>
      <c r="AA46" s="415"/>
      <c r="AB46" s="415"/>
      <c r="AC46" s="415"/>
      <c r="AD46" s="415"/>
      <c r="AE46" s="415"/>
      <c r="AF46" s="415"/>
      <c r="AG46" s="415"/>
      <c r="AH46" s="415"/>
      <c r="AI46" s="415"/>
      <c r="AJ46" s="415"/>
      <c r="AK46" s="415"/>
      <c r="AL46" s="415"/>
      <c r="AM46" s="415"/>
      <c r="AN46" s="415"/>
      <c r="AO46" s="415"/>
      <c r="AP46" s="415"/>
      <c r="AQ46" s="415"/>
      <c r="AR46" s="415"/>
      <c r="AS46" s="415"/>
      <c r="AT46" s="415"/>
      <c r="AU46" s="415"/>
      <c r="AV46" s="415"/>
      <c r="AW46" s="415"/>
      <c r="AX46" s="415"/>
      <c r="AY46" s="415"/>
      <c r="AZ46" s="415"/>
      <c r="BA46" s="3"/>
    </row>
    <row r="47" spans="1:53" ht="15" customHeight="1" x14ac:dyDescent="0.2">
      <c r="A47" s="410"/>
      <c r="B47" s="410"/>
      <c r="C47" s="410"/>
      <c r="D47" s="410"/>
      <c r="E47" s="410"/>
      <c r="F47" s="410"/>
      <c r="G47" s="410"/>
      <c r="H47" s="415"/>
      <c r="I47" s="415"/>
      <c r="J47" s="415"/>
      <c r="K47" s="415"/>
      <c r="L47" s="415"/>
      <c r="M47" s="415"/>
      <c r="N47" s="415"/>
      <c r="O47" s="415"/>
      <c r="P47" s="415"/>
      <c r="Q47" s="415"/>
      <c r="R47" s="415"/>
      <c r="S47" s="415"/>
      <c r="T47" s="415"/>
      <c r="U47" s="415"/>
      <c r="V47" s="415"/>
      <c r="W47" s="415"/>
      <c r="X47" s="415"/>
      <c r="Y47" s="415"/>
      <c r="Z47" s="415"/>
      <c r="AA47" s="415"/>
      <c r="AB47" s="415"/>
      <c r="AC47" s="415"/>
      <c r="AD47" s="415"/>
      <c r="AE47" s="415"/>
      <c r="AF47" s="415"/>
      <c r="AG47" s="415"/>
      <c r="AH47" s="415"/>
      <c r="AI47" s="415"/>
      <c r="AJ47" s="415"/>
      <c r="AK47" s="415"/>
      <c r="AL47" s="415"/>
      <c r="AM47" s="415"/>
      <c r="AN47" s="415"/>
      <c r="AO47" s="415"/>
      <c r="AP47" s="415"/>
      <c r="AQ47" s="415"/>
      <c r="AR47" s="415"/>
      <c r="AS47" s="415"/>
      <c r="AT47" s="415"/>
      <c r="AU47" s="415"/>
      <c r="AV47" s="415"/>
      <c r="AW47" s="415"/>
      <c r="AX47" s="415"/>
      <c r="AY47" s="415"/>
      <c r="AZ47" s="415"/>
      <c r="BA47" s="3"/>
    </row>
    <row r="48" spans="1:53" ht="15" customHeight="1" x14ac:dyDescent="0.2">
      <c r="A48" s="410"/>
      <c r="B48" s="410"/>
      <c r="C48" s="410"/>
      <c r="D48" s="410"/>
      <c r="E48" s="410"/>
      <c r="F48" s="410"/>
      <c r="G48" s="410"/>
      <c r="H48" s="415"/>
      <c r="I48" s="415"/>
      <c r="J48" s="415"/>
      <c r="K48" s="415"/>
      <c r="L48" s="415"/>
      <c r="M48" s="415"/>
      <c r="N48" s="415"/>
      <c r="O48" s="415"/>
      <c r="P48" s="415"/>
      <c r="Q48" s="415"/>
      <c r="R48" s="415"/>
      <c r="S48" s="415"/>
      <c r="T48" s="415"/>
      <c r="U48" s="415"/>
      <c r="V48" s="415"/>
      <c r="W48" s="415"/>
      <c r="X48" s="415"/>
      <c r="Y48" s="415"/>
      <c r="Z48" s="415"/>
      <c r="AA48" s="415"/>
      <c r="AB48" s="415"/>
      <c r="AC48" s="415"/>
      <c r="AD48" s="415"/>
      <c r="AE48" s="415"/>
      <c r="AF48" s="415"/>
      <c r="AG48" s="415"/>
      <c r="AH48" s="415"/>
      <c r="AI48" s="415"/>
      <c r="AJ48" s="415"/>
      <c r="AK48" s="415"/>
      <c r="AL48" s="415"/>
      <c r="AM48" s="415"/>
      <c r="AN48" s="415"/>
      <c r="AO48" s="415"/>
      <c r="AP48" s="415"/>
      <c r="AQ48" s="415"/>
      <c r="AR48" s="415"/>
      <c r="AS48" s="415"/>
      <c r="AT48" s="415"/>
      <c r="AU48" s="415"/>
      <c r="AV48" s="415"/>
      <c r="AW48" s="415"/>
      <c r="AX48" s="415"/>
      <c r="AY48" s="415"/>
      <c r="AZ48" s="415"/>
      <c r="BA48" s="3"/>
    </row>
    <row r="49" spans="1:53" ht="15" customHeight="1" x14ac:dyDescent="0.2">
      <c r="A49" s="410"/>
      <c r="B49" s="410"/>
      <c r="C49" s="410"/>
      <c r="D49" s="410"/>
      <c r="E49" s="410"/>
      <c r="F49" s="410"/>
      <c r="G49" s="410"/>
      <c r="H49" s="415"/>
      <c r="I49" s="415"/>
      <c r="J49" s="415"/>
      <c r="K49" s="415"/>
      <c r="L49" s="415"/>
      <c r="M49" s="415"/>
      <c r="N49" s="415"/>
      <c r="O49" s="415"/>
      <c r="P49" s="415"/>
      <c r="Q49" s="415"/>
      <c r="R49" s="415"/>
      <c r="S49" s="415"/>
      <c r="T49" s="415"/>
      <c r="U49" s="415"/>
      <c r="V49" s="415"/>
      <c r="W49" s="415"/>
      <c r="X49" s="415"/>
      <c r="Y49" s="415"/>
      <c r="Z49" s="415"/>
      <c r="AA49" s="415"/>
      <c r="AB49" s="415"/>
      <c r="AC49" s="415"/>
      <c r="AD49" s="415"/>
      <c r="AE49" s="415"/>
      <c r="AF49" s="415"/>
      <c r="AG49" s="415"/>
      <c r="AH49" s="415"/>
      <c r="AI49" s="415"/>
      <c r="AJ49" s="415"/>
      <c r="AK49" s="415"/>
      <c r="AL49" s="415"/>
      <c r="AM49" s="415"/>
      <c r="AN49" s="415"/>
      <c r="AO49" s="415"/>
      <c r="AP49" s="415"/>
      <c r="AQ49" s="415"/>
      <c r="AR49" s="415"/>
      <c r="AS49" s="415"/>
      <c r="AT49" s="415"/>
      <c r="AU49" s="415"/>
      <c r="AV49" s="415"/>
      <c r="AW49" s="415"/>
      <c r="AX49" s="415"/>
      <c r="AY49" s="415"/>
      <c r="AZ49" s="415"/>
      <c r="BA49" s="3"/>
    </row>
    <row r="50" spans="1:53" ht="15" customHeight="1" x14ac:dyDescent="0.2">
      <c r="A50" s="410"/>
      <c r="B50" s="410"/>
      <c r="C50" s="410"/>
      <c r="D50" s="410"/>
      <c r="E50" s="410"/>
      <c r="F50" s="410"/>
      <c r="G50" s="410"/>
      <c r="H50" s="415"/>
      <c r="I50" s="415"/>
      <c r="J50" s="415"/>
      <c r="K50" s="415"/>
      <c r="L50" s="415"/>
      <c r="M50" s="415"/>
      <c r="N50" s="415"/>
      <c r="O50" s="415"/>
      <c r="P50" s="415"/>
      <c r="Q50" s="415"/>
      <c r="R50" s="415"/>
      <c r="S50" s="415"/>
      <c r="T50" s="415"/>
      <c r="U50" s="415"/>
      <c r="V50" s="415"/>
      <c r="W50" s="415"/>
      <c r="X50" s="415"/>
      <c r="Y50" s="415"/>
      <c r="Z50" s="415"/>
      <c r="AA50" s="415"/>
      <c r="AB50" s="415"/>
      <c r="AC50" s="415"/>
      <c r="AD50" s="415"/>
      <c r="AE50" s="415"/>
      <c r="AF50" s="415"/>
      <c r="AG50" s="415"/>
      <c r="AH50" s="415"/>
      <c r="AI50" s="415"/>
      <c r="AJ50" s="415"/>
      <c r="AK50" s="415"/>
      <c r="AL50" s="415"/>
      <c r="AM50" s="415"/>
      <c r="AN50" s="415"/>
      <c r="AO50" s="415"/>
      <c r="AP50" s="415"/>
      <c r="AQ50" s="415"/>
      <c r="AR50" s="415"/>
      <c r="AS50" s="415"/>
      <c r="AT50" s="415"/>
      <c r="AU50" s="415"/>
      <c r="AV50" s="415"/>
      <c r="AW50" s="415"/>
      <c r="AX50" s="415"/>
      <c r="AY50" s="415"/>
      <c r="AZ50" s="415"/>
      <c r="BA50" s="3"/>
    </row>
    <row r="51" spans="1:53" ht="15" customHeight="1" x14ac:dyDescent="0.2">
      <c r="A51" s="410"/>
      <c r="B51" s="410"/>
      <c r="C51" s="410"/>
      <c r="D51" s="410"/>
      <c r="E51" s="410"/>
      <c r="F51" s="410"/>
      <c r="G51" s="410"/>
      <c r="H51" s="415"/>
      <c r="I51" s="415"/>
      <c r="J51" s="415"/>
      <c r="K51" s="415"/>
      <c r="L51" s="415"/>
      <c r="M51" s="415"/>
      <c r="N51" s="415"/>
      <c r="O51" s="415"/>
      <c r="P51" s="415"/>
      <c r="Q51" s="415"/>
      <c r="R51" s="415"/>
      <c r="S51" s="415"/>
      <c r="T51" s="415"/>
      <c r="U51" s="415"/>
      <c r="V51" s="415"/>
      <c r="W51" s="415"/>
      <c r="X51" s="415"/>
      <c r="Y51" s="415"/>
      <c r="Z51" s="415"/>
      <c r="AA51" s="415"/>
      <c r="AB51" s="415"/>
      <c r="AC51" s="415"/>
      <c r="AD51" s="415"/>
      <c r="AE51" s="415"/>
      <c r="AF51" s="415"/>
      <c r="AG51" s="415"/>
      <c r="AH51" s="415"/>
      <c r="AI51" s="415"/>
      <c r="AJ51" s="415"/>
      <c r="AK51" s="415"/>
      <c r="AL51" s="415"/>
      <c r="AM51" s="415"/>
      <c r="AN51" s="415"/>
      <c r="AO51" s="415"/>
      <c r="AP51" s="415"/>
      <c r="AQ51" s="415"/>
      <c r="AR51" s="415"/>
      <c r="AS51" s="415"/>
      <c r="AT51" s="415"/>
      <c r="AU51" s="415"/>
      <c r="AV51" s="415"/>
      <c r="AW51" s="415"/>
      <c r="AX51" s="415"/>
      <c r="AY51" s="415"/>
      <c r="AZ51" s="415"/>
      <c r="BA51" s="3"/>
    </row>
    <row r="52" spans="1:53" ht="15" customHeight="1" x14ac:dyDescent="0.2">
      <c r="A52" s="410"/>
      <c r="B52" s="410"/>
      <c r="C52" s="410"/>
      <c r="D52" s="410"/>
      <c r="E52" s="410"/>
      <c r="F52" s="410"/>
      <c r="G52" s="410"/>
      <c r="H52" s="415"/>
      <c r="I52" s="415"/>
      <c r="J52" s="415"/>
      <c r="K52" s="415"/>
      <c r="L52" s="415"/>
      <c r="M52" s="415"/>
      <c r="N52" s="415"/>
      <c r="O52" s="415"/>
      <c r="P52" s="415"/>
      <c r="Q52" s="415"/>
      <c r="R52" s="415"/>
      <c r="S52" s="415"/>
      <c r="T52" s="415"/>
      <c r="U52" s="415"/>
      <c r="V52" s="415"/>
      <c r="W52" s="415"/>
      <c r="X52" s="415"/>
      <c r="Y52" s="415"/>
      <c r="Z52" s="415"/>
      <c r="AA52" s="415"/>
      <c r="AB52" s="415"/>
      <c r="AC52" s="415"/>
      <c r="AD52" s="415"/>
      <c r="AE52" s="415"/>
      <c r="AF52" s="415"/>
      <c r="AG52" s="415"/>
      <c r="AH52" s="415"/>
      <c r="AI52" s="415"/>
      <c r="AJ52" s="415"/>
      <c r="AK52" s="415"/>
      <c r="AL52" s="415"/>
      <c r="AM52" s="415"/>
      <c r="AN52" s="415"/>
      <c r="AO52" s="415"/>
      <c r="AP52" s="415"/>
      <c r="AQ52" s="415"/>
      <c r="AR52" s="415"/>
      <c r="AS52" s="415"/>
      <c r="AT52" s="415"/>
      <c r="AU52" s="415"/>
      <c r="AV52" s="415"/>
      <c r="AW52" s="415"/>
      <c r="AX52" s="415"/>
      <c r="AY52" s="415"/>
      <c r="AZ52" s="415"/>
      <c r="BA52" s="3"/>
    </row>
    <row r="53" spans="1:53" ht="15" customHeight="1" x14ac:dyDescent="0.2">
      <c r="A53" s="410"/>
      <c r="B53" s="410"/>
      <c r="C53" s="410"/>
      <c r="D53" s="410"/>
      <c r="E53" s="410"/>
      <c r="F53" s="410"/>
      <c r="G53" s="410"/>
      <c r="H53" s="415"/>
      <c r="I53" s="415"/>
      <c r="J53" s="415"/>
      <c r="K53" s="415"/>
      <c r="L53" s="415"/>
      <c r="M53" s="415"/>
      <c r="N53" s="415"/>
      <c r="O53" s="415"/>
      <c r="P53" s="415"/>
      <c r="Q53" s="415"/>
      <c r="R53" s="415"/>
      <c r="S53" s="415"/>
      <c r="T53" s="415"/>
      <c r="U53" s="415"/>
      <c r="V53" s="415"/>
      <c r="W53" s="415"/>
      <c r="X53" s="415"/>
      <c r="Y53" s="415"/>
      <c r="Z53" s="415"/>
      <c r="AA53" s="415"/>
      <c r="AB53" s="415"/>
      <c r="AC53" s="415"/>
      <c r="AD53" s="415"/>
      <c r="AE53" s="415"/>
      <c r="AF53" s="415"/>
      <c r="AG53" s="415"/>
      <c r="AH53" s="415"/>
      <c r="AI53" s="415"/>
      <c r="AJ53" s="415"/>
      <c r="AK53" s="415"/>
      <c r="AL53" s="415"/>
      <c r="AM53" s="415"/>
      <c r="AN53" s="415"/>
      <c r="AO53" s="415"/>
      <c r="AP53" s="415"/>
      <c r="AQ53" s="415"/>
      <c r="AR53" s="415"/>
      <c r="AS53" s="415"/>
      <c r="AT53" s="415"/>
      <c r="AU53" s="415"/>
      <c r="AV53" s="415"/>
      <c r="AW53" s="415"/>
      <c r="AX53" s="415"/>
      <c r="AY53" s="415"/>
      <c r="AZ53" s="415"/>
      <c r="BA53" s="3"/>
    </row>
    <row r="54" spans="1:53" ht="15" customHeight="1" x14ac:dyDescent="0.2">
      <c r="A54" s="410"/>
      <c r="B54" s="410"/>
      <c r="C54" s="410"/>
      <c r="D54" s="410"/>
      <c r="E54" s="410"/>
      <c r="F54" s="410"/>
      <c r="G54" s="410"/>
      <c r="H54" s="415"/>
      <c r="I54" s="415"/>
      <c r="J54" s="415"/>
      <c r="K54" s="415"/>
      <c r="L54" s="415"/>
      <c r="M54" s="415"/>
      <c r="N54" s="415"/>
      <c r="O54" s="415"/>
      <c r="P54" s="415"/>
      <c r="Q54" s="415"/>
      <c r="R54" s="415"/>
      <c r="S54" s="415"/>
      <c r="T54" s="415"/>
      <c r="U54" s="415"/>
      <c r="V54" s="415"/>
      <c r="W54" s="415"/>
      <c r="X54" s="415"/>
      <c r="Y54" s="415"/>
      <c r="Z54" s="415"/>
      <c r="AA54" s="415"/>
      <c r="AB54" s="415"/>
      <c r="AC54" s="415"/>
      <c r="AD54" s="415"/>
      <c r="AE54" s="415"/>
      <c r="AF54" s="415"/>
      <c r="AG54" s="415"/>
      <c r="AH54" s="415"/>
      <c r="AI54" s="415"/>
      <c r="AJ54" s="415"/>
      <c r="AK54" s="415"/>
      <c r="AL54" s="415"/>
      <c r="AM54" s="415"/>
      <c r="AN54" s="415"/>
      <c r="AO54" s="415"/>
      <c r="AP54" s="415"/>
      <c r="AQ54" s="415"/>
      <c r="AR54" s="415"/>
      <c r="AS54" s="415"/>
      <c r="AT54" s="415"/>
      <c r="AU54" s="415"/>
      <c r="AV54" s="415"/>
      <c r="AW54" s="415"/>
      <c r="AX54" s="415"/>
      <c r="AY54" s="415"/>
      <c r="AZ54" s="415"/>
      <c r="BA54" s="3"/>
    </row>
    <row r="55" spans="1:53" ht="15" customHeight="1" x14ac:dyDescent="0.2">
      <c r="A55" s="410"/>
      <c r="B55" s="410"/>
      <c r="C55" s="410"/>
      <c r="D55" s="410"/>
      <c r="E55" s="410"/>
      <c r="F55" s="410"/>
      <c r="G55" s="410"/>
      <c r="H55" s="415"/>
      <c r="I55" s="415"/>
      <c r="J55" s="415"/>
      <c r="K55" s="415"/>
      <c r="L55" s="415"/>
      <c r="M55" s="415"/>
      <c r="N55" s="415"/>
      <c r="O55" s="415"/>
      <c r="P55" s="415"/>
      <c r="Q55" s="415"/>
      <c r="R55" s="415"/>
      <c r="S55" s="415"/>
      <c r="T55" s="415"/>
      <c r="U55" s="415"/>
      <c r="V55" s="415"/>
      <c r="W55" s="415"/>
      <c r="X55" s="415"/>
      <c r="Y55" s="415"/>
      <c r="Z55" s="415"/>
      <c r="AA55" s="415"/>
      <c r="AB55" s="415"/>
      <c r="AC55" s="415"/>
      <c r="AD55" s="415"/>
      <c r="AE55" s="415"/>
      <c r="AF55" s="415"/>
      <c r="AG55" s="415"/>
      <c r="AH55" s="415"/>
      <c r="AI55" s="415"/>
      <c r="AJ55" s="415"/>
      <c r="AK55" s="415"/>
      <c r="AL55" s="415"/>
      <c r="AM55" s="415"/>
      <c r="AN55" s="415"/>
      <c r="AO55" s="415"/>
      <c r="AP55" s="415"/>
      <c r="AQ55" s="415"/>
      <c r="AR55" s="415"/>
      <c r="AS55" s="415"/>
      <c r="AT55" s="415"/>
      <c r="AU55" s="415"/>
      <c r="AV55" s="415"/>
      <c r="AW55" s="415"/>
      <c r="AX55" s="415"/>
      <c r="AY55" s="415"/>
      <c r="AZ55" s="415"/>
      <c r="BA55" s="3"/>
    </row>
    <row r="56" spans="1:53" ht="15" customHeight="1" x14ac:dyDescent="0.2">
      <c r="A56" s="410"/>
      <c r="B56" s="410"/>
      <c r="C56" s="410"/>
      <c r="D56" s="410"/>
      <c r="E56" s="410"/>
      <c r="F56" s="410"/>
      <c r="G56" s="410"/>
      <c r="H56" s="415"/>
      <c r="I56" s="415"/>
      <c r="J56" s="415"/>
      <c r="K56" s="415"/>
      <c r="L56" s="415"/>
      <c r="M56" s="415"/>
      <c r="N56" s="415"/>
      <c r="O56" s="415"/>
      <c r="P56" s="415"/>
      <c r="Q56" s="415"/>
      <c r="R56" s="415"/>
      <c r="S56" s="415"/>
      <c r="T56" s="415"/>
      <c r="U56" s="415"/>
      <c r="V56" s="415"/>
      <c r="W56" s="415"/>
      <c r="X56" s="415"/>
      <c r="Y56" s="415"/>
      <c r="Z56" s="415"/>
      <c r="AA56" s="415"/>
      <c r="AB56" s="415"/>
      <c r="AC56" s="415"/>
      <c r="AD56" s="415"/>
      <c r="AE56" s="415"/>
      <c r="AF56" s="415"/>
      <c r="AG56" s="415"/>
      <c r="AH56" s="415"/>
      <c r="AI56" s="415"/>
      <c r="AJ56" s="415"/>
      <c r="AK56" s="415"/>
      <c r="AL56" s="415"/>
      <c r="AM56" s="415"/>
      <c r="AN56" s="415"/>
      <c r="AO56" s="415"/>
      <c r="AP56" s="415"/>
      <c r="AQ56" s="415"/>
      <c r="AR56" s="415"/>
      <c r="AS56" s="415"/>
      <c r="AT56" s="415"/>
      <c r="AU56" s="415"/>
      <c r="AV56" s="415"/>
      <c r="AW56" s="415"/>
      <c r="AX56" s="415"/>
      <c r="AY56" s="415"/>
      <c r="AZ56" s="415"/>
      <c r="BA56" s="3"/>
    </row>
    <row r="57" spans="1:53" ht="15" customHeight="1" x14ac:dyDescent="0.2">
      <c r="A57" s="410"/>
      <c r="B57" s="410"/>
      <c r="C57" s="410"/>
      <c r="D57" s="410"/>
      <c r="E57" s="410"/>
      <c r="F57" s="410"/>
      <c r="G57" s="410"/>
      <c r="H57" s="415"/>
      <c r="I57" s="415"/>
      <c r="J57" s="415"/>
      <c r="K57" s="415"/>
      <c r="L57" s="415"/>
      <c r="M57" s="415"/>
      <c r="N57" s="415"/>
      <c r="O57" s="415"/>
      <c r="P57" s="415"/>
      <c r="Q57" s="415"/>
      <c r="R57" s="415"/>
      <c r="S57" s="415"/>
      <c r="T57" s="415"/>
      <c r="U57" s="415"/>
      <c r="V57" s="415"/>
      <c r="W57" s="415"/>
      <c r="X57" s="415"/>
      <c r="Y57" s="415"/>
      <c r="Z57" s="415"/>
      <c r="AA57" s="415"/>
      <c r="AB57" s="415"/>
      <c r="AC57" s="415"/>
      <c r="AD57" s="415"/>
      <c r="AE57" s="415"/>
      <c r="AF57" s="415"/>
      <c r="AG57" s="415"/>
      <c r="AH57" s="415"/>
      <c r="AI57" s="415"/>
      <c r="AJ57" s="415"/>
      <c r="AK57" s="415"/>
      <c r="AL57" s="415"/>
      <c r="AM57" s="415"/>
      <c r="AN57" s="415"/>
      <c r="AO57" s="415"/>
      <c r="AP57" s="415"/>
      <c r="AQ57" s="415"/>
      <c r="AR57" s="415"/>
      <c r="AS57" s="415"/>
      <c r="AT57" s="415"/>
      <c r="AU57" s="415"/>
      <c r="AV57" s="415"/>
      <c r="AW57" s="415"/>
      <c r="AX57" s="415"/>
      <c r="AY57" s="415"/>
      <c r="AZ57" s="415"/>
      <c r="BA57" s="3"/>
    </row>
    <row r="58" spans="1:53" ht="15" customHeight="1" x14ac:dyDescent="0.2">
      <c r="A58" s="410"/>
      <c r="B58" s="410"/>
      <c r="C58" s="410"/>
      <c r="D58" s="410"/>
      <c r="E58" s="410"/>
      <c r="F58" s="410"/>
      <c r="G58" s="410"/>
      <c r="H58" s="415"/>
      <c r="I58" s="415"/>
      <c r="J58" s="415"/>
      <c r="K58" s="415"/>
      <c r="L58" s="415"/>
      <c r="M58" s="415"/>
      <c r="N58" s="415"/>
      <c r="O58" s="415"/>
      <c r="P58" s="415"/>
      <c r="Q58" s="415"/>
      <c r="R58" s="415"/>
      <c r="S58" s="415"/>
      <c r="T58" s="415"/>
      <c r="U58" s="415"/>
      <c r="V58" s="415"/>
      <c r="W58" s="415"/>
      <c r="X58" s="415"/>
      <c r="Y58" s="415"/>
      <c r="Z58" s="415"/>
      <c r="AA58" s="415"/>
      <c r="AB58" s="415"/>
      <c r="AC58" s="415"/>
      <c r="AD58" s="415"/>
      <c r="AE58" s="415"/>
      <c r="AF58" s="415"/>
      <c r="AG58" s="415"/>
      <c r="AH58" s="415"/>
      <c r="AI58" s="415"/>
      <c r="AJ58" s="415"/>
      <c r="AK58" s="415"/>
      <c r="AL58" s="415"/>
      <c r="AM58" s="415"/>
      <c r="AN58" s="415"/>
      <c r="AO58" s="415"/>
      <c r="AP58" s="415"/>
      <c r="AQ58" s="415"/>
      <c r="AR58" s="415"/>
      <c r="AS58" s="415"/>
      <c r="AT58" s="415"/>
      <c r="AU58" s="415"/>
      <c r="AV58" s="415"/>
      <c r="AW58" s="415"/>
      <c r="AX58" s="415"/>
      <c r="AY58" s="415"/>
      <c r="AZ58" s="415"/>
      <c r="BA58" s="3"/>
    </row>
    <row r="59" spans="1:53" ht="15" customHeight="1" x14ac:dyDescent="0.2">
      <c r="A59" s="410"/>
      <c r="B59" s="410"/>
      <c r="C59" s="410"/>
      <c r="D59" s="410"/>
      <c r="E59" s="410"/>
      <c r="F59" s="410"/>
      <c r="G59" s="410"/>
      <c r="H59" s="415"/>
      <c r="I59" s="415"/>
      <c r="J59" s="415"/>
      <c r="K59" s="415"/>
      <c r="L59" s="415"/>
      <c r="M59" s="415"/>
      <c r="N59" s="415"/>
      <c r="O59" s="415"/>
      <c r="P59" s="415"/>
      <c r="Q59" s="415"/>
      <c r="R59" s="415"/>
      <c r="S59" s="415"/>
      <c r="T59" s="415"/>
      <c r="U59" s="415"/>
      <c r="V59" s="415"/>
      <c r="W59" s="415"/>
      <c r="X59" s="415"/>
      <c r="Y59" s="415"/>
      <c r="Z59" s="415"/>
      <c r="AA59" s="415"/>
      <c r="AB59" s="415"/>
      <c r="AC59" s="415"/>
      <c r="AD59" s="415"/>
      <c r="AE59" s="415"/>
      <c r="AF59" s="415"/>
      <c r="AG59" s="415"/>
      <c r="AH59" s="415"/>
      <c r="AI59" s="415"/>
      <c r="AJ59" s="415"/>
      <c r="AK59" s="415"/>
      <c r="AL59" s="415"/>
      <c r="AM59" s="415"/>
      <c r="AN59" s="415"/>
      <c r="AO59" s="415"/>
      <c r="AP59" s="415"/>
      <c r="AQ59" s="415"/>
      <c r="AR59" s="415"/>
      <c r="AS59" s="415"/>
      <c r="AT59" s="415"/>
      <c r="AU59" s="415"/>
      <c r="AV59" s="415"/>
      <c r="AW59" s="415"/>
      <c r="AX59" s="415"/>
      <c r="AY59" s="415"/>
      <c r="AZ59" s="415"/>
      <c r="BA59" s="3"/>
    </row>
    <row r="60" spans="1:53" ht="15" customHeight="1" x14ac:dyDescent="0.2">
      <c r="A60" s="410"/>
      <c r="B60" s="410"/>
      <c r="C60" s="410"/>
      <c r="D60" s="410"/>
      <c r="E60" s="410"/>
      <c r="F60" s="410"/>
      <c r="G60" s="410"/>
      <c r="H60" s="415"/>
      <c r="I60" s="415"/>
      <c r="J60" s="415"/>
      <c r="K60" s="415"/>
      <c r="L60" s="415"/>
      <c r="M60" s="415"/>
      <c r="N60" s="415"/>
      <c r="O60" s="415"/>
      <c r="P60" s="415"/>
      <c r="Q60" s="415"/>
      <c r="R60" s="415"/>
      <c r="S60" s="415"/>
      <c r="T60" s="415"/>
      <c r="U60" s="415"/>
      <c r="V60" s="415"/>
      <c r="W60" s="415"/>
      <c r="X60" s="415"/>
      <c r="Y60" s="415"/>
      <c r="Z60" s="415"/>
      <c r="AA60" s="415"/>
      <c r="AB60" s="415"/>
      <c r="AC60" s="415"/>
      <c r="AD60" s="415"/>
      <c r="AE60" s="415"/>
      <c r="AF60" s="415"/>
      <c r="AG60" s="415"/>
      <c r="AH60" s="415"/>
      <c r="AI60" s="415"/>
      <c r="AJ60" s="415"/>
      <c r="AK60" s="415"/>
      <c r="AL60" s="415"/>
      <c r="AM60" s="415"/>
      <c r="AN60" s="415"/>
      <c r="AO60" s="415"/>
      <c r="AP60" s="415"/>
      <c r="AQ60" s="415"/>
      <c r="AR60" s="415"/>
      <c r="AS60" s="415"/>
      <c r="AT60" s="415"/>
      <c r="AU60" s="415"/>
      <c r="AV60" s="415"/>
      <c r="AW60" s="415"/>
      <c r="AX60" s="415"/>
      <c r="AY60" s="415"/>
      <c r="AZ60" s="415"/>
      <c r="BA60" s="3"/>
    </row>
    <row r="61" spans="1:53" ht="15" customHeight="1" x14ac:dyDescent="0.2">
      <c r="A61" s="410"/>
      <c r="B61" s="410"/>
      <c r="C61" s="410"/>
      <c r="D61" s="410"/>
      <c r="E61" s="410"/>
      <c r="F61" s="410"/>
      <c r="G61" s="410"/>
      <c r="H61" s="415"/>
      <c r="I61" s="415"/>
      <c r="J61" s="415"/>
      <c r="K61" s="415"/>
      <c r="L61" s="415"/>
      <c r="M61" s="415"/>
      <c r="N61" s="415"/>
      <c r="O61" s="415"/>
      <c r="P61" s="415"/>
      <c r="Q61" s="415"/>
      <c r="R61" s="415"/>
      <c r="S61" s="415"/>
      <c r="T61" s="415"/>
      <c r="U61" s="415"/>
      <c r="V61" s="415"/>
      <c r="W61" s="415"/>
      <c r="X61" s="415"/>
      <c r="Y61" s="415"/>
      <c r="Z61" s="415"/>
      <c r="AA61" s="415"/>
      <c r="AB61" s="415"/>
      <c r="AC61" s="415"/>
      <c r="AD61" s="415"/>
      <c r="AE61" s="415"/>
      <c r="AF61" s="415"/>
      <c r="AG61" s="415"/>
      <c r="AH61" s="415"/>
      <c r="AI61" s="415"/>
      <c r="AJ61" s="415"/>
      <c r="AK61" s="415"/>
      <c r="AL61" s="415"/>
      <c r="AM61" s="415"/>
      <c r="AN61" s="415"/>
      <c r="AO61" s="415"/>
      <c r="AP61" s="415"/>
      <c r="AQ61" s="415"/>
      <c r="AR61" s="415"/>
      <c r="AS61" s="415"/>
      <c r="AT61" s="415"/>
      <c r="AU61" s="415"/>
      <c r="AV61" s="415"/>
      <c r="AW61" s="415"/>
      <c r="AX61" s="415"/>
      <c r="AY61" s="415"/>
      <c r="AZ61" s="415"/>
      <c r="BA61" s="3"/>
    </row>
    <row r="62" spans="1:53" x14ac:dyDescent="0.2">
      <c r="A62" s="410"/>
      <c r="B62" s="410"/>
      <c r="C62" s="410"/>
      <c r="D62" s="410"/>
      <c r="E62" s="410"/>
      <c r="F62" s="410"/>
      <c r="G62" s="410"/>
      <c r="H62" s="415"/>
      <c r="I62" s="415"/>
      <c r="J62" s="415"/>
      <c r="K62" s="415"/>
      <c r="L62" s="415"/>
      <c r="M62" s="415"/>
      <c r="N62" s="415"/>
      <c r="O62" s="415"/>
      <c r="P62" s="415"/>
      <c r="Q62" s="415"/>
      <c r="R62" s="415"/>
      <c r="S62" s="415"/>
      <c r="T62" s="415"/>
      <c r="U62" s="415"/>
      <c r="V62" s="415"/>
      <c r="W62" s="415"/>
      <c r="X62" s="415"/>
      <c r="Y62" s="415"/>
      <c r="Z62" s="415"/>
      <c r="AA62" s="415"/>
      <c r="AB62" s="415"/>
      <c r="AC62" s="415"/>
      <c r="AD62" s="415"/>
      <c r="AE62" s="415"/>
      <c r="AF62" s="415"/>
      <c r="AG62" s="415"/>
      <c r="AH62" s="415"/>
      <c r="AI62" s="415"/>
      <c r="AJ62" s="415"/>
      <c r="AK62" s="415"/>
      <c r="AL62" s="415"/>
      <c r="AM62" s="415"/>
      <c r="AN62" s="415"/>
      <c r="AO62" s="415"/>
      <c r="AP62" s="415"/>
      <c r="AQ62" s="415"/>
      <c r="AR62" s="415"/>
      <c r="AS62" s="415"/>
      <c r="AT62" s="415"/>
      <c r="AU62" s="415"/>
      <c r="AV62" s="415"/>
      <c r="AW62" s="415"/>
      <c r="AX62" s="415"/>
      <c r="AY62" s="415"/>
      <c r="AZ62" s="415"/>
      <c r="BA62" s="3"/>
    </row>
    <row r="63" spans="1:53" x14ac:dyDescent="0.2">
      <c r="A63" s="410"/>
      <c r="B63" s="410"/>
      <c r="C63" s="410"/>
      <c r="D63" s="410"/>
      <c r="E63" s="410"/>
      <c r="F63" s="410"/>
      <c r="G63" s="410"/>
      <c r="H63" s="415"/>
      <c r="I63" s="415"/>
      <c r="J63" s="415"/>
      <c r="K63" s="415"/>
      <c r="L63" s="415"/>
      <c r="M63" s="415"/>
      <c r="N63" s="415"/>
      <c r="O63" s="415"/>
      <c r="P63" s="415"/>
      <c r="Q63" s="415"/>
      <c r="R63" s="415"/>
      <c r="S63" s="415"/>
      <c r="T63" s="415"/>
      <c r="U63" s="415"/>
      <c r="V63" s="415"/>
      <c r="W63" s="415"/>
      <c r="X63" s="415"/>
      <c r="Y63" s="415"/>
      <c r="Z63" s="415"/>
      <c r="AA63" s="415"/>
      <c r="AB63" s="415"/>
      <c r="AC63" s="415"/>
      <c r="AD63" s="415"/>
      <c r="AE63" s="415"/>
      <c r="AF63" s="415"/>
      <c r="AG63" s="415"/>
      <c r="AH63" s="415"/>
      <c r="AI63" s="415"/>
      <c r="AJ63" s="415"/>
      <c r="AK63" s="415"/>
      <c r="AL63" s="415"/>
      <c r="AM63" s="415"/>
      <c r="AN63" s="415"/>
      <c r="AO63" s="415"/>
      <c r="AP63" s="415"/>
      <c r="AQ63" s="415"/>
      <c r="AR63" s="415"/>
      <c r="AS63" s="415"/>
      <c r="AT63" s="415"/>
      <c r="AU63" s="415"/>
      <c r="AV63" s="415"/>
      <c r="AW63" s="415"/>
      <c r="AX63" s="415"/>
      <c r="AY63" s="415"/>
      <c r="AZ63" s="415"/>
      <c r="BA63" s="3"/>
    </row>
    <row r="64" spans="1:53" x14ac:dyDescent="0.2">
      <c r="A64" s="410"/>
      <c r="B64" s="410"/>
      <c r="C64" s="410"/>
      <c r="D64" s="410"/>
      <c r="E64" s="410"/>
      <c r="F64" s="410"/>
      <c r="G64" s="410"/>
      <c r="H64" s="415"/>
      <c r="I64" s="415"/>
      <c r="J64" s="415"/>
      <c r="K64" s="415"/>
      <c r="L64" s="415"/>
      <c r="M64" s="415"/>
      <c r="N64" s="415"/>
      <c r="O64" s="415"/>
      <c r="P64" s="415"/>
      <c r="Q64" s="415"/>
      <c r="R64" s="415"/>
      <c r="S64" s="415"/>
      <c r="T64" s="415"/>
      <c r="U64" s="415"/>
      <c r="V64" s="415"/>
      <c r="W64" s="415"/>
      <c r="X64" s="415"/>
      <c r="Y64" s="415"/>
      <c r="Z64" s="415"/>
      <c r="AA64" s="415"/>
      <c r="AB64" s="415"/>
      <c r="AC64" s="415"/>
      <c r="AD64" s="415"/>
      <c r="AE64" s="415"/>
      <c r="AF64" s="415"/>
      <c r="AG64" s="415"/>
      <c r="AH64" s="415"/>
      <c r="AI64" s="415"/>
      <c r="AJ64" s="415"/>
      <c r="AK64" s="415"/>
      <c r="AL64" s="415"/>
      <c r="AM64" s="415"/>
      <c r="AN64" s="415"/>
      <c r="AO64" s="415"/>
      <c r="AP64" s="415"/>
      <c r="AQ64" s="415"/>
      <c r="AR64" s="415"/>
      <c r="AS64" s="415"/>
      <c r="AT64" s="415"/>
      <c r="AU64" s="415"/>
      <c r="AV64" s="415"/>
      <c r="AW64" s="415"/>
      <c r="AX64" s="415"/>
      <c r="AY64" s="415"/>
      <c r="AZ64" s="415"/>
      <c r="BA64" s="3"/>
    </row>
    <row r="65" spans="1:53" x14ac:dyDescent="0.2">
      <c r="A65" s="410"/>
      <c r="B65" s="410"/>
      <c r="C65" s="410"/>
      <c r="D65" s="410"/>
      <c r="E65" s="410"/>
      <c r="F65" s="410"/>
      <c r="G65" s="410"/>
      <c r="H65" s="415"/>
      <c r="I65" s="415"/>
      <c r="J65" s="415"/>
      <c r="K65" s="415"/>
      <c r="L65" s="415"/>
      <c r="M65" s="415"/>
      <c r="N65" s="415"/>
      <c r="O65" s="415"/>
      <c r="P65" s="415"/>
      <c r="Q65" s="415"/>
      <c r="R65" s="415"/>
      <c r="S65" s="415"/>
      <c r="T65" s="415"/>
      <c r="U65" s="415"/>
      <c r="V65" s="415"/>
      <c r="W65" s="415"/>
      <c r="X65" s="415"/>
      <c r="Y65" s="415"/>
      <c r="Z65" s="415"/>
      <c r="AA65" s="415"/>
      <c r="AB65" s="415"/>
      <c r="AC65" s="415"/>
      <c r="AD65" s="415"/>
      <c r="AE65" s="415"/>
      <c r="AF65" s="415"/>
      <c r="AG65" s="415"/>
      <c r="AH65" s="415"/>
      <c r="AI65" s="415"/>
      <c r="AJ65" s="415"/>
      <c r="AK65" s="415"/>
      <c r="AL65" s="415"/>
      <c r="AM65" s="415"/>
      <c r="AN65" s="415"/>
      <c r="AO65" s="415"/>
      <c r="AP65" s="415"/>
      <c r="AQ65" s="415"/>
      <c r="AR65" s="415"/>
      <c r="AS65" s="415"/>
      <c r="AT65" s="415"/>
      <c r="AU65" s="415"/>
      <c r="AV65" s="415"/>
      <c r="AW65" s="415"/>
      <c r="AX65" s="415"/>
      <c r="AY65" s="415"/>
      <c r="AZ65" s="415"/>
      <c r="BA65" s="3"/>
    </row>
    <row r="66" spans="1:53" x14ac:dyDescent="0.2">
      <c r="A66" s="410"/>
      <c r="B66" s="410"/>
      <c r="C66" s="410"/>
      <c r="D66" s="410"/>
      <c r="E66" s="410"/>
      <c r="F66" s="410"/>
      <c r="G66" s="410"/>
      <c r="H66" s="415"/>
      <c r="I66" s="415"/>
      <c r="J66" s="415"/>
      <c r="K66" s="415"/>
      <c r="L66" s="415"/>
      <c r="M66" s="415"/>
      <c r="N66" s="415"/>
      <c r="O66" s="415"/>
      <c r="P66" s="415"/>
      <c r="Q66" s="415"/>
      <c r="R66" s="415"/>
      <c r="S66" s="415"/>
      <c r="T66" s="415"/>
      <c r="U66" s="415"/>
      <c r="V66" s="415"/>
      <c r="W66" s="415"/>
      <c r="X66" s="415"/>
      <c r="Y66" s="415"/>
      <c r="Z66" s="415"/>
      <c r="AA66" s="415"/>
      <c r="AB66" s="415"/>
      <c r="AC66" s="415"/>
      <c r="AD66" s="415"/>
      <c r="AE66" s="415"/>
      <c r="AF66" s="415"/>
      <c r="AG66" s="415"/>
      <c r="AH66" s="415"/>
      <c r="AI66" s="415"/>
      <c r="AJ66" s="415"/>
      <c r="AK66" s="415"/>
      <c r="AL66" s="415"/>
      <c r="AM66" s="415"/>
      <c r="AN66" s="415"/>
      <c r="AO66" s="415"/>
      <c r="AP66" s="415"/>
      <c r="AQ66" s="415"/>
      <c r="AR66" s="415"/>
      <c r="AS66" s="415"/>
      <c r="AT66" s="415"/>
      <c r="AU66" s="415"/>
      <c r="AV66" s="415"/>
      <c r="AW66" s="415"/>
      <c r="AX66" s="415"/>
      <c r="AY66" s="415"/>
      <c r="AZ66" s="415"/>
      <c r="BA66" s="3"/>
    </row>
    <row r="67" spans="1:53" x14ac:dyDescent="0.2">
      <c r="A67" s="410"/>
      <c r="B67" s="410"/>
      <c r="C67" s="410"/>
      <c r="D67" s="410"/>
      <c r="E67" s="410"/>
      <c r="F67" s="410"/>
      <c r="G67" s="410"/>
      <c r="H67" s="415"/>
      <c r="I67" s="415"/>
      <c r="J67" s="415"/>
      <c r="K67" s="415"/>
      <c r="L67" s="415"/>
      <c r="M67" s="415"/>
      <c r="N67" s="415"/>
      <c r="O67" s="415"/>
      <c r="P67" s="415"/>
      <c r="Q67" s="415"/>
      <c r="R67" s="415"/>
      <c r="S67" s="415"/>
      <c r="T67" s="415"/>
      <c r="U67" s="415"/>
      <c r="V67" s="415"/>
      <c r="W67" s="415"/>
      <c r="X67" s="415"/>
      <c r="Y67" s="415"/>
      <c r="Z67" s="415"/>
      <c r="AA67" s="415"/>
      <c r="AB67" s="415"/>
      <c r="AC67" s="415"/>
      <c r="AD67" s="415"/>
      <c r="AE67" s="415"/>
      <c r="AF67" s="415"/>
      <c r="AG67" s="415"/>
      <c r="AH67" s="415"/>
      <c r="AI67" s="415"/>
      <c r="AJ67" s="415"/>
      <c r="AK67" s="415"/>
      <c r="AL67" s="415"/>
      <c r="AM67" s="415"/>
      <c r="AN67" s="415"/>
      <c r="AO67" s="415"/>
      <c r="AP67" s="415"/>
      <c r="AQ67" s="415"/>
      <c r="AR67" s="415"/>
      <c r="AS67" s="415"/>
      <c r="AT67" s="415"/>
      <c r="AU67" s="415"/>
      <c r="AV67" s="415"/>
      <c r="AW67" s="415"/>
      <c r="AX67" s="415"/>
      <c r="AY67" s="415"/>
      <c r="AZ67" s="415"/>
      <c r="BA67" s="3"/>
    </row>
    <row r="68" spans="1:53" x14ac:dyDescent="0.2">
      <c r="A68" s="410"/>
      <c r="B68" s="410"/>
      <c r="C68" s="410"/>
      <c r="D68" s="410"/>
      <c r="E68" s="410"/>
      <c r="F68" s="410"/>
      <c r="G68" s="410"/>
      <c r="H68" s="415"/>
      <c r="I68" s="415"/>
      <c r="J68" s="415"/>
      <c r="K68" s="415"/>
      <c r="L68" s="415"/>
      <c r="M68" s="415"/>
      <c r="N68" s="415"/>
      <c r="O68" s="415"/>
      <c r="P68" s="415"/>
      <c r="Q68" s="415"/>
      <c r="R68" s="415"/>
      <c r="S68" s="415"/>
      <c r="T68" s="415"/>
      <c r="U68" s="415"/>
      <c r="V68" s="415"/>
      <c r="W68" s="415"/>
      <c r="X68" s="415"/>
      <c r="Y68" s="415"/>
      <c r="Z68" s="415"/>
      <c r="AA68" s="415"/>
      <c r="AB68" s="415"/>
      <c r="AC68" s="415"/>
      <c r="AD68" s="415"/>
      <c r="AE68" s="415"/>
      <c r="AF68" s="415"/>
      <c r="AG68" s="415"/>
      <c r="AH68" s="415"/>
      <c r="AI68" s="415"/>
      <c r="AJ68" s="415"/>
      <c r="AK68" s="415"/>
      <c r="AL68" s="415"/>
      <c r="AM68" s="415"/>
      <c r="AN68" s="415"/>
      <c r="AO68" s="415"/>
      <c r="AP68" s="415"/>
      <c r="AQ68" s="415"/>
      <c r="AR68" s="415"/>
      <c r="AS68" s="415"/>
      <c r="AT68" s="415"/>
      <c r="AU68" s="415"/>
      <c r="AV68" s="415"/>
      <c r="AW68" s="415"/>
      <c r="AX68" s="415"/>
      <c r="AY68" s="415"/>
      <c r="AZ68" s="415"/>
      <c r="BA68" s="3"/>
    </row>
    <row r="69" spans="1:53" x14ac:dyDescent="0.2">
      <c r="A69" s="410"/>
      <c r="B69" s="410"/>
      <c r="C69" s="410"/>
      <c r="D69" s="410"/>
      <c r="E69" s="410"/>
      <c r="F69" s="410"/>
      <c r="G69" s="410"/>
      <c r="H69" s="415"/>
      <c r="I69" s="415"/>
      <c r="J69" s="415"/>
      <c r="K69" s="415"/>
      <c r="L69" s="415"/>
      <c r="M69" s="415"/>
      <c r="N69" s="415"/>
      <c r="O69" s="415"/>
      <c r="P69" s="415"/>
      <c r="Q69" s="415"/>
      <c r="R69" s="415"/>
      <c r="S69" s="415"/>
      <c r="T69" s="415"/>
      <c r="U69" s="415"/>
      <c r="V69" s="415"/>
      <c r="W69" s="415"/>
      <c r="X69" s="415"/>
      <c r="Y69" s="415"/>
      <c r="Z69" s="415"/>
      <c r="AA69" s="415"/>
      <c r="AB69" s="415"/>
      <c r="AC69" s="415"/>
      <c r="AD69" s="415"/>
      <c r="AE69" s="415"/>
      <c r="AF69" s="415"/>
      <c r="AG69" s="415"/>
      <c r="AH69" s="415"/>
      <c r="AI69" s="415"/>
      <c r="AJ69" s="415"/>
      <c r="AK69" s="415"/>
      <c r="AL69" s="415"/>
      <c r="AM69" s="415"/>
      <c r="AN69" s="415"/>
      <c r="AO69" s="415"/>
      <c r="AP69" s="415"/>
      <c r="AQ69" s="415"/>
      <c r="AR69" s="415"/>
      <c r="AS69" s="415"/>
      <c r="AT69" s="415"/>
      <c r="AU69" s="415"/>
      <c r="AV69" s="415"/>
      <c r="AW69" s="415"/>
      <c r="AX69" s="415"/>
      <c r="AY69" s="415"/>
      <c r="AZ69" s="415"/>
      <c r="BA69" s="3"/>
    </row>
    <row r="70" spans="1:53" x14ac:dyDescent="0.2">
      <c r="A70" s="410"/>
      <c r="B70" s="410"/>
      <c r="C70" s="410"/>
      <c r="D70" s="410"/>
      <c r="E70" s="410"/>
      <c r="F70" s="410"/>
      <c r="G70" s="410"/>
      <c r="H70" s="415"/>
      <c r="I70" s="415"/>
      <c r="J70" s="415"/>
      <c r="K70" s="415"/>
      <c r="L70" s="415"/>
      <c r="M70" s="415"/>
      <c r="N70" s="415"/>
      <c r="O70" s="415"/>
      <c r="P70" s="415"/>
      <c r="Q70" s="415"/>
      <c r="R70" s="415"/>
      <c r="S70" s="415"/>
      <c r="T70" s="415"/>
      <c r="U70" s="415"/>
      <c r="V70" s="415"/>
      <c r="W70" s="415"/>
      <c r="X70" s="415"/>
      <c r="Y70" s="415"/>
      <c r="Z70" s="415"/>
      <c r="AA70" s="415"/>
      <c r="AB70" s="415"/>
      <c r="AC70" s="415"/>
      <c r="AD70" s="415"/>
      <c r="AE70" s="415"/>
      <c r="AF70" s="415"/>
      <c r="AG70" s="415"/>
      <c r="AH70" s="415"/>
      <c r="AI70" s="415"/>
      <c r="AJ70" s="415"/>
      <c r="AK70" s="415"/>
      <c r="AL70" s="415"/>
      <c r="AM70" s="415"/>
      <c r="AN70" s="415"/>
      <c r="AO70" s="415"/>
      <c r="AP70" s="415"/>
      <c r="AQ70" s="415"/>
      <c r="AR70" s="415"/>
      <c r="AS70" s="415"/>
      <c r="AT70" s="415"/>
      <c r="AU70" s="415"/>
      <c r="AV70" s="415"/>
      <c r="AW70" s="415"/>
      <c r="AX70" s="415"/>
      <c r="AY70" s="415"/>
      <c r="AZ70" s="415"/>
      <c r="BA70" s="3"/>
    </row>
    <row r="71" spans="1:53" x14ac:dyDescent="0.2">
      <c r="A71" s="410"/>
      <c r="B71" s="410"/>
      <c r="C71" s="410"/>
      <c r="D71" s="410"/>
      <c r="E71" s="410"/>
      <c r="F71" s="410"/>
      <c r="G71" s="410"/>
      <c r="H71" s="415"/>
      <c r="I71" s="415"/>
      <c r="J71" s="415"/>
      <c r="K71" s="415"/>
      <c r="L71" s="415"/>
      <c r="M71" s="415"/>
      <c r="N71" s="415"/>
      <c r="O71" s="415"/>
      <c r="P71" s="415"/>
      <c r="Q71" s="415"/>
      <c r="R71" s="415"/>
      <c r="S71" s="415"/>
      <c r="T71" s="415"/>
      <c r="U71" s="415"/>
      <c r="V71" s="415"/>
      <c r="W71" s="415"/>
      <c r="X71" s="415"/>
      <c r="Y71" s="415"/>
      <c r="Z71" s="415"/>
      <c r="AA71" s="415"/>
      <c r="AB71" s="415"/>
      <c r="AC71" s="415"/>
      <c r="AD71" s="415"/>
      <c r="AE71" s="415"/>
      <c r="AF71" s="415"/>
      <c r="AG71" s="415"/>
      <c r="AH71" s="415"/>
      <c r="AI71" s="415"/>
      <c r="AJ71" s="415"/>
      <c r="AK71" s="415"/>
      <c r="AL71" s="415"/>
      <c r="AM71" s="415"/>
      <c r="AN71" s="415"/>
      <c r="AO71" s="415"/>
      <c r="AP71" s="415"/>
      <c r="AQ71" s="415"/>
      <c r="AR71" s="415"/>
      <c r="AS71" s="415"/>
      <c r="AT71" s="415"/>
      <c r="AU71" s="415"/>
      <c r="AV71" s="415"/>
      <c r="AW71" s="415"/>
      <c r="AX71" s="415"/>
      <c r="AY71" s="415"/>
      <c r="AZ71" s="415"/>
      <c r="BA71" s="3"/>
    </row>
    <row r="72" spans="1:53" x14ac:dyDescent="0.2">
      <c r="A72" s="410"/>
      <c r="B72" s="410"/>
      <c r="C72" s="410"/>
      <c r="D72" s="410"/>
      <c r="E72" s="410"/>
      <c r="F72" s="410"/>
      <c r="G72" s="410"/>
      <c r="H72" s="415"/>
      <c r="I72" s="415"/>
      <c r="J72" s="415"/>
      <c r="K72" s="415"/>
      <c r="L72" s="415"/>
      <c r="M72" s="415"/>
      <c r="N72" s="415"/>
      <c r="O72" s="415"/>
      <c r="P72" s="415"/>
      <c r="Q72" s="415"/>
      <c r="R72" s="415"/>
      <c r="S72" s="415"/>
      <c r="T72" s="415"/>
      <c r="U72" s="415"/>
      <c r="V72" s="415"/>
      <c r="W72" s="415"/>
      <c r="X72" s="415"/>
      <c r="Y72" s="415"/>
      <c r="Z72" s="415"/>
      <c r="AA72" s="415"/>
      <c r="AB72" s="415"/>
      <c r="AC72" s="415"/>
      <c r="AD72" s="415"/>
      <c r="AE72" s="415"/>
      <c r="AF72" s="415"/>
      <c r="AG72" s="415"/>
      <c r="AH72" s="415"/>
      <c r="AI72" s="415"/>
      <c r="AJ72" s="415"/>
      <c r="AK72" s="415"/>
      <c r="AL72" s="415"/>
      <c r="AM72" s="415"/>
      <c r="AN72" s="415"/>
      <c r="AO72" s="415"/>
      <c r="AP72" s="415"/>
      <c r="AQ72" s="415"/>
      <c r="AR72" s="415"/>
      <c r="AS72" s="415"/>
      <c r="AT72" s="415"/>
      <c r="AU72" s="415"/>
      <c r="AV72" s="415"/>
      <c r="AW72" s="415"/>
      <c r="AX72" s="415"/>
      <c r="AY72" s="415"/>
      <c r="AZ72" s="415"/>
      <c r="BA72" s="3"/>
    </row>
    <row r="73" spans="1:53" x14ac:dyDescent="0.2">
      <c r="A73" s="410"/>
      <c r="B73" s="410"/>
      <c r="C73" s="410"/>
      <c r="D73" s="410"/>
      <c r="E73" s="410"/>
      <c r="F73" s="410"/>
      <c r="G73" s="410"/>
      <c r="H73" s="415"/>
      <c r="I73" s="415"/>
      <c r="J73" s="415"/>
      <c r="K73" s="415"/>
      <c r="L73" s="415"/>
      <c r="M73" s="415"/>
      <c r="N73" s="415"/>
      <c r="O73" s="415"/>
      <c r="P73" s="415"/>
      <c r="Q73" s="415"/>
      <c r="R73" s="415"/>
      <c r="S73" s="415"/>
      <c r="T73" s="415"/>
      <c r="U73" s="415"/>
      <c r="V73" s="415"/>
      <c r="W73" s="415"/>
      <c r="X73" s="415"/>
      <c r="Y73" s="415"/>
      <c r="Z73" s="415"/>
      <c r="AA73" s="415"/>
      <c r="AB73" s="415"/>
      <c r="AC73" s="415"/>
      <c r="AD73" s="415"/>
      <c r="AE73" s="415"/>
      <c r="AF73" s="415"/>
      <c r="AG73" s="415"/>
      <c r="AH73" s="415"/>
      <c r="AI73" s="415"/>
      <c r="AJ73" s="415"/>
      <c r="AK73" s="415"/>
      <c r="AL73" s="415"/>
      <c r="AM73" s="415"/>
      <c r="AN73" s="415"/>
      <c r="AO73" s="415"/>
      <c r="AP73" s="415"/>
      <c r="AQ73" s="415"/>
      <c r="AR73" s="415"/>
      <c r="AS73" s="415"/>
      <c r="AT73" s="415"/>
      <c r="AU73" s="415"/>
      <c r="AV73" s="415"/>
      <c r="AW73" s="415"/>
      <c r="AX73" s="415"/>
      <c r="AY73" s="415"/>
      <c r="AZ73" s="415"/>
      <c r="BA73" s="3"/>
    </row>
    <row r="74" spans="1:53" x14ac:dyDescent="0.2">
      <c r="A74" s="410"/>
      <c r="B74" s="410"/>
      <c r="C74" s="410"/>
      <c r="D74" s="410"/>
      <c r="E74" s="410"/>
      <c r="F74" s="410"/>
      <c r="G74" s="410"/>
      <c r="H74" s="415"/>
      <c r="I74" s="415"/>
      <c r="J74" s="415"/>
      <c r="K74" s="415"/>
      <c r="L74" s="415"/>
      <c r="M74" s="415"/>
      <c r="N74" s="415"/>
      <c r="O74" s="415"/>
      <c r="P74" s="415"/>
      <c r="Q74" s="415"/>
      <c r="R74" s="415"/>
      <c r="S74" s="415"/>
      <c r="T74" s="415"/>
      <c r="U74" s="415"/>
      <c r="V74" s="415"/>
      <c r="W74" s="415"/>
      <c r="X74" s="415"/>
      <c r="Y74" s="415"/>
      <c r="Z74" s="415"/>
      <c r="AA74" s="415"/>
      <c r="AB74" s="415"/>
      <c r="AC74" s="415"/>
      <c r="AD74" s="415"/>
      <c r="AE74" s="415"/>
      <c r="AF74" s="415"/>
      <c r="AG74" s="415"/>
      <c r="AH74" s="415"/>
      <c r="AI74" s="415"/>
      <c r="AJ74" s="415"/>
      <c r="AK74" s="415"/>
      <c r="AL74" s="415"/>
      <c r="AM74" s="415"/>
      <c r="AN74" s="415"/>
      <c r="AO74" s="415"/>
      <c r="AP74" s="415"/>
      <c r="AQ74" s="415"/>
      <c r="AR74" s="415"/>
      <c r="AS74" s="415"/>
      <c r="AT74" s="415"/>
      <c r="AU74" s="415"/>
      <c r="AV74" s="415"/>
      <c r="AW74" s="415"/>
      <c r="AX74" s="415"/>
      <c r="AY74" s="415"/>
      <c r="AZ74" s="415"/>
      <c r="BA74" s="3"/>
    </row>
    <row r="75" spans="1:53" x14ac:dyDescent="0.2">
      <c r="A75" s="410"/>
      <c r="B75" s="410"/>
      <c r="C75" s="410"/>
      <c r="D75" s="410"/>
      <c r="E75" s="410"/>
      <c r="F75" s="410"/>
      <c r="G75" s="410"/>
      <c r="H75" s="415"/>
      <c r="I75" s="415"/>
      <c r="J75" s="415"/>
      <c r="K75" s="415"/>
      <c r="L75" s="415"/>
      <c r="M75" s="415"/>
      <c r="N75" s="415"/>
      <c r="O75" s="415"/>
      <c r="P75" s="415"/>
      <c r="Q75" s="415"/>
      <c r="R75" s="415"/>
      <c r="S75" s="415"/>
      <c r="T75" s="415"/>
      <c r="U75" s="415"/>
      <c r="V75" s="415"/>
      <c r="W75" s="415"/>
      <c r="X75" s="415"/>
      <c r="Y75" s="415"/>
      <c r="Z75" s="415"/>
      <c r="AA75" s="415"/>
      <c r="AB75" s="415"/>
      <c r="AC75" s="415"/>
      <c r="AD75" s="415"/>
      <c r="AE75" s="415"/>
      <c r="AF75" s="415"/>
      <c r="AG75" s="415"/>
      <c r="AH75" s="415"/>
      <c r="AI75" s="415"/>
      <c r="AJ75" s="415"/>
      <c r="AK75" s="415"/>
      <c r="AL75" s="415"/>
      <c r="AM75" s="415"/>
      <c r="AN75" s="415"/>
      <c r="AO75" s="415"/>
      <c r="AP75" s="415"/>
      <c r="AQ75" s="415"/>
      <c r="AR75" s="415"/>
      <c r="AS75" s="415"/>
      <c r="AT75" s="415"/>
      <c r="AU75" s="415"/>
      <c r="AV75" s="415"/>
      <c r="AW75" s="415"/>
      <c r="AX75" s="415"/>
      <c r="AY75" s="415"/>
      <c r="AZ75" s="415"/>
      <c r="BA75" s="3"/>
    </row>
    <row r="76" spans="1:53" x14ac:dyDescent="0.2">
      <c r="A76" s="410"/>
      <c r="B76" s="410"/>
      <c r="C76" s="410"/>
      <c r="D76" s="410"/>
      <c r="E76" s="410"/>
      <c r="F76" s="410"/>
      <c r="G76" s="410"/>
      <c r="H76" s="415"/>
      <c r="I76" s="415"/>
      <c r="J76" s="415"/>
      <c r="K76" s="415"/>
      <c r="L76" s="415"/>
      <c r="M76" s="415"/>
      <c r="N76" s="415"/>
      <c r="O76" s="415"/>
      <c r="P76" s="415"/>
      <c r="Q76" s="415"/>
      <c r="R76" s="415"/>
      <c r="S76" s="415"/>
      <c r="T76" s="415"/>
      <c r="U76" s="415"/>
      <c r="V76" s="415"/>
      <c r="W76" s="415"/>
      <c r="X76" s="415"/>
      <c r="Y76" s="415"/>
      <c r="Z76" s="415"/>
      <c r="AA76" s="415"/>
      <c r="AB76" s="415"/>
      <c r="AC76" s="415"/>
      <c r="AD76" s="415"/>
      <c r="AE76" s="415"/>
      <c r="AF76" s="415"/>
      <c r="AG76" s="415"/>
      <c r="AH76" s="415"/>
      <c r="AI76" s="415"/>
      <c r="AJ76" s="415"/>
      <c r="AK76" s="415"/>
      <c r="AL76" s="415"/>
      <c r="AM76" s="415"/>
      <c r="AN76" s="415"/>
      <c r="AO76" s="415"/>
      <c r="AP76" s="415"/>
      <c r="AQ76" s="415"/>
      <c r="AR76" s="415"/>
      <c r="AS76" s="415"/>
      <c r="AT76" s="415"/>
      <c r="AU76" s="415"/>
      <c r="AV76" s="415"/>
      <c r="AW76" s="415"/>
      <c r="AX76" s="415"/>
      <c r="AY76" s="415"/>
      <c r="AZ76" s="415"/>
      <c r="BA76" s="3"/>
    </row>
    <row r="77" spans="1:53" x14ac:dyDescent="0.2">
      <c r="A77" s="410"/>
      <c r="B77" s="410"/>
      <c r="C77" s="410"/>
      <c r="D77" s="410"/>
      <c r="E77" s="410"/>
      <c r="F77" s="410"/>
      <c r="G77" s="410"/>
      <c r="H77" s="415"/>
      <c r="I77" s="415"/>
      <c r="J77" s="415"/>
      <c r="K77" s="415"/>
      <c r="L77" s="415"/>
      <c r="M77" s="415"/>
      <c r="N77" s="415"/>
      <c r="O77" s="415"/>
      <c r="P77" s="415"/>
      <c r="Q77" s="415"/>
      <c r="R77" s="415"/>
      <c r="S77" s="415"/>
      <c r="T77" s="415"/>
      <c r="U77" s="415"/>
      <c r="V77" s="415"/>
      <c r="W77" s="415"/>
      <c r="X77" s="415"/>
      <c r="Y77" s="415"/>
      <c r="Z77" s="415"/>
      <c r="AA77" s="415"/>
      <c r="AB77" s="415"/>
      <c r="AC77" s="415"/>
      <c r="AD77" s="415"/>
      <c r="AE77" s="415"/>
      <c r="AF77" s="415"/>
      <c r="AG77" s="415"/>
      <c r="AH77" s="415"/>
      <c r="AI77" s="415"/>
      <c r="AJ77" s="415"/>
      <c r="AK77" s="415"/>
      <c r="AL77" s="415"/>
      <c r="AM77" s="415"/>
      <c r="AN77" s="415"/>
      <c r="AO77" s="415"/>
      <c r="AP77" s="415"/>
      <c r="AQ77" s="415"/>
      <c r="AR77" s="415"/>
      <c r="AS77" s="415"/>
      <c r="AT77" s="415"/>
      <c r="AU77" s="415"/>
      <c r="AV77" s="415"/>
      <c r="AW77" s="415"/>
      <c r="AX77" s="415"/>
      <c r="AY77" s="415"/>
      <c r="AZ77" s="415"/>
      <c r="BA77" s="3"/>
    </row>
    <row r="78" spans="1:53" x14ac:dyDescent="0.2">
      <c r="A78" s="410"/>
      <c r="B78" s="410"/>
      <c r="C78" s="410"/>
      <c r="D78" s="410"/>
      <c r="E78" s="410"/>
      <c r="F78" s="410"/>
      <c r="G78" s="410"/>
      <c r="H78" s="415"/>
      <c r="I78" s="415"/>
      <c r="J78" s="415"/>
      <c r="K78" s="415"/>
      <c r="L78" s="415"/>
      <c r="M78" s="415"/>
      <c r="N78" s="415"/>
      <c r="O78" s="415"/>
      <c r="P78" s="415"/>
      <c r="Q78" s="415"/>
      <c r="R78" s="415"/>
      <c r="S78" s="415"/>
      <c r="T78" s="415"/>
      <c r="U78" s="415"/>
      <c r="V78" s="415"/>
      <c r="W78" s="415"/>
      <c r="X78" s="415"/>
      <c r="Y78" s="415"/>
      <c r="Z78" s="415"/>
      <c r="AA78" s="415"/>
      <c r="AB78" s="415"/>
      <c r="AC78" s="415"/>
      <c r="AD78" s="415"/>
      <c r="AE78" s="415"/>
      <c r="AF78" s="415"/>
      <c r="AG78" s="415"/>
      <c r="AH78" s="415"/>
      <c r="AI78" s="415"/>
      <c r="AJ78" s="415"/>
      <c r="AK78" s="415"/>
      <c r="AL78" s="415"/>
      <c r="AM78" s="415"/>
      <c r="AN78" s="415"/>
      <c r="AO78" s="415"/>
      <c r="AP78" s="415"/>
      <c r="AQ78" s="415"/>
      <c r="AR78" s="415"/>
      <c r="AS78" s="415"/>
      <c r="AT78" s="415"/>
      <c r="AU78" s="415"/>
      <c r="AV78" s="415"/>
      <c r="AW78" s="415"/>
      <c r="AX78" s="415"/>
      <c r="AY78" s="415"/>
      <c r="AZ78" s="415"/>
      <c r="BA78" s="3"/>
    </row>
    <row r="79" spans="1:53" x14ac:dyDescent="0.2">
      <c r="A79" s="410"/>
      <c r="B79" s="410"/>
      <c r="C79" s="410"/>
      <c r="D79" s="410"/>
      <c r="E79" s="410"/>
      <c r="F79" s="410"/>
      <c r="G79" s="410"/>
      <c r="H79" s="415"/>
      <c r="I79" s="415"/>
      <c r="J79" s="415"/>
      <c r="K79" s="415"/>
      <c r="L79" s="415"/>
      <c r="M79" s="415"/>
      <c r="N79" s="415"/>
      <c r="O79" s="415"/>
      <c r="P79" s="415"/>
      <c r="Q79" s="415"/>
      <c r="R79" s="415"/>
      <c r="S79" s="415"/>
      <c r="T79" s="415"/>
      <c r="U79" s="415"/>
      <c r="V79" s="415"/>
      <c r="W79" s="415"/>
      <c r="X79" s="415"/>
      <c r="Y79" s="415"/>
      <c r="Z79" s="415"/>
      <c r="AA79" s="415"/>
      <c r="AB79" s="415"/>
      <c r="AC79" s="415"/>
      <c r="AD79" s="415"/>
      <c r="AE79" s="415"/>
      <c r="AF79" s="415"/>
      <c r="AG79" s="415"/>
      <c r="AH79" s="415"/>
      <c r="AI79" s="415"/>
      <c r="AJ79" s="415"/>
      <c r="AK79" s="415"/>
      <c r="AL79" s="415"/>
      <c r="AM79" s="415"/>
      <c r="AN79" s="415"/>
      <c r="AO79" s="415"/>
      <c r="AP79" s="415"/>
      <c r="AQ79" s="415"/>
      <c r="AR79" s="415"/>
      <c r="AS79" s="415"/>
      <c r="AT79" s="415"/>
      <c r="AU79" s="415"/>
      <c r="AV79" s="415"/>
      <c r="AW79" s="415"/>
      <c r="AX79" s="415"/>
      <c r="AY79" s="415"/>
      <c r="AZ79" s="415"/>
      <c r="BA79" s="3"/>
    </row>
    <row r="80" spans="1:53" x14ac:dyDescent="0.2">
      <c r="A80" s="410"/>
      <c r="B80" s="410"/>
      <c r="C80" s="410"/>
      <c r="D80" s="410"/>
      <c r="E80" s="410"/>
      <c r="F80" s="410"/>
      <c r="G80" s="410"/>
      <c r="H80" s="415"/>
      <c r="I80" s="415"/>
      <c r="J80" s="415"/>
      <c r="K80" s="415"/>
      <c r="L80" s="415"/>
      <c r="M80" s="415"/>
      <c r="N80" s="415"/>
      <c r="O80" s="415"/>
      <c r="P80" s="415"/>
      <c r="Q80" s="415"/>
      <c r="R80" s="415"/>
      <c r="S80" s="415"/>
      <c r="T80" s="415"/>
      <c r="U80" s="415"/>
      <c r="V80" s="415"/>
      <c r="W80" s="415"/>
      <c r="X80" s="415"/>
      <c r="Y80" s="415"/>
      <c r="Z80" s="415"/>
      <c r="AA80" s="415"/>
      <c r="AB80" s="415"/>
      <c r="AC80" s="415"/>
      <c r="AD80" s="415"/>
      <c r="AE80" s="415"/>
      <c r="AF80" s="415"/>
      <c r="AG80" s="415"/>
      <c r="AH80" s="415"/>
      <c r="AI80" s="415"/>
      <c r="AJ80" s="415"/>
      <c r="AK80" s="415"/>
      <c r="AL80" s="415"/>
      <c r="AM80" s="415"/>
      <c r="AN80" s="415"/>
      <c r="AO80" s="415"/>
      <c r="AP80" s="415"/>
      <c r="AQ80" s="415"/>
      <c r="AR80" s="415"/>
      <c r="AS80" s="415"/>
      <c r="AT80" s="415"/>
      <c r="AU80" s="415"/>
      <c r="AV80" s="415"/>
      <c r="AW80" s="415"/>
      <c r="AX80" s="415"/>
      <c r="AY80" s="415"/>
      <c r="AZ80" s="415"/>
      <c r="BA80" s="3"/>
    </row>
    <row r="81" spans="1:53" x14ac:dyDescent="0.2">
      <c r="A81" s="410"/>
      <c r="B81" s="410"/>
      <c r="C81" s="410"/>
      <c r="D81" s="410"/>
      <c r="E81" s="410"/>
      <c r="F81" s="410"/>
      <c r="G81" s="410"/>
      <c r="H81" s="415"/>
      <c r="I81" s="415"/>
      <c r="J81" s="415"/>
      <c r="K81" s="415"/>
      <c r="L81" s="415"/>
      <c r="M81" s="415"/>
      <c r="N81" s="415"/>
      <c r="O81" s="415"/>
      <c r="P81" s="415"/>
      <c r="Q81" s="415"/>
      <c r="R81" s="415"/>
      <c r="S81" s="415"/>
      <c r="T81" s="415"/>
      <c r="U81" s="415"/>
      <c r="V81" s="415"/>
      <c r="W81" s="415"/>
      <c r="X81" s="415"/>
      <c r="Y81" s="415"/>
      <c r="Z81" s="415"/>
      <c r="AA81" s="415"/>
      <c r="AB81" s="415"/>
      <c r="AC81" s="415"/>
      <c r="AD81" s="415"/>
      <c r="AE81" s="415"/>
      <c r="AF81" s="415"/>
      <c r="AG81" s="415"/>
      <c r="AH81" s="415"/>
      <c r="AI81" s="415"/>
      <c r="AJ81" s="415"/>
      <c r="AK81" s="415"/>
      <c r="AL81" s="415"/>
      <c r="AM81" s="415"/>
      <c r="AN81" s="415"/>
      <c r="AO81" s="415"/>
      <c r="AP81" s="415"/>
      <c r="AQ81" s="415"/>
      <c r="AR81" s="415"/>
      <c r="AS81" s="415"/>
      <c r="AT81" s="415"/>
      <c r="AU81" s="415"/>
      <c r="AV81" s="415"/>
      <c r="AW81" s="415"/>
      <c r="AX81" s="415"/>
      <c r="AY81" s="415"/>
      <c r="AZ81" s="415"/>
      <c r="BA81" s="3"/>
    </row>
    <row r="82" spans="1:53" x14ac:dyDescent="0.2">
      <c r="A82" s="410"/>
      <c r="B82" s="410"/>
      <c r="C82" s="410"/>
      <c r="D82" s="410"/>
      <c r="E82" s="410"/>
      <c r="F82" s="410"/>
      <c r="G82" s="410"/>
      <c r="H82" s="415"/>
      <c r="I82" s="415"/>
      <c r="J82" s="415"/>
      <c r="K82" s="415"/>
      <c r="L82" s="415"/>
      <c r="M82" s="415"/>
      <c r="N82" s="415"/>
      <c r="O82" s="415"/>
      <c r="P82" s="415"/>
      <c r="Q82" s="415"/>
      <c r="R82" s="415"/>
      <c r="S82" s="415"/>
      <c r="T82" s="415"/>
      <c r="U82" s="415"/>
      <c r="V82" s="415"/>
      <c r="W82" s="415"/>
      <c r="X82" s="415"/>
      <c r="Y82" s="415"/>
      <c r="Z82" s="415"/>
      <c r="AA82" s="415"/>
      <c r="AB82" s="415"/>
      <c r="AC82" s="415"/>
      <c r="AD82" s="415"/>
      <c r="AE82" s="415"/>
      <c r="AF82" s="415"/>
      <c r="AG82" s="415"/>
      <c r="AH82" s="415"/>
      <c r="AI82" s="415"/>
      <c r="AJ82" s="415"/>
      <c r="AK82" s="415"/>
      <c r="AL82" s="415"/>
      <c r="AM82" s="415"/>
      <c r="AN82" s="415"/>
      <c r="AO82" s="415"/>
      <c r="AP82" s="415"/>
      <c r="AQ82" s="415"/>
      <c r="AR82" s="415"/>
      <c r="AS82" s="415"/>
      <c r="AT82" s="415"/>
      <c r="AU82" s="415"/>
      <c r="AV82" s="415"/>
      <c r="AW82" s="415"/>
      <c r="AX82" s="415"/>
      <c r="AY82" s="415"/>
      <c r="AZ82" s="415"/>
      <c r="BA82" s="3"/>
    </row>
    <row r="83" spans="1:53" x14ac:dyDescent="0.2">
      <c r="A83" s="410"/>
      <c r="B83" s="410"/>
      <c r="C83" s="410"/>
      <c r="D83" s="410"/>
      <c r="E83" s="410"/>
      <c r="F83" s="410"/>
      <c r="G83" s="410"/>
      <c r="H83" s="415"/>
      <c r="I83" s="415"/>
      <c r="J83" s="415"/>
      <c r="K83" s="415"/>
      <c r="L83" s="415"/>
      <c r="M83" s="415"/>
      <c r="N83" s="415"/>
      <c r="O83" s="415"/>
      <c r="P83" s="415"/>
      <c r="Q83" s="415"/>
      <c r="R83" s="415"/>
      <c r="S83" s="415"/>
      <c r="T83" s="415"/>
      <c r="U83" s="415"/>
      <c r="V83" s="415"/>
      <c r="W83" s="415"/>
      <c r="X83" s="415"/>
      <c r="Y83" s="415"/>
      <c r="Z83" s="415"/>
      <c r="AA83" s="415"/>
      <c r="AB83" s="415"/>
      <c r="AC83" s="415"/>
      <c r="AD83" s="415"/>
      <c r="AE83" s="415"/>
      <c r="AF83" s="415"/>
      <c r="AG83" s="415"/>
      <c r="AH83" s="415"/>
      <c r="AI83" s="415"/>
      <c r="AJ83" s="415"/>
      <c r="AK83" s="415"/>
      <c r="AL83" s="415"/>
      <c r="AM83" s="415"/>
      <c r="AN83" s="415"/>
      <c r="AO83" s="415"/>
      <c r="AP83" s="415"/>
      <c r="AQ83" s="415"/>
      <c r="AR83" s="415"/>
      <c r="AS83" s="415"/>
      <c r="AT83" s="415"/>
      <c r="AU83" s="415"/>
      <c r="AV83" s="415"/>
      <c r="AW83" s="415"/>
      <c r="AX83" s="415"/>
      <c r="AY83" s="415"/>
      <c r="AZ83" s="415"/>
      <c r="BA83" s="3"/>
    </row>
    <row r="84" spans="1:53" x14ac:dyDescent="0.2">
      <c r="A84" s="410"/>
      <c r="B84" s="410"/>
      <c r="C84" s="410"/>
      <c r="D84" s="410"/>
      <c r="E84" s="410"/>
      <c r="F84" s="410"/>
      <c r="G84" s="410"/>
      <c r="H84" s="415"/>
      <c r="I84" s="415"/>
      <c r="J84" s="415"/>
      <c r="K84" s="415"/>
      <c r="L84" s="415"/>
      <c r="M84" s="415"/>
      <c r="N84" s="415"/>
      <c r="O84" s="415"/>
      <c r="P84" s="415"/>
      <c r="Q84" s="415"/>
      <c r="R84" s="415"/>
      <c r="S84" s="415"/>
      <c r="T84" s="415"/>
      <c r="U84" s="415"/>
      <c r="V84" s="415"/>
      <c r="W84" s="415"/>
      <c r="X84" s="415"/>
      <c r="Y84" s="415"/>
      <c r="Z84" s="415"/>
      <c r="AA84" s="415"/>
      <c r="AB84" s="415"/>
      <c r="AC84" s="415"/>
      <c r="AD84" s="415"/>
      <c r="AE84" s="415"/>
      <c r="AF84" s="415"/>
      <c r="AG84" s="415"/>
      <c r="AH84" s="415"/>
      <c r="AI84" s="415"/>
      <c r="AJ84" s="415"/>
      <c r="AK84" s="415"/>
      <c r="AL84" s="415"/>
      <c r="AM84" s="415"/>
      <c r="AN84" s="415"/>
      <c r="AO84" s="415"/>
      <c r="AP84" s="415"/>
      <c r="AQ84" s="415"/>
      <c r="AR84" s="415"/>
      <c r="AS84" s="415"/>
      <c r="AT84" s="415"/>
      <c r="AU84" s="415"/>
      <c r="AV84" s="415"/>
      <c r="AW84" s="415"/>
      <c r="AX84" s="415"/>
      <c r="AY84" s="415"/>
      <c r="AZ84" s="415"/>
      <c r="BA84" s="3"/>
    </row>
    <row r="85" spans="1:53" x14ac:dyDescent="0.2">
      <c r="A85" s="410"/>
      <c r="B85" s="410"/>
      <c r="C85" s="410"/>
      <c r="D85" s="410"/>
      <c r="E85" s="410"/>
      <c r="F85" s="410"/>
      <c r="G85" s="410"/>
      <c r="H85" s="415"/>
      <c r="I85" s="415"/>
      <c r="J85" s="415"/>
      <c r="K85" s="415"/>
      <c r="L85" s="415"/>
      <c r="M85" s="415"/>
      <c r="N85" s="415"/>
      <c r="O85" s="415"/>
      <c r="P85" s="415"/>
      <c r="Q85" s="415"/>
      <c r="R85" s="415"/>
      <c r="S85" s="415"/>
      <c r="T85" s="415"/>
      <c r="U85" s="415"/>
      <c r="V85" s="415"/>
      <c r="W85" s="415"/>
      <c r="X85" s="415"/>
      <c r="Y85" s="415"/>
      <c r="Z85" s="415"/>
      <c r="AA85" s="415"/>
      <c r="AB85" s="415"/>
      <c r="AC85" s="415"/>
      <c r="AD85" s="415"/>
      <c r="AE85" s="415"/>
      <c r="AF85" s="415"/>
      <c r="AG85" s="415"/>
      <c r="AH85" s="415"/>
      <c r="AI85" s="415"/>
      <c r="AJ85" s="415"/>
      <c r="AK85" s="415"/>
      <c r="AL85" s="415"/>
      <c r="AM85" s="415"/>
      <c r="AN85" s="415"/>
      <c r="AO85" s="415"/>
      <c r="AP85" s="415"/>
      <c r="AQ85" s="415"/>
      <c r="AR85" s="415"/>
      <c r="AS85" s="415"/>
      <c r="AT85" s="415"/>
      <c r="AU85" s="415"/>
      <c r="AV85" s="415"/>
      <c r="AW85" s="415"/>
      <c r="AX85" s="415"/>
      <c r="AY85" s="415"/>
      <c r="AZ85" s="415"/>
      <c r="BA85" s="3"/>
    </row>
    <row r="86" spans="1:53" x14ac:dyDescent="0.2">
      <c r="A86" s="410"/>
      <c r="B86" s="410"/>
      <c r="C86" s="410"/>
      <c r="D86" s="410"/>
      <c r="E86" s="410"/>
      <c r="F86" s="410"/>
      <c r="G86" s="410"/>
      <c r="H86" s="415"/>
      <c r="I86" s="415"/>
      <c r="J86" s="415"/>
      <c r="K86" s="415"/>
      <c r="L86" s="415"/>
      <c r="M86" s="415"/>
      <c r="N86" s="415"/>
      <c r="O86" s="415"/>
      <c r="P86" s="415"/>
      <c r="Q86" s="415"/>
      <c r="R86" s="415"/>
      <c r="S86" s="415"/>
      <c r="T86" s="415"/>
      <c r="U86" s="415"/>
      <c r="V86" s="415"/>
      <c r="W86" s="415"/>
      <c r="X86" s="415"/>
      <c r="Y86" s="415"/>
      <c r="Z86" s="415"/>
      <c r="AA86" s="415"/>
      <c r="AB86" s="415"/>
      <c r="AC86" s="415"/>
      <c r="AD86" s="415"/>
      <c r="AE86" s="415"/>
      <c r="AF86" s="415"/>
      <c r="AG86" s="415"/>
      <c r="AH86" s="415"/>
      <c r="AI86" s="415"/>
      <c r="AJ86" s="415"/>
      <c r="AK86" s="415"/>
      <c r="AL86" s="415"/>
      <c r="AM86" s="415"/>
      <c r="AN86" s="415"/>
      <c r="AO86" s="415"/>
      <c r="AP86" s="415"/>
      <c r="AQ86" s="415"/>
      <c r="AR86" s="415"/>
      <c r="AS86" s="415"/>
      <c r="AT86" s="415"/>
      <c r="AU86" s="415"/>
      <c r="AV86" s="415"/>
      <c r="AW86" s="415"/>
      <c r="AX86" s="415"/>
      <c r="AY86" s="415"/>
      <c r="AZ86" s="415"/>
      <c r="BA86" s="3"/>
    </row>
    <row r="87" spans="1:53" x14ac:dyDescent="0.2">
      <c r="A87" s="410"/>
      <c r="B87" s="410"/>
      <c r="C87" s="410"/>
      <c r="D87" s="410"/>
      <c r="E87" s="410"/>
      <c r="F87" s="410"/>
      <c r="G87" s="410"/>
      <c r="H87" s="415"/>
      <c r="I87" s="415"/>
      <c r="J87" s="415"/>
      <c r="K87" s="415"/>
      <c r="L87" s="415"/>
      <c r="M87" s="415"/>
      <c r="N87" s="415"/>
      <c r="O87" s="415"/>
      <c r="P87" s="415"/>
      <c r="Q87" s="415"/>
      <c r="R87" s="415"/>
      <c r="S87" s="415"/>
      <c r="T87" s="415"/>
      <c r="U87" s="415"/>
      <c r="V87" s="415"/>
      <c r="W87" s="415"/>
      <c r="X87" s="415"/>
      <c r="Y87" s="415"/>
      <c r="Z87" s="415"/>
      <c r="AA87" s="415"/>
      <c r="AB87" s="415"/>
      <c r="AC87" s="415"/>
      <c r="AD87" s="415"/>
      <c r="AE87" s="415"/>
      <c r="AF87" s="415"/>
      <c r="AG87" s="415"/>
      <c r="AH87" s="415"/>
      <c r="AI87" s="415"/>
      <c r="AJ87" s="415"/>
      <c r="AK87" s="415"/>
      <c r="AL87" s="415"/>
      <c r="AM87" s="415"/>
      <c r="AN87" s="415"/>
      <c r="AO87" s="415"/>
      <c r="AP87" s="415"/>
      <c r="AQ87" s="415"/>
      <c r="AR87" s="415"/>
      <c r="AS87" s="415"/>
      <c r="AT87" s="415"/>
      <c r="AU87" s="415"/>
      <c r="AV87" s="415"/>
      <c r="AW87" s="415"/>
      <c r="AX87" s="415"/>
      <c r="AY87" s="415"/>
      <c r="AZ87" s="415"/>
      <c r="BA87" s="3"/>
    </row>
    <row r="88" spans="1:53" x14ac:dyDescent="0.2">
      <c r="A88" s="410"/>
      <c r="B88" s="410"/>
      <c r="C88" s="410"/>
      <c r="D88" s="410"/>
      <c r="E88" s="410"/>
      <c r="F88" s="410"/>
      <c r="G88" s="410"/>
      <c r="H88" s="415"/>
      <c r="I88" s="415"/>
      <c r="J88" s="415"/>
      <c r="K88" s="415"/>
      <c r="L88" s="415"/>
      <c r="M88" s="415"/>
      <c r="N88" s="415"/>
      <c r="O88" s="415"/>
      <c r="P88" s="415"/>
      <c r="Q88" s="415"/>
      <c r="R88" s="415"/>
      <c r="S88" s="415"/>
      <c r="T88" s="415"/>
      <c r="U88" s="415"/>
      <c r="V88" s="415"/>
      <c r="W88" s="415"/>
      <c r="X88" s="415"/>
      <c r="Y88" s="415"/>
      <c r="Z88" s="415"/>
      <c r="AA88" s="415"/>
      <c r="AB88" s="415"/>
      <c r="AC88" s="415"/>
      <c r="AD88" s="415"/>
      <c r="AE88" s="415"/>
      <c r="AF88" s="415"/>
      <c r="AG88" s="415"/>
      <c r="AH88" s="415"/>
      <c r="AI88" s="415"/>
      <c r="AJ88" s="415"/>
      <c r="AK88" s="415"/>
      <c r="AL88" s="415"/>
      <c r="AM88" s="415"/>
      <c r="AN88" s="415"/>
      <c r="AO88" s="415"/>
      <c r="AP88" s="415"/>
      <c r="AQ88" s="415"/>
      <c r="AR88" s="415"/>
      <c r="AS88" s="415"/>
      <c r="AT88" s="415"/>
      <c r="AU88" s="415"/>
      <c r="AV88" s="415"/>
      <c r="AW88" s="415"/>
      <c r="AX88" s="415"/>
      <c r="AY88" s="415"/>
      <c r="AZ88" s="415"/>
      <c r="BA88" s="3"/>
    </row>
    <row r="89" spans="1:53" x14ac:dyDescent="0.2">
      <c r="A89" s="410"/>
      <c r="B89" s="410"/>
      <c r="C89" s="410"/>
      <c r="D89" s="410"/>
      <c r="E89" s="410"/>
      <c r="F89" s="410"/>
      <c r="G89" s="410"/>
      <c r="H89" s="415"/>
      <c r="I89" s="415"/>
      <c r="J89" s="415"/>
      <c r="K89" s="415"/>
      <c r="L89" s="415"/>
      <c r="M89" s="415"/>
      <c r="N89" s="415"/>
      <c r="O89" s="415"/>
      <c r="P89" s="415"/>
      <c r="Q89" s="415"/>
      <c r="R89" s="415"/>
      <c r="S89" s="415"/>
      <c r="T89" s="415"/>
      <c r="U89" s="415"/>
      <c r="V89" s="415"/>
      <c r="W89" s="415"/>
      <c r="X89" s="415"/>
      <c r="Y89" s="415"/>
      <c r="Z89" s="415"/>
      <c r="AA89" s="415"/>
      <c r="AB89" s="415"/>
      <c r="AC89" s="415"/>
      <c r="AD89" s="415"/>
      <c r="AE89" s="415"/>
      <c r="AF89" s="415"/>
      <c r="AG89" s="415"/>
      <c r="AH89" s="415"/>
      <c r="AI89" s="415"/>
      <c r="AJ89" s="415"/>
      <c r="AK89" s="415"/>
      <c r="AL89" s="415"/>
      <c r="AM89" s="415"/>
      <c r="AN89" s="415"/>
      <c r="AO89" s="415"/>
      <c r="AP89" s="415"/>
      <c r="AQ89" s="415"/>
      <c r="AR89" s="415"/>
      <c r="AS89" s="415"/>
      <c r="AT89" s="415"/>
      <c r="AU89" s="415"/>
      <c r="AV89" s="415"/>
      <c r="AW89" s="415"/>
      <c r="AX89" s="415"/>
      <c r="AY89" s="415"/>
      <c r="AZ89" s="415"/>
      <c r="BA89" s="3"/>
    </row>
    <row r="90" spans="1:53" x14ac:dyDescent="0.2">
      <c r="A90" s="410"/>
      <c r="B90" s="410"/>
      <c r="C90" s="410"/>
      <c r="D90" s="410"/>
      <c r="E90" s="410"/>
      <c r="F90" s="410"/>
      <c r="G90" s="410"/>
      <c r="H90" s="415"/>
      <c r="I90" s="415"/>
      <c r="J90" s="415"/>
      <c r="K90" s="415"/>
      <c r="L90" s="415"/>
      <c r="M90" s="415"/>
      <c r="N90" s="415"/>
      <c r="O90" s="415"/>
      <c r="P90" s="415"/>
      <c r="Q90" s="415"/>
      <c r="R90" s="415"/>
      <c r="S90" s="415"/>
      <c r="T90" s="415"/>
      <c r="U90" s="415"/>
      <c r="V90" s="415"/>
      <c r="W90" s="415"/>
      <c r="X90" s="415"/>
      <c r="Y90" s="415"/>
      <c r="Z90" s="415"/>
      <c r="AA90" s="415"/>
      <c r="AB90" s="415"/>
      <c r="AC90" s="415"/>
      <c r="AD90" s="415"/>
      <c r="AE90" s="415"/>
      <c r="AF90" s="415"/>
      <c r="AG90" s="415"/>
      <c r="AH90" s="415"/>
      <c r="AI90" s="415"/>
      <c r="AJ90" s="415"/>
      <c r="AK90" s="415"/>
      <c r="AL90" s="415"/>
      <c r="AM90" s="415"/>
      <c r="AN90" s="415"/>
      <c r="AO90" s="415"/>
      <c r="AP90" s="415"/>
      <c r="AQ90" s="415"/>
      <c r="AR90" s="415"/>
      <c r="AS90" s="415"/>
      <c r="AT90" s="415"/>
      <c r="AU90" s="415"/>
      <c r="AV90" s="415"/>
      <c r="AW90" s="415"/>
      <c r="AX90" s="415"/>
      <c r="AY90" s="415"/>
      <c r="AZ90" s="415"/>
      <c r="BA90" s="3"/>
    </row>
    <row r="91" spans="1:53" x14ac:dyDescent="0.2">
      <c r="A91" s="410"/>
      <c r="B91" s="410"/>
      <c r="C91" s="410"/>
      <c r="D91" s="410"/>
      <c r="E91" s="410"/>
      <c r="F91" s="410"/>
      <c r="G91" s="410"/>
      <c r="H91" s="415"/>
      <c r="I91" s="415"/>
      <c r="J91" s="415"/>
      <c r="K91" s="415"/>
      <c r="L91" s="415"/>
      <c r="M91" s="415"/>
      <c r="N91" s="415"/>
      <c r="O91" s="415"/>
      <c r="P91" s="415"/>
      <c r="Q91" s="415"/>
      <c r="R91" s="415"/>
      <c r="S91" s="415"/>
      <c r="T91" s="415"/>
      <c r="U91" s="415"/>
      <c r="V91" s="415"/>
      <c r="W91" s="415"/>
      <c r="X91" s="415"/>
      <c r="Y91" s="415"/>
      <c r="Z91" s="415"/>
      <c r="AA91" s="415"/>
      <c r="AB91" s="415"/>
      <c r="AC91" s="415"/>
      <c r="AD91" s="415"/>
      <c r="AE91" s="415"/>
      <c r="AF91" s="415"/>
      <c r="AG91" s="415"/>
      <c r="AH91" s="415"/>
      <c r="AI91" s="415"/>
      <c r="AJ91" s="415"/>
      <c r="AK91" s="415"/>
      <c r="AL91" s="415"/>
      <c r="AM91" s="415"/>
      <c r="AN91" s="415"/>
      <c r="AO91" s="415"/>
      <c r="AP91" s="415"/>
      <c r="AQ91" s="415"/>
      <c r="AR91" s="415"/>
      <c r="AS91" s="415"/>
      <c r="AT91" s="415"/>
      <c r="AU91" s="415"/>
      <c r="AV91" s="415"/>
      <c r="AW91" s="415"/>
      <c r="AX91" s="415"/>
      <c r="AY91" s="415"/>
      <c r="AZ91" s="415"/>
      <c r="BA91" s="3"/>
    </row>
    <row r="92" spans="1:53" x14ac:dyDescent="0.2">
      <c r="A92" s="410"/>
      <c r="B92" s="410"/>
      <c r="C92" s="410"/>
      <c r="D92" s="410"/>
      <c r="E92" s="410"/>
      <c r="F92" s="410"/>
      <c r="G92" s="410"/>
      <c r="H92" s="415"/>
      <c r="I92" s="415"/>
      <c r="J92" s="415"/>
      <c r="K92" s="415"/>
      <c r="L92" s="415"/>
      <c r="M92" s="415"/>
      <c r="N92" s="415"/>
      <c r="O92" s="415"/>
      <c r="P92" s="415"/>
      <c r="Q92" s="415"/>
      <c r="R92" s="415"/>
      <c r="S92" s="415"/>
      <c r="T92" s="415"/>
      <c r="U92" s="415"/>
      <c r="V92" s="415"/>
      <c r="W92" s="415"/>
      <c r="X92" s="415"/>
      <c r="Y92" s="415"/>
      <c r="Z92" s="415"/>
      <c r="AA92" s="415"/>
      <c r="AB92" s="415"/>
      <c r="AC92" s="415"/>
      <c r="AD92" s="415"/>
      <c r="AE92" s="415"/>
      <c r="AF92" s="415"/>
      <c r="AG92" s="415"/>
      <c r="AH92" s="415"/>
      <c r="AI92" s="415"/>
      <c r="AJ92" s="415"/>
      <c r="AK92" s="415"/>
      <c r="AL92" s="415"/>
      <c r="AM92" s="415"/>
      <c r="AN92" s="415"/>
      <c r="AO92" s="415"/>
      <c r="AP92" s="415"/>
      <c r="AQ92" s="415"/>
      <c r="AR92" s="415"/>
      <c r="AS92" s="415"/>
      <c r="AT92" s="415"/>
      <c r="AU92" s="415"/>
      <c r="AV92" s="415"/>
      <c r="AW92" s="415"/>
      <c r="AX92" s="415"/>
      <c r="AY92" s="415"/>
      <c r="AZ92" s="415"/>
      <c r="BA92" s="3"/>
    </row>
    <row r="93" spans="1:53" x14ac:dyDescent="0.2">
      <c r="A93" s="410"/>
      <c r="B93" s="410"/>
      <c r="C93" s="410"/>
      <c r="D93" s="410"/>
      <c r="E93" s="410"/>
      <c r="F93" s="410"/>
      <c r="G93" s="410"/>
      <c r="H93" s="415"/>
      <c r="I93" s="415"/>
      <c r="J93" s="415"/>
      <c r="K93" s="415"/>
      <c r="L93" s="415"/>
      <c r="M93" s="415"/>
      <c r="N93" s="415"/>
      <c r="O93" s="415"/>
      <c r="P93" s="415"/>
      <c r="Q93" s="415"/>
      <c r="R93" s="415"/>
      <c r="S93" s="415"/>
      <c r="T93" s="415"/>
      <c r="U93" s="415"/>
      <c r="V93" s="415"/>
      <c r="W93" s="415"/>
      <c r="X93" s="415"/>
      <c r="Y93" s="415"/>
      <c r="Z93" s="415"/>
      <c r="AA93" s="415"/>
      <c r="AB93" s="415"/>
      <c r="AC93" s="415"/>
      <c r="AD93" s="415"/>
      <c r="AE93" s="415"/>
      <c r="AF93" s="415"/>
      <c r="AG93" s="415"/>
      <c r="AH93" s="415"/>
      <c r="AI93" s="415"/>
      <c r="AJ93" s="415"/>
      <c r="AK93" s="415"/>
      <c r="AL93" s="415"/>
      <c r="AM93" s="415"/>
      <c r="AN93" s="415"/>
      <c r="AO93" s="415"/>
      <c r="AP93" s="415"/>
      <c r="AQ93" s="415"/>
      <c r="AR93" s="415"/>
      <c r="AS93" s="415"/>
      <c r="AT93" s="415"/>
      <c r="AU93" s="415"/>
      <c r="AV93" s="415"/>
      <c r="AW93" s="415"/>
      <c r="AX93" s="415"/>
      <c r="AY93" s="415"/>
      <c r="AZ93" s="415"/>
      <c r="BA93" s="3"/>
    </row>
    <row r="94" spans="1:53" x14ac:dyDescent="0.2">
      <c r="A94" s="410"/>
      <c r="B94" s="410"/>
      <c r="C94" s="410"/>
      <c r="D94" s="410"/>
      <c r="E94" s="410"/>
      <c r="F94" s="410"/>
      <c r="G94" s="410"/>
      <c r="H94" s="415"/>
      <c r="I94" s="415"/>
      <c r="J94" s="415"/>
      <c r="K94" s="415"/>
      <c r="L94" s="415"/>
      <c r="M94" s="415"/>
      <c r="N94" s="415"/>
      <c r="O94" s="415"/>
      <c r="P94" s="415"/>
      <c r="Q94" s="415"/>
      <c r="R94" s="415"/>
      <c r="S94" s="415"/>
      <c r="T94" s="415"/>
      <c r="U94" s="415"/>
      <c r="V94" s="415"/>
      <c r="W94" s="415"/>
      <c r="X94" s="415"/>
      <c r="Y94" s="415"/>
      <c r="Z94" s="415"/>
      <c r="AA94" s="415"/>
      <c r="AB94" s="415"/>
      <c r="AC94" s="415"/>
      <c r="AD94" s="415"/>
      <c r="AE94" s="415"/>
      <c r="AF94" s="415"/>
      <c r="AG94" s="415"/>
      <c r="AH94" s="415"/>
      <c r="AI94" s="415"/>
      <c r="AJ94" s="415"/>
      <c r="AK94" s="415"/>
      <c r="AL94" s="415"/>
      <c r="AM94" s="415"/>
      <c r="AN94" s="415"/>
      <c r="AO94" s="415"/>
      <c r="AP94" s="415"/>
      <c r="AQ94" s="415"/>
      <c r="AR94" s="415"/>
      <c r="AS94" s="415"/>
      <c r="AT94" s="415"/>
      <c r="AU94" s="415"/>
      <c r="AV94" s="415"/>
      <c r="AW94" s="415"/>
      <c r="AX94" s="415"/>
      <c r="AY94" s="415"/>
      <c r="AZ94" s="415"/>
      <c r="BA94" s="3"/>
    </row>
    <row r="95" spans="1:53" x14ac:dyDescent="0.2">
      <c r="A95" s="410"/>
      <c r="B95" s="410"/>
      <c r="C95" s="410"/>
      <c r="D95" s="410"/>
      <c r="E95" s="410"/>
      <c r="F95" s="410"/>
      <c r="G95" s="410"/>
      <c r="H95" s="415"/>
      <c r="I95" s="415"/>
      <c r="J95" s="415"/>
      <c r="K95" s="415"/>
      <c r="L95" s="415"/>
      <c r="M95" s="415"/>
      <c r="N95" s="415"/>
      <c r="O95" s="415"/>
      <c r="P95" s="415"/>
      <c r="Q95" s="415"/>
      <c r="R95" s="415"/>
      <c r="S95" s="415"/>
      <c r="T95" s="415"/>
      <c r="U95" s="415"/>
      <c r="V95" s="415"/>
      <c r="W95" s="415"/>
      <c r="X95" s="415"/>
      <c r="Y95" s="415"/>
      <c r="Z95" s="415"/>
      <c r="AA95" s="415"/>
      <c r="AB95" s="415"/>
      <c r="AC95" s="415"/>
      <c r="AD95" s="415"/>
      <c r="AE95" s="415"/>
      <c r="AF95" s="415"/>
      <c r="AG95" s="415"/>
      <c r="AH95" s="415"/>
      <c r="AI95" s="415"/>
      <c r="AJ95" s="415"/>
      <c r="AK95" s="415"/>
      <c r="AL95" s="415"/>
      <c r="AM95" s="415"/>
      <c r="AN95" s="415"/>
      <c r="AO95" s="415"/>
      <c r="AP95" s="415"/>
      <c r="AQ95" s="415"/>
      <c r="AR95" s="415"/>
      <c r="AS95" s="415"/>
      <c r="AT95" s="415"/>
      <c r="AU95" s="415"/>
      <c r="AV95" s="415"/>
      <c r="AW95" s="415"/>
      <c r="AX95" s="415"/>
      <c r="AY95" s="415"/>
      <c r="AZ95" s="415"/>
      <c r="BA95" s="3"/>
    </row>
    <row r="96" spans="1:53" x14ac:dyDescent="0.2">
      <c r="A96" s="410"/>
      <c r="B96" s="410"/>
      <c r="C96" s="410"/>
      <c r="D96" s="410"/>
      <c r="E96" s="410"/>
      <c r="F96" s="410"/>
      <c r="G96" s="410"/>
      <c r="H96" s="415"/>
      <c r="I96" s="415"/>
      <c r="J96" s="415"/>
      <c r="K96" s="415"/>
      <c r="L96" s="415"/>
      <c r="M96" s="415"/>
      <c r="N96" s="415"/>
      <c r="O96" s="415"/>
      <c r="P96" s="415"/>
      <c r="Q96" s="415"/>
      <c r="R96" s="415"/>
      <c r="S96" s="415"/>
      <c r="T96" s="415"/>
      <c r="U96" s="415"/>
      <c r="V96" s="415"/>
      <c r="W96" s="415"/>
      <c r="X96" s="415"/>
      <c r="Y96" s="415"/>
      <c r="Z96" s="415"/>
      <c r="AA96" s="415"/>
      <c r="AB96" s="415"/>
      <c r="AC96" s="415"/>
      <c r="AD96" s="415"/>
      <c r="AE96" s="415"/>
      <c r="AF96" s="415"/>
      <c r="AG96" s="415"/>
      <c r="AH96" s="415"/>
      <c r="AI96" s="415"/>
      <c r="AJ96" s="415"/>
      <c r="AK96" s="415"/>
      <c r="AL96" s="415"/>
      <c r="AM96" s="415"/>
      <c r="AN96" s="415"/>
      <c r="AO96" s="415"/>
      <c r="AP96" s="415"/>
      <c r="AQ96" s="415"/>
      <c r="AR96" s="415"/>
      <c r="AS96" s="415"/>
      <c r="AT96" s="415"/>
      <c r="AU96" s="415"/>
      <c r="AV96" s="415"/>
      <c r="AW96" s="415"/>
      <c r="AX96" s="415"/>
      <c r="AY96" s="415"/>
      <c r="AZ96" s="415"/>
      <c r="BA96" s="3"/>
    </row>
    <row r="97" spans="1:53" x14ac:dyDescent="0.2">
      <c r="A97" s="410"/>
      <c r="B97" s="410"/>
      <c r="C97" s="410"/>
      <c r="D97" s="410"/>
      <c r="E97" s="410"/>
      <c r="F97" s="410"/>
      <c r="G97" s="410"/>
      <c r="H97" s="415"/>
      <c r="I97" s="415"/>
      <c r="J97" s="415"/>
      <c r="K97" s="415"/>
      <c r="L97" s="415"/>
      <c r="M97" s="415"/>
      <c r="N97" s="415"/>
      <c r="O97" s="415"/>
      <c r="P97" s="415"/>
      <c r="Q97" s="415"/>
      <c r="R97" s="415"/>
      <c r="S97" s="415"/>
      <c r="T97" s="415"/>
      <c r="U97" s="415"/>
      <c r="V97" s="415"/>
      <c r="W97" s="415"/>
      <c r="X97" s="415"/>
      <c r="Y97" s="415"/>
      <c r="Z97" s="415"/>
      <c r="AA97" s="415"/>
      <c r="AB97" s="415"/>
      <c r="AC97" s="415"/>
      <c r="AD97" s="415"/>
      <c r="AE97" s="415"/>
      <c r="AF97" s="415"/>
      <c r="AG97" s="415"/>
      <c r="AH97" s="415"/>
      <c r="AI97" s="415"/>
      <c r="AJ97" s="415"/>
      <c r="AK97" s="415"/>
      <c r="AL97" s="415"/>
      <c r="AM97" s="415"/>
      <c r="AN97" s="415"/>
      <c r="AO97" s="415"/>
      <c r="AP97" s="415"/>
      <c r="AQ97" s="415"/>
      <c r="AR97" s="415"/>
      <c r="AS97" s="415"/>
      <c r="AT97" s="415"/>
      <c r="AU97" s="415"/>
      <c r="AV97" s="415"/>
      <c r="AW97" s="415"/>
      <c r="AX97" s="415"/>
      <c r="AY97" s="415"/>
      <c r="AZ97" s="415"/>
      <c r="BA97" s="3"/>
    </row>
    <row r="98" spans="1:53" x14ac:dyDescent="0.2">
      <c r="A98" s="410"/>
      <c r="B98" s="410"/>
      <c r="C98" s="410"/>
      <c r="D98" s="410"/>
      <c r="E98" s="410"/>
      <c r="F98" s="410"/>
      <c r="G98" s="410"/>
      <c r="H98" s="415"/>
      <c r="I98" s="415"/>
      <c r="J98" s="415"/>
      <c r="K98" s="415"/>
      <c r="L98" s="415"/>
      <c r="M98" s="415"/>
      <c r="N98" s="415"/>
      <c r="O98" s="415"/>
      <c r="P98" s="415"/>
      <c r="Q98" s="415"/>
      <c r="R98" s="415"/>
      <c r="S98" s="415"/>
      <c r="T98" s="415"/>
      <c r="U98" s="415"/>
      <c r="V98" s="415"/>
      <c r="W98" s="415"/>
      <c r="X98" s="415"/>
      <c r="Y98" s="415"/>
      <c r="Z98" s="415"/>
      <c r="AA98" s="415"/>
      <c r="AB98" s="415"/>
      <c r="AC98" s="415"/>
      <c r="AD98" s="415"/>
      <c r="AE98" s="415"/>
      <c r="AF98" s="415"/>
      <c r="AG98" s="415"/>
      <c r="AH98" s="415"/>
      <c r="AI98" s="415"/>
      <c r="AJ98" s="415"/>
      <c r="AK98" s="415"/>
      <c r="AL98" s="415"/>
      <c r="AM98" s="415"/>
      <c r="AN98" s="415"/>
      <c r="AO98" s="415"/>
      <c r="AP98" s="415"/>
      <c r="AQ98" s="415"/>
      <c r="AR98" s="415"/>
      <c r="AS98" s="415"/>
      <c r="AT98" s="415"/>
      <c r="AU98" s="415"/>
      <c r="AV98" s="415"/>
      <c r="AW98" s="415"/>
      <c r="AX98" s="415"/>
      <c r="AY98" s="415"/>
      <c r="AZ98" s="415"/>
      <c r="BA98" s="3"/>
    </row>
    <row r="99" spans="1:53" x14ac:dyDescent="0.2">
      <c r="A99" s="410"/>
      <c r="B99" s="410"/>
      <c r="C99" s="410"/>
      <c r="D99" s="410"/>
      <c r="E99" s="410"/>
      <c r="F99" s="410"/>
      <c r="G99" s="410"/>
      <c r="H99" s="415"/>
      <c r="I99" s="415"/>
      <c r="J99" s="415"/>
      <c r="K99" s="415"/>
      <c r="L99" s="415"/>
      <c r="M99" s="415"/>
      <c r="N99" s="415"/>
      <c r="O99" s="415"/>
      <c r="P99" s="415"/>
      <c r="Q99" s="415"/>
      <c r="R99" s="415"/>
      <c r="S99" s="415"/>
      <c r="T99" s="415"/>
      <c r="U99" s="415"/>
      <c r="V99" s="415"/>
      <c r="W99" s="415"/>
      <c r="X99" s="415"/>
      <c r="Y99" s="415"/>
      <c r="Z99" s="415"/>
      <c r="AA99" s="415"/>
      <c r="AB99" s="415"/>
      <c r="AC99" s="415"/>
      <c r="AD99" s="415"/>
      <c r="AE99" s="415"/>
      <c r="AF99" s="415"/>
      <c r="AG99" s="415"/>
      <c r="AH99" s="415"/>
      <c r="AI99" s="415"/>
      <c r="AJ99" s="415"/>
      <c r="AK99" s="415"/>
      <c r="AL99" s="415"/>
      <c r="AM99" s="415"/>
      <c r="AN99" s="415"/>
      <c r="AO99" s="415"/>
      <c r="AP99" s="415"/>
      <c r="AQ99" s="415"/>
      <c r="AR99" s="415"/>
      <c r="AS99" s="415"/>
      <c r="AT99" s="415"/>
      <c r="AU99" s="415"/>
      <c r="AV99" s="415"/>
      <c r="AW99" s="415"/>
      <c r="AX99" s="415"/>
      <c r="AY99" s="415"/>
      <c r="AZ99" s="415"/>
      <c r="BA99" s="3"/>
    </row>
    <row r="100" spans="1:53" x14ac:dyDescent="0.2">
      <c r="A100" s="410"/>
      <c r="B100" s="410"/>
      <c r="C100" s="410"/>
      <c r="D100" s="410"/>
      <c r="E100" s="410"/>
      <c r="F100" s="410"/>
      <c r="G100" s="410"/>
      <c r="H100" s="415"/>
      <c r="I100" s="415"/>
      <c r="J100" s="415"/>
      <c r="K100" s="415"/>
      <c r="L100" s="415"/>
      <c r="M100" s="415"/>
      <c r="N100" s="415"/>
      <c r="O100" s="415"/>
      <c r="P100" s="415"/>
      <c r="Q100" s="415"/>
      <c r="R100" s="415"/>
      <c r="S100" s="415"/>
      <c r="T100" s="415"/>
      <c r="U100" s="415"/>
      <c r="V100" s="415"/>
      <c r="W100" s="415"/>
      <c r="X100" s="415"/>
      <c r="Y100" s="415"/>
      <c r="Z100" s="415"/>
      <c r="AA100" s="415"/>
      <c r="AB100" s="415"/>
      <c r="AC100" s="415"/>
      <c r="AD100" s="415"/>
      <c r="AE100" s="415"/>
      <c r="AF100" s="415"/>
      <c r="AG100" s="415"/>
      <c r="AH100" s="415"/>
      <c r="AI100" s="415"/>
      <c r="AJ100" s="415"/>
      <c r="AK100" s="415"/>
      <c r="AL100" s="415"/>
      <c r="AM100" s="415"/>
      <c r="AN100" s="415"/>
      <c r="AO100" s="415"/>
      <c r="AP100" s="415"/>
      <c r="AQ100" s="415"/>
      <c r="AR100" s="415"/>
      <c r="AS100" s="415"/>
      <c r="AT100" s="415"/>
      <c r="AU100" s="415"/>
      <c r="AV100" s="415"/>
      <c r="AW100" s="415"/>
      <c r="AX100" s="415"/>
      <c r="AY100" s="415"/>
      <c r="AZ100" s="415"/>
      <c r="BA100" s="3"/>
    </row>
    <row r="101" spans="1:53" x14ac:dyDescent="0.2">
      <c r="A101" s="410"/>
      <c r="B101" s="410"/>
      <c r="C101" s="410"/>
      <c r="D101" s="410"/>
      <c r="E101" s="410"/>
      <c r="F101" s="410"/>
      <c r="G101" s="410"/>
      <c r="H101" s="415"/>
      <c r="I101" s="415"/>
      <c r="J101" s="415"/>
      <c r="K101" s="415"/>
      <c r="L101" s="415"/>
      <c r="M101" s="415"/>
      <c r="N101" s="415"/>
      <c r="O101" s="415"/>
      <c r="P101" s="415"/>
      <c r="Q101" s="415"/>
      <c r="R101" s="415"/>
      <c r="S101" s="415"/>
      <c r="T101" s="415"/>
      <c r="U101" s="415"/>
      <c r="V101" s="415"/>
      <c r="W101" s="415"/>
      <c r="X101" s="415"/>
      <c r="Y101" s="415"/>
      <c r="Z101" s="415"/>
      <c r="AA101" s="415"/>
      <c r="AB101" s="415"/>
      <c r="AC101" s="415"/>
      <c r="AD101" s="415"/>
      <c r="AE101" s="415"/>
      <c r="AF101" s="415"/>
      <c r="AG101" s="415"/>
      <c r="AH101" s="415"/>
      <c r="AI101" s="415"/>
      <c r="AJ101" s="415"/>
      <c r="AK101" s="415"/>
      <c r="AL101" s="415"/>
      <c r="AM101" s="415"/>
      <c r="AN101" s="415"/>
      <c r="AO101" s="415"/>
      <c r="AP101" s="415"/>
      <c r="AQ101" s="415"/>
      <c r="AR101" s="415"/>
      <c r="AS101" s="415"/>
      <c r="AT101" s="415"/>
      <c r="AU101" s="415"/>
      <c r="AV101" s="415"/>
      <c r="AW101" s="415"/>
      <c r="AX101" s="415"/>
      <c r="AY101" s="415"/>
      <c r="AZ101" s="415"/>
      <c r="BA101" s="3"/>
    </row>
    <row r="102" spans="1:53" x14ac:dyDescent="0.2">
      <c r="A102" s="410"/>
      <c r="B102" s="410"/>
      <c r="C102" s="410"/>
      <c r="D102" s="410"/>
      <c r="E102" s="410"/>
      <c r="F102" s="410"/>
      <c r="G102" s="410"/>
      <c r="H102" s="415"/>
      <c r="I102" s="415"/>
      <c r="J102" s="415"/>
      <c r="K102" s="415"/>
      <c r="L102" s="415"/>
      <c r="M102" s="415"/>
      <c r="N102" s="415"/>
      <c r="O102" s="415"/>
      <c r="P102" s="415"/>
      <c r="Q102" s="415"/>
      <c r="R102" s="415"/>
      <c r="S102" s="415"/>
      <c r="T102" s="415"/>
      <c r="U102" s="415"/>
      <c r="V102" s="415"/>
      <c r="W102" s="415"/>
      <c r="X102" s="415"/>
      <c r="Y102" s="415"/>
      <c r="Z102" s="415"/>
      <c r="AA102" s="415"/>
      <c r="AB102" s="415"/>
      <c r="AC102" s="415"/>
      <c r="AD102" s="415"/>
      <c r="AE102" s="415"/>
      <c r="AF102" s="415"/>
      <c r="AG102" s="415"/>
      <c r="AH102" s="415"/>
      <c r="AI102" s="415"/>
      <c r="AJ102" s="415"/>
      <c r="AK102" s="415"/>
      <c r="AL102" s="415"/>
      <c r="AM102" s="415"/>
      <c r="AN102" s="415"/>
      <c r="AO102" s="415"/>
      <c r="AP102" s="415"/>
      <c r="AQ102" s="415"/>
      <c r="AR102" s="415"/>
      <c r="AS102" s="415"/>
      <c r="AT102" s="415"/>
      <c r="AU102" s="415"/>
      <c r="AV102" s="415"/>
      <c r="AW102" s="415"/>
      <c r="AX102" s="415"/>
      <c r="AY102" s="415"/>
      <c r="AZ102" s="415"/>
      <c r="BA102" s="3"/>
    </row>
    <row r="103" spans="1:53" x14ac:dyDescent="0.2">
      <c r="A103" s="410"/>
      <c r="B103" s="410"/>
      <c r="C103" s="410"/>
      <c r="D103" s="410"/>
      <c r="E103" s="410"/>
      <c r="F103" s="410"/>
      <c r="G103" s="410"/>
      <c r="H103" s="415"/>
      <c r="I103" s="415"/>
      <c r="J103" s="415"/>
      <c r="K103" s="415"/>
      <c r="L103" s="415"/>
      <c r="M103" s="415"/>
      <c r="N103" s="415"/>
      <c r="O103" s="415"/>
      <c r="P103" s="415"/>
      <c r="Q103" s="415"/>
      <c r="R103" s="415"/>
      <c r="S103" s="415"/>
      <c r="T103" s="415"/>
      <c r="U103" s="415"/>
      <c r="V103" s="415"/>
      <c r="W103" s="415"/>
      <c r="X103" s="415"/>
      <c r="Y103" s="415"/>
      <c r="Z103" s="415"/>
      <c r="AA103" s="415"/>
      <c r="AB103" s="415"/>
      <c r="AC103" s="415"/>
      <c r="AD103" s="415"/>
      <c r="AE103" s="415"/>
      <c r="AF103" s="415"/>
      <c r="AG103" s="415"/>
      <c r="AH103" s="415"/>
      <c r="AI103" s="415"/>
      <c r="AJ103" s="415"/>
      <c r="AK103" s="415"/>
      <c r="AL103" s="415"/>
      <c r="AM103" s="415"/>
      <c r="AN103" s="415"/>
      <c r="AO103" s="415"/>
      <c r="AP103" s="415"/>
      <c r="AQ103" s="415"/>
      <c r="AR103" s="415"/>
      <c r="AS103" s="415"/>
      <c r="AT103" s="415"/>
      <c r="AU103" s="415"/>
      <c r="AV103" s="415"/>
      <c r="AW103" s="415"/>
      <c r="AX103" s="415"/>
      <c r="AY103" s="415"/>
      <c r="AZ103" s="415"/>
      <c r="BA103" s="3"/>
    </row>
    <row r="104" spans="1:53" x14ac:dyDescent="0.2">
      <c r="A104" s="410"/>
      <c r="B104" s="410"/>
      <c r="C104" s="410"/>
      <c r="D104" s="410"/>
      <c r="E104" s="410"/>
      <c r="F104" s="410"/>
      <c r="G104" s="410"/>
      <c r="H104" s="415"/>
      <c r="I104" s="415"/>
      <c r="J104" s="415"/>
      <c r="K104" s="415"/>
      <c r="L104" s="415"/>
      <c r="M104" s="415"/>
      <c r="N104" s="415"/>
      <c r="O104" s="415"/>
      <c r="P104" s="415"/>
      <c r="Q104" s="415"/>
      <c r="R104" s="415"/>
      <c r="S104" s="415"/>
      <c r="T104" s="415"/>
      <c r="U104" s="415"/>
      <c r="V104" s="415"/>
      <c r="W104" s="415"/>
      <c r="X104" s="415"/>
      <c r="Y104" s="415"/>
      <c r="Z104" s="415"/>
      <c r="AA104" s="415"/>
      <c r="AB104" s="415"/>
      <c r="AC104" s="415"/>
      <c r="AD104" s="415"/>
      <c r="AE104" s="415"/>
      <c r="AF104" s="415"/>
      <c r="AG104" s="415"/>
      <c r="AH104" s="415"/>
      <c r="AI104" s="415"/>
      <c r="AJ104" s="415"/>
      <c r="AK104" s="415"/>
      <c r="AL104" s="415"/>
      <c r="AM104" s="415"/>
      <c r="AN104" s="415"/>
      <c r="AO104" s="415"/>
      <c r="AP104" s="415"/>
      <c r="AQ104" s="415"/>
      <c r="AR104" s="415"/>
      <c r="AS104" s="415"/>
      <c r="AT104" s="415"/>
      <c r="AU104" s="415"/>
      <c r="AV104" s="415"/>
      <c r="AW104" s="415"/>
      <c r="AX104" s="415"/>
      <c r="AY104" s="415"/>
      <c r="AZ104" s="415"/>
      <c r="BA104" s="3"/>
    </row>
    <row r="105" spans="1:53" x14ac:dyDescent="0.2">
      <c r="A105" s="410"/>
      <c r="B105" s="410"/>
      <c r="C105" s="410"/>
      <c r="D105" s="410"/>
      <c r="E105" s="410"/>
      <c r="F105" s="410"/>
      <c r="G105" s="410"/>
      <c r="H105" s="415"/>
      <c r="I105" s="415"/>
      <c r="J105" s="415"/>
      <c r="K105" s="415"/>
      <c r="L105" s="415"/>
      <c r="M105" s="415"/>
      <c r="N105" s="415"/>
      <c r="O105" s="415"/>
      <c r="P105" s="415"/>
      <c r="Q105" s="415"/>
      <c r="R105" s="415"/>
      <c r="S105" s="415"/>
      <c r="T105" s="415"/>
      <c r="U105" s="415"/>
      <c r="V105" s="415"/>
      <c r="W105" s="415"/>
      <c r="X105" s="415"/>
      <c r="Y105" s="415"/>
      <c r="Z105" s="415"/>
      <c r="AA105" s="415"/>
      <c r="AB105" s="415"/>
      <c r="AC105" s="415"/>
      <c r="AD105" s="415"/>
      <c r="AE105" s="415"/>
      <c r="AF105" s="415"/>
      <c r="AG105" s="415"/>
      <c r="AH105" s="415"/>
      <c r="AI105" s="415"/>
      <c r="AJ105" s="415"/>
      <c r="AK105" s="415"/>
      <c r="AL105" s="415"/>
      <c r="AM105" s="415"/>
      <c r="AN105" s="415"/>
      <c r="AO105" s="415"/>
      <c r="AP105" s="415"/>
      <c r="AQ105" s="415"/>
      <c r="AR105" s="415"/>
      <c r="AS105" s="415"/>
      <c r="AT105" s="415"/>
      <c r="AU105" s="415"/>
      <c r="AV105" s="415"/>
      <c r="AW105" s="415"/>
      <c r="AX105" s="415"/>
      <c r="AY105" s="415"/>
      <c r="AZ105" s="415"/>
      <c r="BA105" s="3"/>
    </row>
    <row r="106" spans="1:53" x14ac:dyDescent="0.2">
      <c r="A106" s="410"/>
      <c r="B106" s="410"/>
      <c r="C106" s="410"/>
      <c r="D106" s="410"/>
      <c r="E106" s="410"/>
      <c r="F106" s="410"/>
      <c r="G106" s="410"/>
      <c r="H106" s="415"/>
      <c r="I106" s="415"/>
      <c r="J106" s="415"/>
      <c r="K106" s="415"/>
      <c r="L106" s="415"/>
      <c r="M106" s="415"/>
      <c r="N106" s="415"/>
      <c r="O106" s="415"/>
      <c r="P106" s="415"/>
      <c r="Q106" s="415"/>
      <c r="R106" s="415"/>
      <c r="S106" s="415"/>
      <c r="T106" s="415"/>
      <c r="U106" s="415"/>
      <c r="V106" s="415"/>
      <c r="W106" s="415"/>
      <c r="X106" s="415"/>
      <c r="Y106" s="415"/>
      <c r="Z106" s="415"/>
      <c r="AA106" s="415"/>
      <c r="AB106" s="415"/>
      <c r="AC106" s="415"/>
      <c r="AD106" s="415"/>
      <c r="AE106" s="415"/>
      <c r="AF106" s="415"/>
      <c r="AG106" s="415"/>
      <c r="AH106" s="415"/>
      <c r="AI106" s="415"/>
      <c r="AJ106" s="415"/>
      <c r="AK106" s="415"/>
      <c r="AL106" s="415"/>
      <c r="AM106" s="415"/>
      <c r="AN106" s="415"/>
      <c r="AO106" s="415"/>
      <c r="AP106" s="415"/>
      <c r="AQ106" s="415"/>
      <c r="AR106" s="415"/>
      <c r="AS106" s="415"/>
      <c r="AT106" s="415"/>
      <c r="AU106" s="415"/>
      <c r="AV106" s="415"/>
      <c r="AW106" s="415"/>
      <c r="AX106" s="415"/>
      <c r="AY106" s="415"/>
      <c r="AZ106" s="415"/>
      <c r="BA106" s="3"/>
    </row>
    <row r="107" spans="1:53" x14ac:dyDescent="0.2">
      <c r="A107" s="410"/>
      <c r="B107" s="410"/>
      <c r="C107" s="410"/>
      <c r="D107" s="410"/>
      <c r="E107" s="410"/>
      <c r="F107" s="410"/>
      <c r="G107" s="410"/>
      <c r="H107" s="415"/>
      <c r="I107" s="415"/>
      <c r="J107" s="415"/>
      <c r="K107" s="415"/>
      <c r="L107" s="415"/>
      <c r="M107" s="415"/>
      <c r="N107" s="415"/>
      <c r="O107" s="415"/>
      <c r="P107" s="415"/>
      <c r="Q107" s="415"/>
      <c r="R107" s="415"/>
      <c r="S107" s="415"/>
      <c r="T107" s="415"/>
      <c r="U107" s="415"/>
      <c r="V107" s="415"/>
      <c r="W107" s="415"/>
      <c r="X107" s="415"/>
      <c r="Y107" s="415"/>
      <c r="Z107" s="415"/>
      <c r="AA107" s="415"/>
      <c r="AB107" s="415"/>
      <c r="AC107" s="415"/>
      <c r="AD107" s="415"/>
      <c r="AE107" s="415"/>
      <c r="AF107" s="415"/>
      <c r="AG107" s="415"/>
      <c r="AH107" s="415"/>
      <c r="AI107" s="415"/>
      <c r="AJ107" s="415"/>
      <c r="AK107" s="415"/>
      <c r="AL107" s="415"/>
      <c r="AM107" s="415"/>
      <c r="AN107" s="415"/>
      <c r="AO107" s="415"/>
      <c r="AP107" s="415"/>
      <c r="AQ107" s="415"/>
      <c r="AR107" s="415"/>
      <c r="AS107" s="415"/>
      <c r="AT107" s="415"/>
      <c r="AU107" s="415"/>
      <c r="AV107" s="415"/>
      <c r="AW107" s="415"/>
      <c r="AX107" s="415"/>
      <c r="AY107" s="415"/>
      <c r="AZ107" s="415"/>
      <c r="BA107" s="3"/>
    </row>
    <row r="108" spans="1:53" x14ac:dyDescent="0.2">
      <c r="A108" s="410"/>
      <c r="B108" s="410"/>
      <c r="C108" s="410"/>
      <c r="D108" s="410"/>
      <c r="E108" s="410"/>
      <c r="F108" s="410"/>
      <c r="G108" s="410"/>
      <c r="H108" s="415"/>
      <c r="I108" s="415"/>
      <c r="J108" s="415"/>
      <c r="K108" s="415"/>
      <c r="L108" s="415"/>
      <c r="M108" s="415"/>
      <c r="N108" s="415"/>
      <c r="O108" s="415"/>
      <c r="P108" s="415"/>
      <c r="Q108" s="415"/>
      <c r="R108" s="415"/>
      <c r="S108" s="415"/>
      <c r="T108" s="415"/>
      <c r="U108" s="415"/>
      <c r="V108" s="415"/>
      <c r="W108" s="415"/>
      <c r="X108" s="415"/>
      <c r="Y108" s="415"/>
      <c r="Z108" s="415"/>
      <c r="AA108" s="415"/>
      <c r="AB108" s="415"/>
      <c r="AC108" s="415"/>
      <c r="AD108" s="415"/>
      <c r="AE108" s="415"/>
      <c r="AF108" s="415"/>
      <c r="AG108" s="415"/>
      <c r="AH108" s="415"/>
      <c r="AI108" s="415"/>
      <c r="AJ108" s="415"/>
      <c r="AK108" s="415"/>
      <c r="AL108" s="415"/>
      <c r="AM108" s="415"/>
      <c r="AN108" s="415"/>
      <c r="AO108" s="415"/>
      <c r="AP108" s="415"/>
      <c r="AQ108" s="415"/>
      <c r="AR108" s="415"/>
      <c r="AS108" s="415"/>
      <c r="AT108" s="415"/>
      <c r="AU108" s="415"/>
      <c r="AV108" s="415"/>
      <c r="AW108" s="415"/>
      <c r="AX108" s="415"/>
      <c r="AY108" s="415"/>
      <c r="AZ108" s="415"/>
      <c r="BA108" s="3"/>
    </row>
    <row r="109" spans="1:53" x14ac:dyDescent="0.2">
      <c r="A109" s="410"/>
      <c r="B109" s="410"/>
      <c r="C109" s="410"/>
      <c r="D109" s="410"/>
      <c r="E109" s="410"/>
      <c r="F109" s="410"/>
      <c r="G109" s="410"/>
      <c r="H109" s="415"/>
      <c r="I109" s="415"/>
      <c r="J109" s="415"/>
      <c r="K109" s="415"/>
      <c r="L109" s="415"/>
      <c r="M109" s="415"/>
      <c r="N109" s="415"/>
      <c r="O109" s="415"/>
      <c r="P109" s="415"/>
      <c r="Q109" s="415"/>
      <c r="R109" s="415"/>
      <c r="S109" s="415"/>
      <c r="T109" s="415"/>
      <c r="U109" s="415"/>
      <c r="V109" s="415"/>
      <c r="W109" s="415"/>
      <c r="X109" s="415"/>
      <c r="Y109" s="415"/>
      <c r="Z109" s="415"/>
      <c r="AA109" s="415"/>
      <c r="AB109" s="415"/>
      <c r="AC109" s="415"/>
      <c r="AD109" s="415"/>
      <c r="AE109" s="415"/>
      <c r="AF109" s="415"/>
      <c r="AG109" s="415"/>
      <c r="AH109" s="415"/>
      <c r="AI109" s="415"/>
      <c r="AJ109" s="415"/>
      <c r="AK109" s="415"/>
      <c r="AL109" s="415"/>
      <c r="AM109" s="415"/>
      <c r="AN109" s="415"/>
      <c r="AO109" s="415"/>
      <c r="AP109" s="415"/>
      <c r="AQ109" s="415"/>
      <c r="AR109" s="415"/>
      <c r="AS109" s="415"/>
      <c r="AT109" s="415"/>
      <c r="AU109" s="415"/>
      <c r="AV109" s="415"/>
      <c r="AW109" s="415"/>
      <c r="AX109" s="415"/>
      <c r="AY109" s="415"/>
      <c r="AZ109" s="415"/>
      <c r="BA109" s="3"/>
    </row>
    <row r="110" spans="1:53" x14ac:dyDescent="0.2">
      <c r="A110" s="410"/>
      <c r="B110" s="410"/>
      <c r="C110" s="410"/>
      <c r="D110" s="410"/>
      <c r="E110" s="410"/>
      <c r="F110" s="410"/>
      <c r="G110" s="410"/>
      <c r="H110" s="415"/>
      <c r="I110" s="415"/>
      <c r="J110" s="415"/>
      <c r="K110" s="415"/>
      <c r="L110" s="415"/>
      <c r="M110" s="415"/>
      <c r="N110" s="415"/>
      <c r="O110" s="415"/>
      <c r="P110" s="415"/>
      <c r="Q110" s="415"/>
      <c r="R110" s="415"/>
      <c r="S110" s="415"/>
      <c r="T110" s="415"/>
      <c r="U110" s="415"/>
      <c r="V110" s="415"/>
      <c r="W110" s="415"/>
      <c r="X110" s="415"/>
      <c r="Y110" s="415"/>
      <c r="Z110" s="415"/>
      <c r="AA110" s="415"/>
      <c r="AB110" s="415"/>
      <c r="AC110" s="415"/>
      <c r="AD110" s="415"/>
      <c r="AE110" s="415"/>
      <c r="AF110" s="415"/>
      <c r="AG110" s="415"/>
      <c r="AH110" s="415"/>
      <c r="AI110" s="415"/>
      <c r="AJ110" s="415"/>
      <c r="AK110" s="415"/>
      <c r="AL110" s="415"/>
      <c r="AM110" s="415"/>
      <c r="AN110" s="415"/>
      <c r="AO110" s="415"/>
      <c r="AP110" s="415"/>
      <c r="AQ110" s="415"/>
      <c r="AR110" s="415"/>
      <c r="AS110" s="415"/>
      <c r="AT110" s="415"/>
      <c r="AU110" s="415"/>
      <c r="AV110" s="415"/>
      <c r="AW110" s="415"/>
      <c r="AX110" s="415"/>
      <c r="AY110" s="415"/>
      <c r="AZ110" s="415"/>
      <c r="BA110" s="3"/>
    </row>
    <row r="111" spans="1:53" x14ac:dyDescent="0.2">
      <c r="A111" s="410"/>
      <c r="B111" s="410"/>
      <c r="C111" s="410"/>
      <c r="D111" s="410"/>
      <c r="E111" s="410"/>
      <c r="F111" s="410"/>
      <c r="G111" s="410"/>
      <c r="H111" s="415"/>
      <c r="I111" s="415"/>
      <c r="J111" s="415"/>
      <c r="K111" s="415"/>
      <c r="L111" s="415"/>
      <c r="M111" s="415"/>
      <c r="N111" s="415"/>
      <c r="O111" s="415"/>
      <c r="P111" s="415"/>
      <c r="Q111" s="415"/>
      <c r="R111" s="415"/>
      <c r="S111" s="415"/>
      <c r="T111" s="415"/>
      <c r="U111" s="415"/>
      <c r="V111" s="415"/>
      <c r="W111" s="415"/>
      <c r="X111" s="415"/>
      <c r="Y111" s="415"/>
      <c r="Z111" s="415"/>
      <c r="AA111" s="415"/>
      <c r="AB111" s="415"/>
      <c r="AC111" s="415"/>
      <c r="AD111" s="415"/>
      <c r="AE111" s="415"/>
      <c r="AF111" s="415"/>
      <c r="AG111" s="415"/>
      <c r="AH111" s="415"/>
      <c r="AI111" s="415"/>
      <c r="AJ111" s="415"/>
      <c r="AK111" s="415"/>
      <c r="AL111" s="415"/>
      <c r="AM111" s="415"/>
      <c r="AN111" s="415"/>
      <c r="AO111" s="415"/>
      <c r="AP111" s="415"/>
      <c r="AQ111" s="415"/>
      <c r="AR111" s="415"/>
      <c r="AS111" s="415"/>
      <c r="AT111" s="415"/>
      <c r="AU111" s="415"/>
      <c r="AV111" s="415"/>
      <c r="AW111" s="415"/>
      <c r="AX111" s="415"/>
      <c r="AY111" s="415"/>
      <c r="AZ111" s="415"/>
      <c r="BA111" s="3"/>
    </row>
    <row r="112" spans="1:53" x14ac:dyDescent="0.2">
      <c r="A112" s="410"/>
      <c r="B112" s="410"/>
      <c r="C112" s="410"/>
      <c r="D112" s="410"/>
      <c r="E112" s="410"/>
      <c r="F112" s="410"/>
      <c r="G112" s="410"/>
      <c r="H112" s="415"/>
      <c r="I112" s="415"/>
      <c r="J112" s="415"/>
      <c r="K112" s="415"/>
      <c r="L112" s="415"/>
      <c r="M112" s="415"/>
      <c r="N112" s="415"/>
      <c r="O112" s="415"/>
      <c r="P112" s="415"/>
      <c r="Q112" s="415"/>
      <c r="R112" s="415"/>
      <c r="S112" s="415"/>
      <c r="T112" s="415"/>
      <c r="U112" s="415"/>
      <c r="V112" s="415"/>
      <c r="W112" s="415"/>
      <c r="X112" s="415"/>
      <c r="Y112" s="415"/>
      <c r="Z112" s="415"/>
      <c r="AA112" s="415"/>
      <c r="AB112" s="415"/>
      <c r="AC112" s="415"/>
      <c r="AD112" s="415"/>
      <c r="AE112" s="415"/>
      <c r="AF112" s="415"/>
      <c r="AG112" s="415"/>
      <c r="AH112" s="415"/>
      <c r="AI112" s="415"/>
      <c r="AJ112" s="415"/>
      <c r="AK112" s="415"/>
      <c r="AL112" s="415"/>
      <c r="AM112" s="415"/>
      <c r="AN112" s="415"/>
      <c r="AO112" s="415"/>
      <c r="AP112" s="415"/>
      <c r="AQ112" s="415"/>
      <c r="AR112" s="415"/>
      <c r="AS112" s="415"/>
      <c r="AT112" s="415"/>
      <c r="AU112" s="415"/>
      <c r="AV112" s="415"/>
      <c r="AW112" s="415"/>
      <c r="AX112" s="415"/>
      <c r="AY112" s="415"/>
      <c r="AZ112" s="415"/>
      <c r="BA112" s="3"/>
    </row>
    <row r="113" spans="1:53" x14ac:dyDescent="0.2">
      <c r="A113" s="410"/>
      <c r="B113" s="410"/>
      <c r="C113" s="410"/>
      <c r="D113" s="410"/>
      <c r="E113" s="410"/>
      <c r="F113" s="410"/>
      <c r="G113" s="410"/>
      <c r="H113" s="415"/>
      <c r="I113" s="415"/>
      <c r="J113" s="415"/>
      <c r="K113" s="415"/>
      <c r="L113" s="415"/>
      <c r="M113" s="415"/>
      <c r="N113" s="415"/>
      <c r="O113" s="415"/>
      <c r="P113" s="415"/>
      <c r="Q113" s="415"/>
      <c r="R113" s="415"/>
      <c r="S113" s="415"/>
      <c r="T113" s="415"/>
      <c r="U113" s="415"/>
      <c r="V113" s="415"/>
      <c r="W113" s="415"/>
      <c r="X113" s="415"/>
      <c r="Y113" s="415"/>
      <c r="Z113" s="415"/>
      <c r="AA113" s="415"/>
      <c r="AB113" s="415"/>
      <c r="AC113" s="415"/>
      <c r="AD113" s="415"/>
      <c r="AE113" s="415"/>
      <c r="AF113" s="415"/>
      <c r="AG113" s="415"/>
      <c r="AH113" s="415"/>
      <c r="AI113" s="415"/>
      <c r="AJ113" s="415"/>
      <c r="AK113" s="415"/>
      <c r="AL113" s="415"/>
      <c r="AM113" s="415"/>
      <c r="AN113" s="415"/>
      <c r="AO113" s="415"/>
      <c r="AP113" s="415"/>
      <c r="AQ113" s="415"/>
      <c r="AR113" s="415"/>
      <c r="AS113" s="415"/>
      <c r="AT113" s="415"/>
      <c r="AU113" s="415"/>
      <c r="AV113" s="415"/>
      <c r="AW113" s="415"/>
      <c r="AX113" s="415"/>
      <c r="AY113" s="415"/>
      <c r="AZ113" s="415"/>
      <c r="BA113" s="3"/>
    </row>
    <row r="114" spans="1:53" x14ac:dyDescent="0.2">
      <c r="A114" s="410"/>
      <c r="B114" s="410"/>
      <c r="C114" s="410"/>
      <c r="D114" s="410"/>
      <c r="E114" s="410"/>
      <c r="F114" s="410"/>
      <c r="G114" s="410"/>
      <c r="H114" s="415"/>
      <c r="I114" s="415"/>
      <c r="J114" s="415"/>
      <c r="K114" s="415"/>
      <c r="L114" s="415"/>
      <c r="M114" s="415"/>
      <c r="N114" s="415"/>
      <c r="O114" s="415"/>
      <c r="P114" s="415"/>
      <c r="Q114" s="415"/>
      <c r="R114" s="415"/>
      <c r="S114" s="415"/>
      <c r="T114" s="415"/>
      <c r="U114" s="415"/>
      <c r="V114" s="415"/>
      <c r="W114" s="415"/>
      <c r="X114" s="415"/>
      <c r="Y114" s="415"/>
      <c r="Z114" s="415"/>
      <c r="AA114" s="415"/>
      <c r="AB114" s="415"/>
      <c r="AC114" s="415"/>
      <c r="AD114" s="415"/>
      <c r="AE114" s="415"/>
      <c r="AF114" s="415"/>
      <c r="AG114" s="415"/>
      <c r="AH114" s="415"/>
      <c r="AI114" s="415"/>
      <c r="AJ114" s="415"/>
      <c r="AK114" s="415"/>
      <c r="AL114" s="415"/>
      <c r="AM114" s="415"/>
      <c r="AN114" s="415"/>
      <c r="AO114" s="415"/>
      <c r="AP114" s="415"/>
      <c r="AQ114" s="415"/>
      <c r="AR114" s="415"/>
      <c r="AS114" s="415"/>
      <c r="AT114" s="415"/>
      <c r="AU114" s="415"/>
      <c r="AV114" s="415"/>
      <c r="AW114" s="415"/>
      <c r="AX114" s="415"/>
      <c r="AY114" s="415"/>
      <c r="AZ114" s="415"/>
      <c r="BA114" s="3"/>
    </row>
    <row r="115" spans="1:53" x14ac:dyDescent="0.2">
      <c r="A115" s="410"/>
      <c r="B115" s="410"/>
      <c r="C115" s="410"/>
      <c r="D115" s="410"/>
      <c r="E115" s="410"/>
      <c r="F115" s="410"/>
      <c r="G115" s="410"/>
      <c r="H115" s="415"/>
      <c r="I115" s="415"/>
      <c r="J115" s="415"/>
      <c r="K115" s="415"/>
      <c r="L115" s="415"/>
      <c r="M115" s="415"/>
      <c r="N115" s="415"/>
      <c r="O115" s="415"/>
      <c r="P115" s="415"/>
      <c r="Q115" s="415"/>
      <c r="R115" s="415"/>
      <c r="S115" s="415"/>
      <c r="T115" s="415"/>
      <c r="U115" s="415"/>
      <c r="V115" s="415"/>
      <c r="W115" s="415"/>
      <c r="X115" s="415"/>
      <c r="Y115" s="415"/>
      <c r="Z115" s="415"/>
      <c r="AA115" s="415"/>
      <c r="AB115" s="415"/>
      <c r="AC115" s="415"/>
      <c r="AD115" s="415"/>
      <c r="AE115" s="415"/>
      <c r="AF115" s="415"/>
      <c r="AG115" s="415"/>
      <c r="AH115" s="415"/>
      <c r="AI115" s="415"/>
      <c r="AJ115" s="415"/>
      <c r="AK115" s="415"/>
      <c r="AL115" s="415"/>
      <c r="AM115" s="415"/>
      <c r="AN115" s="415"/>
      <c r="AO115" s="415"/>
      <c r="AP115" s="415"/>
      <c r="AQ115" s="415"/>
      <c r="AR115" s="415"/>
      <c r="AS115" s="415"/>
      <c r="AT115" s="415"/>
      <c r="AU115" s="415"/>
      <c r="AV115" s="415"/>
      <c r="AW115" s="415"/>
      <c r="AX115" s="415"/>
      <c r="AY115" s="415"/>
      <c r="AZ115" s="415"/>
      <c r="BA115" s="3"/>
    </row>
    <row r="116" spans="1:53" x14ac:dyDescent="0.2">
      <c r="A116" s="410"/>
      <c r="B116" s="410"/>
      <c r="C116" s="410"/>
      <c r="D116" s="410"/>
      <c r="E116" s="410"/>
      <c r="F116" s="410"/>
      <c r="G116" s="410"/>
      <c r="H116" s="415"/>
      <c r="I116" s="415"/>
      <c r="J116" s="415"/>
      <c r="K116" s="415"/>
      <c r="L116" s="415"/>
      <c r="M116" s="415"/>
      <c r="N116" s="415"/>
      <c r="O116" s="415"/>
      <c r="P116" s="415"/>
      <c r="Q116" s="415"/>
      <c r="R116" s="415"/>
      <c r="S116" s="415"/>
      <c r="T116" s="415"/>
      <c r="U116" s="415"/>
      <c r="V116" s="415"/>
      <c r="W116" s="415"/>
      <c r="X116" s="415"/>
      <c r="Y116" s="415"/>
      <c r="Z116" s="415"/>
      <c r="AA116" s="415"/>
      <c r="AB116" s="415"/>
      <c r="AC116" s="415"/>
      <c r="AD116" s="415"/>
      <c r="AE116" s="415"/>
      <c r="AF116" s="415"/>
      <c r="AG116" s="415"/>
      <c r="AH116" s="415"/>
      <c r="AI116" s="415"/>
      <c r="AJ116" s="415"/>
      <c r="AK116" s="415"/>
      <c r="AL116" s="415"/>
      <c r="AM116" s="415"/>
      <c r="AN116" s="415"/>
      <c r="AO116" s="415"/>
      <c r="AP116" s="415"/>
      <c r="AQ116" s="415"/>
      <c r="AR116" s="415"/>
      <c r="AS116" s="415"/>
      <c r="AT116" s="415"/>
      <c r="AU116" s="415"/>
      <c r="AV116" s="415"/>
      <c r="AW116" s="415"/>
      <c r="AX116" s="415"/>
      <c r="AY116" s="415"/>
      <c r="AZ116" s="415"/>
      <c r="BA116" s="3"/>
    </row>
    <row r="117" spans="1:53" x14ac:dyDescent="0.2">
      <c r="A117" s="410"/>
      <c r="B117" s="410"/>
      <c r="C117" s="410"/>
      <c r="D117" s="410"/>
      <c r="E117" s="410"/>
      <c r="F117" s="410"/>
      <c r="G117" s="410"/>
      <c r="H117" s="415"/>
      <c r="I117" s="415"/>
      <c r="J117" s="415"/>
      <c r="K117" s="415"/>
      <c r="L117" s="415"/>
      <c r="M117" s="415"/>
      <c r="N117" s="415"/>
      <c r="O117" s="415"/>
      <c r="P117" s="415"/>
      <c r="Q117" s="415"/>
      <c r="R117" s="415"/>
      <c r="S117" s="415"/>
      <c r="T117" s="415"/>
      <c r="U117" s="415"/>
      <c r="V117" s="415"/>
      <c r="W117" s="415"/>
      <c r="X117" s="415"/>
      <c r="Y117" s="415"/>
      <c r="Z117" s="415"/>
      <c r="AA117" s="415"/>
      <c r="AB117" s="415"/>
      <c r="AC117" s="415"/>
      <c r="AD117" s="415"/>
      <c r="AE117" s="415"/>
      <c r="AF117" s="415"/>
      <c r="AG117" s="415"/>
      <c r="AH117" s="415"/>
      <c r="AI117" s="415"/>
      <c r="AJ117" s="415"/>
      <c r="AK117" s="415"/>
      <c r="AL117" s="415"/>
      <c r="AM117" s="415"/>
      <c r="AN117" s="415"/>
      <c r="AO117" s="415"/>
      <c r="AP117" s="415"/>
      <c r="AQ117" s="415"/>
      <c r="AR117" s="415"/>
      <c r="AS117" s="415"/>
      <c r="AT117" s="415"/>
      <c r="AU117" s="415"/>
      <c r="AV117" s="415"/>
      <c r="AW117" s="415"/>
      <c r="AX117" s="415"/>
      <c r="AY117" s="415"/>
      <c r="AZ117" s="415"/>
      <c r="BA117" s="3"/>
    </row>
    <row r="118" spans="1:53" x14ac:dyDescent="0.2">
      <c r="A118" s="410"/>
      <c r="B118" s="410"/>
      <c r="C118" s="410"/>
      <c r="D118" s="410"/>
      <c r="E118" s="410"/>
      <c r="F118" s="410"/>
      <c r="G118" s="410"/>
      <c r="H118" s="415"/>
      <c r="I118" s="415"/>
      <c r="J118" s="415"/>
      <c r="K118" s="415"/>
      <c r="L118" s="415"/>
      <c r="M118" s="415"/>
      <c r="N118" s="415"/>
      <c r="O118" s="415"/>
      <c r="P118" s="415"/>
      <c r="Q118" s="415"/>
      <c r="R118" s="415"/>
      <c r="S118" s="415"/>
      <c r="T118" s="415"/>
      <c r="U118" s="415"/>
      <c r="V118" s="415"/>
      <c r="W118" s="415"/>
      <c r="X118" s="415"/>
      <c r="Y118" s="415"/>
      <c r="Z118" s="415"/>
      <c r="AA118" s="415"/>
      <c r="AB118" s="415"/>
      <c r="AC118" s="415"/>
      <c r="AD118" s="415"/>
      <c r="AE118" s="415"/>
      <c r="AF118" s="415"/>
      <c r="AG118" s="415"/>
      <c r="AH118" s="415"/>
      <c r="AI118" s="415"/>
      <c r="AJ118" s="415"/>
      <c r="AK118" s="415"/>
      <c r="AL118" s="415"/>
      <c r="AM118" s="415"/>
      <c r="AN118" s="415"/>
      <c r="AO118" s="415"/>
      <c r="AP118" s="415"/>
      <c r="AQ118" s="415"/>
      <c r="AR118" s="415"/>
      <c r="AS118" s="415"/>
      <c r="AT118" s="415"/>
      <c r="AU118" s="415"/>
      <c r="AV118" s="415"/>
      <c r="AW118" s="415"/>
      <c r="AX118" s="415"/>
      <c r="AY118" s="415"/>
      <c r="AZ118" s="415"/>
      <c r="BA118" s="3"/>
    </row>
    <row r="119" spans="1:53" x14ac:dyDescent="0.2">
      <c r="A119" s="410"/>
      <c r="B119" s="410"/>
      <c r="C119" s="410"/>
      <c r="D119" s="410"/>
      <c r="E119" s="410"/>
      <c r="F119" s="410"/>
      <c r="G119" s="410"/>
      <c r="H119" s="415"/>
      <c r="I119" s="415"/>
      <c r="J119" s="415"/>
      <c r="K119" s="415"/>
      <c r="L119" s="415"/>
      <c r="M119" s="415"/>
      <c r="N119" s="415"/>
      <c r="O119" s="415"/>
      <c r="P119" s="415"/>
      <c r="Q119" s="415"/>
      <c r="R119" s="415"/>
      <c r="S119" s="415"/>
      <c r="T119" s="415"/>
      <c r="U119" s="415"/>
      <c r="V119" s="415"/>
      <c r="W119" s="415"/>
      <c r="X119" s="415"/>
      <c r="Y119" s="415"/>
      <c r="Z119" s="415"/>
      <c r="AA119" s="415"/>
      <c r="AB119" s="415"/>
      <c r="AC119" s="415"/>
      <c r="AD119" s="415"/>
      <c r="AE119" s="415"/>
      <c r="AF119" s="415"/>
      <c r="AG119" s="415"/>
      <c r="AH119" s="415"/>
      <c r="AI119" s="415"/>
      <c r="AJ119" s="415"/>
      <c r="AK119" s="415"/>
      <c r="AL119" s="415"/>
      <c r="AM119" s="415"/>
      <c r="AN119" s="415"/>
      <c r="AO119" s="415"/>
      <c r="AP119" s="415"/>
      <c r="AQ119" s="415"/>
      <c r="AR119" s="415"/>
      <c r="AS119" s="415"/>
      <c r="AT119" s="415"/>
      <c r="AU119" s="415"/>
      <c r="AV119" s="415"/>
      <c r="AW119" s="415"/>
      <c r="AX119" s="415"/>
      <c r="AY119" s="415"/>
      <c r="AZ119" s="415"/>
      <c r="BA119" s="3"/>
    </row>
    <row r="120" spans="1:53" x14ac:dyDescent="0.2">
      <c r="A120" s="410"/>
      <c r="B120" s="410"/>
      <c r="C120" s="410"/>
      <c r="D120" s="410"/>
      <c r="E120" s="410"/>
      <c r="F120" s="410"/>
      <c r="G120" s="410"/>
      <c r="H120" s="415"/>
      <c r="I120" s="415"/>
      <c r="J120" s="415"/>
      <c r="K120" s="415"/>
      <c r="L120" s="415"/>
      <c r="M120" s="415"/>
      <c r="N120" s="415"/>
      <c r="O120" s="415"/>
      <c r="P120" s="415"/>
      <c r="Q120" s="415"/>
      <c r="R120" s="415"/>
      <c r="S120" s="415"/>
      <c r="T120" s="415"/>
      <c r="U120" s="415"/>
      <c r="V120" s="415"/>
      <c r="W120" s="415"/>
      <c r="X120" s="415"/>
      <c r="Y120" s="415"/>
      <c r="Z120" s="415"/>
      <c r="AA120" s="415"/>
      <c r="AB120" s="415"/>
      <c r="AC120" s="415"/>
      <c r="AD120" s="415"/>
      <c r="AE120" s="415"/>
      <c r="AF120" s="415"/>
      <c r="AG120" s="415"/>
      <c r="AH120" s="415"/>
      <c r="AI120" s="415"/>
      <c r="AJ120" s="415"/>
      <c r="AK120" s="415"/>
      <c r="AL120" s="415"/>
      <c r="AM120" s="415"/>
      <c r="AN120" s="415"/>
      <c r="AO120" s="415"/>
      <c r="AP120" s="415"/>
      <c r="AQ120" s="415"/>
      <c r="AR120" s="415"/>
      <c r="AS120" s="415"/>
      <c r="AT120" s="415"/>
      <c r="AU120" s="415"/>
      <c r="AV120" s="415"/>
      <c r="AW120" s="415"/>
      <c r="AX120" s="415"/>
      <c r="AY120" s="415"/>
      <c r="AZ120" s="415"/>
      <c r="BA120" s="3"/>
    </row>
    <row r="121" spans="1:53" x14ac:dyDescent="0.2">
      <c r="A121" s="410"/>
      <c r="B121" s="410"/>
      <c r="C121" s="410"/>
      <c r="D121" s="410"/>
      <c r="E121" s="410"/>
      <c r="F121" s="410"/>
      <c r="G121" s="410"/>
      <c r="H121" s="415"/>
      <c r="I121" s="415"/>
      <c r="J121" s="415"/>
      <c r="K121" s="415"/>
      <c r="L121" s="415"/>
      <c r="M121" s="415"/>
      <c r="N121" s="415"/>
      <c r="O121" s="415"/>
      <c r="P121" s="415"/>
      <c r="Q121" s="415"/>
      <c r="R121" s="415"/>
      <c r="S121" s="415"/>
      <c r="T121" s="415"/>
      <c r="U121" s="415"/>
      <c r="V121" s="415"/>
      <c r="W121" s="415"/>
      <c r="X121" s="415"/>
      <c r="Y121" s="415"/>
      <c r="Z121" s="415"/>
      <c r="AA121" s="415"/>
      <c r="AB121" s="415"/>
      <c r="AC121" s="415"/>
      <c r="AD121" s="415"/>
      <c r="AE121" s="415"/>
      <c r="AF121" s="415"/>
      <c r="AG121" s="415"/>
      <c r="AH121" s="415"/>
      <c r="AI121" s="415"/>
      <c r="AJ121" s="415"/>
      <c r="AK121" s="415"/>
      <c r="AL121" s="415"/>
      <c r="AM121" s="415"/>
      <c r="AN121" s="415"/>
      <c r="AO121" s="415"/>
      <c r="AP121" s="415"/>
      <c r="AQ121" s="415"/>
      <c r="AR121" s="415"/>
      <c r="AS121" s="415"/>
      <c r="AT121" s="415"/>
      <c r="AU121" s="415"/>
      <c r="AV121" s="415"/>
      <c r="AW121" s="415"/>
      <c r="AX121" s="415"/>
      <c r="AY121" s="415"/>
      <c r="AZ121" s="415"/>
      <c r="BA121" s="3"/>
    </row>
    <row r="122" spans="1:53" x14ac:dyDescent="0.2">
      <c r="A122" s="410"/>
      <c r="B122" s="410"/>
      <c r="C122" s="410"/>
      <c r="D122" s="410"/>
      <c r="E122" s="410"/>
      <c r="F122" s="410"/>
      <c r="G122" s="410"/>
      <c r="H122" s="415"/>
      <c r="I122" s="415"/>
      <c r="J122" s="415"/>
      <c r="K122" s="415"/>
      <c r="L122" s="415"/>
      <c r="M122" s="415"/>
      <c r="N122" s="415"/>
      <c r="O122" s="415"/>
      <c r="P122" s="415"/>
      <c r="Q122" s="415"/>
      <c r="R122" s="415"/>
      <c r="S122" s="415"/>
      <c r="T122" s="415"/>
      <c r="U122" s="415"/>
      <c r="V122" s="415"/>
      <c r="W122" s="415"/>
      <c r="X122" s="415"/>
      <c r="Y122" s="415"/>
      <c r="Z122" s="415"/>
      <c r="AA122" s="415"/>
      <c r="AB122" s="415"/>
      <c r="AC122" s="415"/>
      <c r="AD122" s="415"/>
      <c r="AE122" s="415"/>
      <c r="AF122" s="415"/>
      <c r="AG122" s="415"/>
      <c r="AH122" s="415"/>
      <c r="AI122" s="415"/>
      <c r="AJ122" s="415"/>
      <c r="AK122" s="415"/>
      <c r="AL122" s="415"/>
      <c r="AM122" s="415"/>
      <c r="AN122" s="415"/>
      <c r="AO122" s="415"/>
      <c r="AP122" s="415"/>
      <c r="AQ122" s="415"/>
      <c r="AR122" s="415"/>
      <c r="AS122" s="415"/>
      <c r="AT122" s="415"/>
      <c r="AU122" s="415"/>
      <c r="AV122" s="415"/>
      <c r="AW122" s="415"/>
      <c r="AX122" s="415"/>
      <c r="AY122" s="415"/>
      <c r="AZ122" s="415"/>
      <c r="BA122" s="3"/>
    </row>
    <row r="123" spans="1:53" x14ac:dyDescent="0.2">
      <c r="A123" s="410"/>
      <c r="B123" s="410"/>
      <c r="C123" s="410"/>
      <c r="D123" s="410"/>
      <c r="E123" s="410"/>
      <c r="F123" s="410"/>
      <c r="G123" s="410"/>
      <c r="H123" s="415"/>
      <c r="I123" s="415"/>
      <c r="J123" s="415"/>
      <c r="K123" s="415"/>
      <c r="L123" s="415"/>
      <c r="M123" s="415"/>
      <c r="N123" s="415"/>
      <c r="O123" s="415"/>
      <c r="P123" s="415"/>
      <c r="Q123" s="415"/>
      <c r="R123" s="415"/>
      <c r="S123" s="415"/>
      <c r="T123" s="415"/>
      <c r="U123" s="415"/>
      <c r="V123" s="415"/>
      <c r="W123" s="415"/>
      <c r="X123" s="415"/>
      <c r="Y123" s="415"/>
      <c r="Z123" s="415"/>
      <c r="AA123" s="415"/>
      <c r="AB123" s="415"/>
      <c r="AC123" s="415"/>
      <c r="AD123" s="415"/>
      <c r="AE123" s="415"/>
      <c r="AF123" s="415"/>
      <c r="AG123" s="415"/>
      <c r="AH123" s="415"/>
      <c r="AI123" s="415"/>
      <c r="AJ123" s="415"/>
      <c r="AK123" s="415"/>
      <c r="AL123" s="415"/>
      <c r="AM123" s="415"/>
      <c r="AN123" s="415"/>
      <c r="AO123" s="415"/>
      <c r="AP123" s="415"/>
      <c r="AQ123" s="415"/>
      <c r="AR123" s="415"/>
      <c r="AS123" s="415"/>
      <c r="AT123" s="415"/>
      <c r="AU123" s="415"/>
      <c r="AV123" s="415"/>
      <c r="AW123" s="415"/>
      <c r="AX123" s="415"/>
      <c r="AY123" s="415"/>
      <c r="AZ123" s="415"/>
      <c r="BA123" s="3"/>
    </row>
    <row r="124" spans="1:53" x14ac:dyDescent="0.2">
      <c r="A124" s="410"/>
      <c r="B124" s="410"/>
      <c r="C124" s="410"/>
      <c r="D124" s="410"/>
      <c r="E124" s="410"/>
      <c r="F124" s="410"/>
      <c r="G124" s="410"/>
      <c r="H124" s="415"/>
      <c r="I124" s="415"/>
      <c r="J124" s="415"/>
      <c r="K124" s="415"/>
      <c r="L124" s="415"/>
      <c r="M124" s="415"/>
      <c r="N124" s="415"/>
      <c r="O124" s="415"/>
      <c r="P124" s="415"/>
      <c r="Q124" s="415"/>
      <c r="R124" s="415"/>
      <c r="S124" s="415"/>
      <c r="T124" s="415"/>
      <c r="U124" s="415"/>
      <c r="V124" s="415"/>
      <c r="W124" s="415"/>
      <c r="X124" s="415"/>
      <c r="Y124" s="415"/>
      <c r="Z124" s="415"/>
      <c r="AA124" s="415"/>
      <c r="AB124" s="415"/>
      <c r="AC124" s="415"/>
      <c r="AD124" s="415"/>
      <c r="AE124" s="415"/>
      <c r="AF124" s="415"/>
      <c r="AG124" s="415"/>
      <c r="AH124" s="415"/>
      <c r="AI124" s="415"/>
      <c r="AJ124" s="415"/>
      <c r="AK124" s="415"/>
      <c r="AL124" s="415"/>
      <c r="AM124" s="415"/>
      <c r="AN124" s="415"/>
      <c r="AO124" s="415"/>
      <c r="AP124" s="415"/>
      <c r="AQ124" s="415"/>
      <c r="AR124" s="415"/>
      <c r="AS124" s="415"/>
      <c r="AT124" s="415"/>
      <c r="AU124" s="415"/>
      <c r="AV124" s="415"/>
      <c r="AW124" s="415"/>
      <c r="AX124" s="415"/>
      <c r="AY124" s="415"/>
      <c r="AZ124" s="415"/>
      <c r="BA124" s="3"/>
    </row>
    <row r="125" spans="1:53" x14ac:dyDescent="0.2">
      <c r="A125" s="410"/>
      <c r="B125" s="410"/>
      <c r="C125" s="410"/>
      <c r="D125" s="410"/>
      <c r="E125" s="410"/>
      <c r="F125" s="410"/>
      <c r="G125" s="410"/>
      <c r="H125" s="415"/>
      <c r="I125" s="415"/>
      <c r="J125" s="415"/>
      <c r="K125" s="415"/>
      <c r="L125" s="415"/>
      <c r="M125" s="415"/>
      <c r="N125" s="415"/>
      <c r="O125" s="415"/>
      <c r="P125" s="415"/>
      <c r="Q125" s="415"/>
      <c r="R125" s="415"/>
      <c r="S125" s="415"/>
      <c r="T125" s="415"/>
      <c r="U125" s="415"/>
      <c r="V125" s="415"/>
      <c r="W125" s="415"/>
      <c r="X125" s="415"/>
      <c r="Y125" s="415"/>
      <c r="Z125" s="415"/>
      <c r="AA125" s="415"/>
      <c r="AB125" s="415"/>
      <c r="AC125" s="415"/>
      <c r="AD125" s="415"/>
      <c r="AE125" s="415"/>
      <c r="AF125" s="415"/>
      <c r="AG125" s="415"/>
      <c r="AH125" s="415"/>
      <c r="AI125" s="415"/>
      <c r="AJ125" s="415"/>
      <c r="AK125" s="415"/>
      <c r="AL125" s="415"/>
      <c r="AM125" s="415"/>
      <c r="AN125" s="415"/>
      <c r="AO125" s="415"/>
      <c r="AP125" s="415"/>
      <c r="AQ125" s="415"/>
      <c r="AR125" s="415"/>
      <c r="AS125" s="415"/>
      <c r="AT125" s="415"/>
      <c r="AU125" s="415"/>
      <c r="AV125" s="415"/>
      <c r="AW125" s="415"/>
      <c r="AX125" s="415"/>
      <c r="AY125" s="415"/>
      <c r="AZ125" s="415"/>
      <c r="BA125" s="3"/>
    </row>
    <row r="126" spans="1:53" x14ac:dyDescent="0.2">
      <c r="A126" s="410"/>
      <c r="B126" s="410"/>
      <c r="C126" s="410"/>
      <c r="D126" s="410"/>
      <c r="E126" s="410"/>
      <c r="F126" s="410"/>
      <c r="G126" s="410"/>
      <c r="H126" s="415"/>
      <c r="I126" s="415"/>
      <c r="J126" s="415"/>
      <c r="K126" s="415"/>
      <c r="L126" s="415"/>
      <c r="M126" s="415"/>
      <c r="N126" s="415"/>
      <c r="O126" s="415"/>
      <c r="P126" s="415"/>
      <c r="Q126" s="415"/>
      <c r="R126" s="415"/>
      <c r="S126" s="415"/>
      <c r="T126" s="415"/>
      <c r="U126" s="415"/>
      <c r="V126" s="415"/>
      <c r="W126" s="415"/>
      <c r="X126" s="415"/>
      <c r="Y126" s="415"/>
      <c r="Z126" s="415"/>
      <c r="AA126" s="415"/>
      <c r="AB126" s="415"/>
      <c r="AC126" s="415"/>
      <c r="AD126" s="415"/>
      <c r="AE126" s="415"/>
      <c r="AF126" s="415"/>
      <c r="AG126" s="415"/>
      <c r="AH126" s="415"/>
      <c r="AI126" s="415"/>
      <c r="AJ126" s="415"/>
      <c r="AK126" s="415"/>
      <c r="AL126" s="415"/>
      <c r="AM126" s="415"/>
      <c r="AN126" s="415"/>
      <c r="AO126" s="415"/>
      <c r="AP126" s="415"/>
      <c r="AQ126" s="415"/>
      <c r="AR126" s="415"/>
      <c r="AS126" s="415"/>
      <c r="AT126" s="415"/>
      <c r="AU126" s="415"/>
      <c r="AV126" s="415"/>
      <c r="AW126" s="415"/>
      <c r="AX126" s="415"/>
      <c r="AY126" s="415"/>
      <c r="AZ126" s="415"/>
      <c r="BA126" s="3"/>
    </row>
    <row r="127" spans="1:53" x14ac:dyDescent="0.2">
      <c r="A127" s="410"/>
      <c r="B127" s="410"/>
      <c r="C127" s="410"/>
      <c r="D127" s="410"/>
      <c r="E127" s="410"/>
      <c r="F127" s="410"/>
      <c r="G127" s="410"/>
      <c r="H127" s="415"/>
      <c r="I127" s="415"/>
      <c r="J127" s="415"/>
      <c r="K127" s="415"/>
      <c r="L127" s="415"/>
      <c r="M127" s="415"/>
      <c r="N127" s="415"/>
      <c r="O127" s="415"/>
      <c r="P127" s="415"/>
      <c r="Q127" s="415"/>
      <c r="R127" s="415"/>
      <c r="S127" s="415"/>
      <c r="T127" s="415"/>
      <c r="U127" s="415"/>
      <c r="V127" s="415"/>
      <c r="W127" s="415"/>
      <c r="X127" s="415"/>
      <c r="Y127" s="415"/>
      <c r="Z127" s="415"/>
      <c r="AA127" s="415"/>
      <c r="AB127" s="415"/>
      <c r="AC127" s="415"/>
      <c r="AD127" s="415"/>
      <c r="AE127" s="415"/>
      <c r="AF127" s="415"/>
      <c r="AG127" s="415"/>
      <c r="AH127" s="415"/>
      <c r="AI127" s="415"/>
      <c r="AJ127" s="415"/>
      <c r="AK127" s="415"/>
      <c r="AL127" s="415"/>
      <c r="AM127" s="415"/>
      <c r="AN127" s="415"/>
      <c r="AO127" s="415"/>
      <c r="AP127" s="415"/>
      <c r="AQ127" s="415"/>
      <c r="AR127" s="415"/>
      <c r="AS127" s="415"/>
      <c r="AT127" s="415"/>
      <c r="AU127" s="415"/>
      <c r="AV127" s="415"/>
      <c r="AW127" s="415"/>
      <c r="AX127" s="415"/>
      <c r="AY127" s="415"/>
      <c r="AZ127" s="415"/>
      <c r="BA127" s="3"/>
    </row>
    <row r="128" spans="1:53" x14ac:dyDescent="0.2">
      <c r="A128" s="410"/>
      <c r="B128" s="410"/>
      <c r="C128" s="410"/>
      <c r="D128" s="410"/>
      <c r="E128" s="410"/>
      <c r="F128" s="410"/>
      <c r="G128" s="410"/>
      <c r="H128" s="415"/>
      <c r="I128" s="415"/>
      <c r="J128" s="415"/>
      <c r="K128" s="415"/>
      <c r="L128" s="415"/>
      <c r="M128" s="415"/>
      <c r="N128" s="415"/>
      <c r="O128" s="415"/>
      <c r="P128" s="415"/>
      <c r="Q128" s="415"/>
      <c r="R128" s="415"/>
      <c r="S128" s="415"/>
      <c r="T128" s="415"/>
      <c r="U128" s="415"/>
      <c r="V128" s="415"/>
      <c r="W128" s="415"/>
      <c r="X128" s="415"/>
      <c r="Y128" s="415"/>
      <c r="Z128" s="415"/>
      <c r="AA128" s="415"/>
      <c r="AB128" s="415"/>
      <c r="AC128" s="415"/>
      <c r="AD128" s="415"/>
      <c r="AE128" s="415"/>
      <c r="AF128" s="415"/>
      <c r="AG128" s="415"/>
      <c r="AH128" s="415"/>
      <c r="AI128" s="415"/>
      <c r="AJ128" s="415"/>
      <c r="AK128" s="415"/>
      <c r="AL128" s="415"/>
      <c r="AM128" s="415"/>
      <c r="AN128" s="415"/>
      <c r="AO128" s="415"/>
      <c r="AP128" s="415"/>
      <c r="AQ128" s="415"/>
      <c r="AR128" s="415"/>
      <c r="AS128" s="415"/>
      <c r="AT128" s="415"/>
      <c r="AU128" s="415"/>
      <c r="AV128" s="415"/>
      <c r="AW128" s="415"/>
      <c r="AX128" s="415"/>
      <c r="AY128" s="415"/>
      <c r="AZ128" s="415"/>
      <c r="BA128" s="3"/>
    </row>
    <row r="129" spans="1:53" x14ac:dyDescent="0.2">
      <c r="A129" s="410"/>
      <c r="B129" s="410"/>
      <c r="C129" s="410"/>
      <c r="D129" s="410"/>
      <c r="E129" s="410"/>
      <c r="F129" s="410"/>
      <c r="G129" s="410"/>
      <c r="H129" s="415"/>
      <c r="I129" s="415"/>
      <c r="J129" s="415"/>
      <c r="K129" s="415"/>
      <c r="L129" s="415"/>
      <c r="M129" s="415"/>
      <c r="N129" s="415"/>
      <c r="O129" s="415"/>
      <c r="P129" s="415"/>
      <c r="Q129" s="415"/>
      <c r="R129" s="415"/>
      <c r="S129" s="415"/>
      <c r="T129" s="415"/>
      <c r="U129" s="415"/>
      <c r="V129" s="415"/>
      <c r="W129" s="415"/>
      <c r="X129" s="415"/>
      <c r="Y129" s="415"/>
      <c r="Z129" s="415"/>
      <c r="AA129" s="415"/>
      <c r="AB129" s="415"/>
      <c r="AC129" s="415"/>
      <c r="AD129" s="415"/>
      <c r="AE129" s="415"/>
      <c r="AF129" s="415"/>
      <c r="AG129" s="415"/>
      <c r="AH129" s="415"/>
      <c r="AI129" s="415"/>
      <c r="AJ129" s="415"/>
      <c r="AK129" s="415"/>
      <c r="AL129" s="415"/>
      <c r="AM129" s="415"/>
      <c r="AN129" s="415"/>
      <c r="AO129" s="415"/>
      <c r="AP129" s="415"/>
      <c r="AQ129" s="415"/>
      <c r="AR129" s="415"/>
      <c r="AS129" s="415"/>
      <c r="AT129" s="415"/>
      <c r="AU129" s="415"/>
      <c r="AV129" s="415"/>
      <c r="AW129" s="415"/>
      <c r="AX129" s="415"/>
      <c r="AY129" s="415"/>
      <c r="AZ129" s="415"/>
      <c r="BA129" s="3"/>
    </row>
    <row r="130" spans="1:53" x14ac:dyDescent="0.2">
      <c r="A130" s="410"/>
      <c r="B130" s="410"/>
      <c r="C130" s="410"/>
      <c r="D130" s="410"/>
      <c r="E130" s="410"/>
      <c r="F130" s="410"/>
      <c r="G130" s="410"/>
      <c r="H130" s="415"/>
      <c r="I130" s="415"/>
      <c r="J130" s="415"/>
      <c r="K130" s="415"/>
      <c r="L130" s="415"/>
      <c r="M130" s="415"/>
      <c r="N130" s="415"/>
      <c r="O130" s="415"/>
      <c r="P130" s="415"/>
      <c r="Q130" s="415"/>
      <c r="R130" s="415"/>
      <c r="S130" s="415"/>
      <c r="T130" s="415"/>
      <c r="U130" s="415"/>
      <c r="V130" s="415"/>
      <c r="W130" s="415"/>
      <c r="X130" s="415"/>
      <c r="Y130" s="415"/>
      <c r="Z130" s="415"/>
      <c r="AA130" s="415"/>
      <c r="AB130" s="415"/>
      <c r="AC130" s="415"/>
      <c r="AD130" s="415"/>
      <c r="AE130" s="415"/>
      <c r="AF130" s="415"/>
      <c r="AG130" s="415"/>
      <c r="AH130" s="415"/>
      <c r="AI130" s="415"/>
      <c r="AJ130" s="415"/>
      <c r="AK130" s="415"/>
      <c r="AL130" s="415"/>
      <c r="AM130" s="415"/>
      <c r="AN130" s="415"/>
      <c r="AO130" s="415"/>
      <c r="AP130" s="415"/>
      <c r="AQ130" s="415"/>
      <c r="AR130" s="415"/>
      <c r="AS130" s="415"/>
      <c r="AT130" s="415"/>
      <c r="AU130" s="415"/>
      <c r="AV130" s="415"/>
      <c r="AW130" s="415"/>
      <c r="AX130" s="415"/>
      <c r="AY130" s="415"/>
      <c r="AZ130" s="415"/>
      <c r="BA130" s="3"/>
    </row>
    <row r="131" spans="1:53" x14ac:dyDescent="0.2">
      <c r="A131" s="410"/>
      <c r="B131" s="410"/>
      <c r="C131" s="410"/>
      <c r="D131" s="410"/>
      <c r="E131" s="410"/>
      <c r="F131" s="410"/>
      <c r="G131" s="410"/>
      <c r="H131" s="415"/>
      <c r="I131" s="415"/>
      <c r="J131" s="415"/>
      <c r="K131" s="415"/>
      <c r="L131" s="415"/>
      <c r="M131" s="415"/>
      <c r="N131" s="415"/>
      <c r="O131" s="415"/>
      <c r="P131" s="415"/>
      <c r="Q131" s="415"/>
      <c r="R131" s="415"/>
      <c r="S131" s="415"/>
      <c r="T131" s="415"/>
      <c r="U131" s="415"/>
      <c r="V131" s="415"/>
      <c r="W131" s="415"/>
      <c r="X131" s="415"/>
      <c r="Y131" s="415"/>
      <c r="Z131" s="415"/>
      <c r="AA131" s="415"/>
      <c r="AB131" s="415"/>
      <c r="AC131" s="415"/>
      <c r="AD131" s="415"/>
      <c r="AE131" s="415"/>
      <c r="AF131" s="415"/>
      <c r="AG131" s="415"/>
      <c r="AH131" s="415"/>
      <c r="AI131" s="415"/>
      <c r="AJ131" s="415"/>
      <c r="AK131" s="415"/>
      <c r="AL131" s="415"/>
      <c r="AM131" s="415"/>
      <c r="AN131" s="415"/>
      <c r="AO131" s="415"/>
      <c r="AP131" s="415"/>
      <c r="AQ131" s="415"/>
      <c r="AR131" s="415"/>
      <c r="AS131" s="415"/>
      <c r="AT131" s="415"/>
      <c r="AU131" s="415"/>
      <c r="AV131" s="415"/>
      <c r="AW131" s="415"/>
      <c r="AX131" s="415"/>
      <c r="AY131" s="415"/>
      <c r="AZ131" s="415"/>
      <c r="BA131" s="3"/>
    </row>
    <row r="132" spans="1:53" x14ac:dyDescent="0.2">
      <c r="A132" s="410"/>
      <c r="B132" s="410"/>
      <c r="C132" s="410"/>
      <c r="D132" s="410"/>
      <c r="E132" s="410"/>
      <c r="F132" s="410"/>
      <c r="G132" s="410"/>
      <c r="H132" s="415"/>
      <c r="I132" s="415"/>
      <c r="J132" s="415"/>
      <c r="K132" s="415"/>
      <c r="L132" s="415"/>
      <c r="M132" s="415"/>
      <c r="N132" s="415"/>
      <c r="O132" s="415"/>
      <c r="P132" s="415"/>
      <c r="Q132" s="415"/>
      <c r="R132" s="415"/>
      <c r="S132" s="415"/>
      <c r="T132" s="415"/>
      <c r="U132" s="415"/>
      <c r="V132" s="415"/>
      <c r="W132" s="415"/>
      <c r="X132" s="415"/>
      <c r="Y132" s="415"/>
      <c r="Z132" s="415"/>
      <c r="AA132" s="415"/>
      <c r="AB132" s="415"/>
      <c r="AC132" s="415"/>
      <c r="AD132" s="415"/>
      <c r="AE132" s="415"/>
      <c r="AF132" s="415"/>
      <c r="AG132" s="415"/>
      <c r="AH132" s="415"/>
      <c r="AI132" s="415"/>
      <c r="AJ132" s="415"/>
      <c r="AK132" s="415"/>
      <c r="AL132" s="415"/>
      <c r="AM132" s="415"/>
      <c r="AN132" s="415"/>
      <c r="AO132" s="415"/>
      <c r="AP132" s="415"/>
      <c r="AQ132" s="415"/>
      <c r="AR132" s="415"/>
      <c r="AS132" s="415"/>
      <c r="AT132" s="415"/>
      <c r="AU132" s="415"/>
      <c r="AV132" s="415"/>
      <c r="AW132" s="415"/>
      <c r="AX132" s="415"/>
      <c r="AY132" s="415"/>
      <c r="AZ132" s="415"/>
      <c r="BA132" s="3"/>
    </row>
    <row r="133" spans="1:53" x14ac:dyDescent="0.2">
      <c r="A133" s="410"/>
      <c r="B133" s="410"/>
      <c r="C133" s="410"/>
      <c r="D133" s="410"/>
      <c r="E133" s="410"/>
      <c r="F133" s="410"/>
      <c r="G133" s="410"/>
      <c r="H133" s="415"/>
      <c r="I133" s="415"/>
      <c r="J133" s="415"/>
      <c r="K133" s="415"/>
      <c r="L133" s="415"/>
      <c r="M133" s="415"/>
      <c r="N133" s="415"/>
      <c r="O133" s="415"/>
      <c r="P133" s="415"/>
      <c r="Q133" s="415"/>
      <c r="R133" s="415"/>
      <c r="S133" s="415"/>
      <c r="T133" s="415"/>
      <c r="U133" s="415"/>
      <c r="V133" s="415"/>
      <c r="W133" s="415"/>
      <c r="X133" s="415"/>
      <c r="Y133" s="415"/>
      <c r="Z133" s="415"/>
      <c r="AA133" s="415"/>
      <c r="AB133" s="415"/>
      <c r="AC133" s="415"/>
      <c r="AD133" s="415"/>
      <c r="AE133" s="415"/>
      <c r="AF133" s="415"/>
      <c r="AG133" s="415"/>
      <c r="AH133" s="415"/>
      <c r="AI133" s="415"/>
      <c r="AJ133" s="415"/>
      <c r="AK133" s="415"/>
      <c r="AL133" s="415"/>
      <c r="AM133" s="415"/>
      <c r="AN133" s="415"/>
      <c r="AO133" s="415"/>
      <c r="AP133" s="415"/>
      <c r="AQ133" s="415"/>
      <c r="AR133" s="415"/>
      <c r="AS133" s="415"/>
      <c r="AT133" s="415"/>
      <c r="AU133" s="415"/>
      <c r="AV133" s="415"/>
      <c r="AW133" s="415"/>
      <c r="AX133" s="415"/>
      <c r="AY133" s="415"/>
      <c r="AZ133" s="415"/>
      <c r="BA133" s="3"/>
    </row>
    <row r="134" spans="1:53" x14ac:dyDescent="0.2">
      <c r="A134" s="410"/>
      <c r="B134" s="410"/>
      <c r="C134" s="410"/>
      <c r="D134" s="410"/>
      <c r="E134" s="410"/>
      <c r="F134" s="410"/>
      <c r="G134" s="410"/>
      <c r="H134" s="415"/>
      <c r="I134" s="415"/>
      <c r="J134" s="415"/>
      <c r="K134" s="415"/>
      <c r="L134" s="415"/>
      <c r="M134" s="415"/>
      <c r="N134" s="415"/>
      <c r="O134" s="415"/>
      <c r="P134" s="415"/>
      <c r="Q134" s="415"/>
      <c r="R134" s="415"/>
      <c r="S134" s="415"/>
      <c r="T134" s="415"/>
      <c r="U134" s="415"/>
      <c r="V134" s="415"/>
      <c r="W134" s="415"/>
      <c r="X134" s="415"/>
      <c r="Y134" s="415"/>
      <c r="Z134" s="415"/>
      <c r="AA134" s="415"/>
      <c r="AB134" s="415"/>
      <c r="AC134" s="415"/>
      <c r="AD134" s="415"/>
      <c r="AE134" s="415"/>
      <c r="AF134" s="415"/>
      <c r="AG134" s="415"/>
      <c r="AH134" s="415"/>
      <c r="AI134" s="415"/>
      <c r="AJ134" s="415"/>
      <c r="AK134" s="415"/>
      <c r="AL134" s="415"/>
      <c r="AM134" s="415"/>
      <c r="AN134" s="415"/>
      <c r="AO134" s="415"/>
      <c r="AP134" s="415"/>
      <c r="AQ134" s="415"/>
      <c r="AR134" s="415"/>
      <c r="AS134" s="415"/>
      <c r="AT134" s="415"/>
      <c r="AU134" s="415"/>
      <c r="AV134" s="415"/>
      <c r="AW134" s="415"/>
      <c r="AX134" s="415"/>
      <c r="AY134" s="415"/>
      <c r="AZ134" s="415"/>
      <c r="BA134" s="3"/>
    </row>
    <row r="135" spans="1:53" x14ac:dyDescent="0.2">
      <c r="A135" s="410"/>
      <c r="B135" s="410"/>
      <c r="C135" s="410"/>
      <c r="D135" s="410"/>
      <c r="E135" s="410"/>
      <c r="F135" s="410"/>
      <c r="G135" s="410"/>
      <c r="H135" s="415"/>
      <c r="I135" s="415"/>
      <c r="J135" s="415"/>
      <c r="K135" s="415"/>
      <c r="L135" s="415"/>
      <c r="M135" s="415"/>
      <c r="N135" s="415"/>
      <c r="O135" s="415"/>
      <c r="P135" s="415"/>
      <c r="Q135" s="415"/>
      <c r="R135" s="415"/>
      <c r="S135" s="415"/>
      <c r="T135" s="415"/>
      <c r="U135" s="415"/>
      <c r="V135" s="415"/>
      <c r="W135" s="415"/>
      <c r="X135" s="415"/>
      <c r="Y135" s="415"/>
      <c r="Z135" s="415"/>
      <c r="AA135" s="415"/>
      <c r="AB135" s="415"/>
      <c r="AC135" s="415"/>
      <c r="AD135" s="415"/>
      <c r="AE135" s="415"/>
      <c r="AF135" s="415"/>
      <c r="AG135" s="415"/>
      <c r="AH135" s="415"/>
      <c r="AI135" s="415"/>
      <c r="AJ135" s="415"/>
      <c r="AK135" s="415"/>
      <c r="AL135" s="415"/>
      <c r="AM135" s="415"/>
      <c r="AN135" s="415"/>
      <c r="AO135" s="415"/>
      <c r="AP135" s="415"/>
      <c r="AQ135" s="415"/>
      <c r="AR135" s="415"/>
      <c r="AS135" s="415"/>
      <c r="AT135" s="415"/>
      <c r="AU135" s="415"/>
      <c r="AV135" s="415"/>
      <c r="AW135" s="415"/>
      <c r="AX135" s="415"/>
      <c r="AY135" s="415"/>
      <c r="AZ135" s="415"/>
      <c r="BA135" s="3"/>
    </row>
    <row r="136" spans="1:53" x14ac:dyDescent="0.2">
      <c r="A136" s="410"/>
      <c r="B136" s="410"/>
      <c r="C136" s="410"/>
      <c r="D136" s="410"/>
      <c r="E136" s="410"/>
      <c r="F136" s="410"/>
      <c r="G136" s="410"/>
      <c r="H136" s="415"/>
      <c r="I136" s="415"/>
      <c r="J136" s="415"/>
      <c r="K136" s="415"/>
      <c r="L136" s="415"/>
      <c r="M136" s="415"/>
      <c r="N136" s="415"/>
      <c r="O136" s="415"/>
      <c r="P136" s="415"/>
      <c r="Q136" s="415"/>
      <c r="R136" s="415"/>
      <c r="S136" s="415"/>
      <c r="T136" s="415"/>
      <c r="U136" s="415"/>
      <c r="V136" s="415"/>
      <c r="W136" s="415"/>
      <c r="X136" s="415"/>
      <c r="Y136" s="415"/>
      <c r="Z136" s="415"/>
      <c r="AA136" s="415"/>
      <c r="AB136" s="415"/>
      <c r="AC136" s="415"/>
      <c r="AD136" s="415"/>
      <c r="AE136" s="415"/>
      <c r="AF136" s="415"/>
      <c r="AG136" s="415"/>
      <c r="AH136" s="415"/>
      <c r="AI136" s="415"/>
      <c r="AJ136" s="415"/>
      <c r="AK136" s="415"/>
      <c r="AL136" s="415"/>
      <c r="AM136" s="415"/>
      <c r="AN136" s="415"/>
      <c r="AO136" s="415"/>
      <c r="AP136" s="415"/>
      <c r="AQ136" s="415"/>
      <c r="AR136" s="415"/>
      <c r="AS136" s="415"/>
      <c r="AT136" s="415"/>
      <c r="AU136" s="415"/>
      <c r="AV136" s="415"/>
      <c r="AW136" s="415"/>
      <c r="AX136" s="415"/>
      <c r="AY136" s="415"/>
      <c r="AZ136" s="415"/>
      <c r="BA136" s="3"/>
    </row>
    <row r="137" spans="1:53" x14ac:dyDescent="0.2">
      <c r="A137" s="410"/>
      <c r="B137" s="410"/>
      <c r="C137" s="410"/>
      <c r="D137" s="410"/>
      <c r="E137" s="410"/>
      <c r="F137" s="410"/>
      <c r="G137" s="410"/>
      <c r="H137" s="415"/>
      <c r="I137" s="415"/>
      <c r="J137" s="415"/>
      <c r="K137" s="415"/>
      <c r="L137" s="415"/>
      <c r="M137" s="415"/>
      <c r="N137" s="415"/>
      <c r="O137" s="415"/>
      <c r="P137" s="415"/>
      <c r="Q137" s="415"/>
      <c r="R137" s="415"/>
      <c r="S137" s="415"/>
      <c r="T137" s="415"/>
      <c r="U137" s="415"/>
      <c r="V137" s="415"/>
      <c r="W137" s="415"/>
      <c r="X137" s="415"/>
      <c r="Y137" s="415"/>
      <c r="Z137" s="415"/>
      <c r="AA137" s="415"/>
      <c r="AB137" s="415"/>
      <c r="AC137" s="415"/>
      <c r="AD137" s="415"/>
      <c r="AE137" s="415"/>
      <c r="AF137" s="415"/>
      <c r="AG137" s="415"/>
      <c r="AH137" s="415"/>
      <c r="AI137" s="415"/>
      <c r="AJ137" s="415"/>
      <c r="AK137" s="415"/>
      <c r="AL137" s="415"/>
      <c r="AM137" s="415"/>
      <c r="AN137" s="415"/>
      <c r="AO137" s="415"/>
      <c r="AP137" s="415"/>
      <c r="AQ137" s="415"/>
      <c r="AR137" s="415"/>
      <c r="AS137" s="415"/>
      <c r="AT137" s="415"/>
      <c r="AU137" s="415"/>
      <c r="AV137" s="415"/>
      <c r="AW137" s="415"/>
      <c r="AX137" s="415"/>
      <c r="AY137" s="415"/>
      <c r="AZ137" s="415"/>
      <c r="BA137" s="3"/>
    </row>
    <row r="138" spans="1:53" x14ac:dyDescent="0.2">
      <c r="A138" s="410"/>
      <c r="B138" s="410"/>
      <c r="C138" s="410"/>
      <c r="D138" s="410"/>
      <c r="E138" s="410"/>
      <c r="F138" s="410"/>
      <c r="G138" s="410"/>
      <c r="H138" s="415"/>
      <c r="I138" s="415"/>
      <c r="J138" s="415"/>
      <c r="K138" s="415"/>
      <c r="L138" s="415"/>
      <c r="M138" s="415"/>
      <c r="N138" s="415"/>
      <c r="O138" s="415"/>
      <c r="P138" s="415"/>
      <c r="Q138" s="415"/>
      <c r="R138" s="415"/>
      <c r="S138" s="415"/>
      <c r="T138" s="415"/>
      <c r="U138" s="415"/>
      <c r="V138" s="415"/>
      <c r="W138" s="415"/>
      <c r="X138" s="415"/>
      <c r="Y138" s="415"/>
      <c r="Z138" s="415"/>
      <c r="AA138" s="415"/>
      <c r="AB138" s="415"/>
      <c r="AC138" s="415"/>
      <c r="AD138" s="415"/>
      <c r="AE138" s="415"/>
      <c r="AF138" s="415"/>
      <c r="AG138" s="415"/>
      <c r="AH138" s="415"/>
      <c r="AI138" s="415"/>
      <c r="AJ138" s="415"/>
      <c r="AK138" s="415"/>
      <c r="AL138" s="415"/>
      <c r="AM138" s="415"/>
      <c r="AN138" s="415"/>
      <c r="AO138" s="415"/>
      <c r="AP138" s="415"/>
      <c r="AQ138" s="415"/>
      <c r="AR138" s="415"/>
      <c r="AS138" s="415"/>
      <c r="AT138" s="415"/>
      <c r="AU138" s="415"/>
      <c r="AV138" s="415"/>
      <c r="AW138" s="415"/>
      <c r="AX138" s="415"/>
      <c r="AY138" s="415"/>
      <c r="AZ138" s="415"/>
      <c r="BA138" s="3"/>
    </row>
    <row r="139" spans="1:53" x14ac:dyDescent="0.2">
      <c r="A139" s="410"/>
      <c r="B139" s="410"/>
      <c r="C139" s="410"/>
      <c r="D139" s="410"/>
      <c r="E139" s="410"/>
      <c r="F139" s="410"/>
      <c r="G139" s="410"/>
      <c r="H139" s="415"/>
      <c r="I139" s="415"/>
      <c r="J139" s="415"/>
      <c r="K139" s="415"/>
      <c r="L139" s="415"/>
      <c r="M139" s="415"/>
      <c r="N139" s="415"/>
      <c r="O139" s="415"/>
      <c r="P139" s="415"/>
      <c r="Q139" s="415"/>
      <c r="R139" s="415"/>
      <c r="S139" s="415"/>
      <c r="T139" s="415"/>
      <c r="U139" s="415"/>
      <c r="V139" s="415"/>
      <c r="W139" s="415"/>
      <c r="X139" s="415"/>
      <c r="Y139" s="415"/>
      <c r="Z139" s="415"/>
      <c r="AA139" s="415"/>
      <c r="AB139" s="415"/>
      <c r="AC139" s="415"/>
      <c r="AD139" s="415"/>
      <c r="AE139" s="415"/>
      <c r="AF139" s="415"/>
      <c r="AG139" s="415"/>
      <c r="AH139" s="415"/>
      <c r="AI139" s="415"/>
      <c r="AJ139" s="415"/>
      <c r="AK139" s="415"/>
      <c r="AL139" s="415"/>
      <c r="AM139" s="415"/>
      <c r="AN139" s="415"/>
      <c r="AO139" s="415"/>
      <c r="AP139" s="415"/>
      <c r="AQ139" s="415"/>
      <c r="AR139" s="415"/>
      <c r="AS139" s="415"/>
      <c r="AT139" s="415"/>
      <c r="AU139" s="415"/>
      <c r="AV139" s="415"/>
      <c r="AW139" s="415"/>
      <c r="AX139" s="415"/>
      <c r="AY139" s="415"/>
      <c r="AZ139" s="415"/>
      <c r="BA139" s="3"/>
    </row>
    <row r="140" spans="1:53" x14ac:dyDescent="0.2">
      <c r="A140" s="410"/>
      <c r="B140" s="410"/>
      <c r="C140" s="410"/>
      <c r="D140" s="410"/>
      <c r="E140" s="410"/>
      <c r="F140" s="410"/>
      <c r="G140" s="410"/>
      <c r="H140" s="415"/>
      <c r="I140" s="415"/>
      <c r="J140" s="415"/>
      <c r="K140" s="415"/>
      <c r="L140" s="415"/>
      <c r="M140" s="415"/>
      <c r="N140" s="415"/>
      <c r="O140" s="415"/>
      <c r="P140" s="415"/>
      <c r="Q140" s="415"/>
      <c r="R140" s="415"/>
      <c r="S140" s="415"/>
      <c r="T140" s="415"/>
      <c r="U140" s="415"/>
      <c r="V140" s="415"/>
      <c r="W140" s="415"/>
      <c r="X140" s="415"/>
      <c r="Y140" s="415"/>
      <c r="Z140" s="415"/>
      <c r="AA140" s="415"/>
      <c r="AB140" s="415"/>
      <c r="AC140" s="415"/>
      <c r="AD140" s="415"/>
      <c r="AE140" s="415"/>
      <c r="AF140" s="415"/>
      <c r="AG140" s="415"/>
      <c r="AH140" s="415"/>
      <c r="AI140" s="415"/>
      <c r="AJ140" s="415"/>
      <c r="AK140" s="415"/>
      <c r="AL140" s="415"/>
      <c r="AM140" s="415"/>
      <c r="AN140" s="415"/>
      <c r="AO140" s="415"/>
      <c r="AP140" s="415"/>
      <c r="AQ140" s="415"/>
      <c r="AR140" s="415"/>
      <c r="AS140" s="415"/>
      <c r="AT140" s="415"/>
      <c r="AU140" s="415"/>
      <c r="AV140" s="415"/>
      <c r="AW140" s="415"/>
      <c r="AX140" s="415"/>
      <c r="AY140" s="415"/>
      <c r="AZ140" s="415"/>
      <c r="BA140" s="3"/>
    </row>
    <row r="141" spans="1:53" x14ac:dyDescent="0.2">
      <c r="A141" s="410"/>
      <c r="B141" s="410"/>
      <c r="C141" s="410"/>
      <c r="D141" s="410"/>
      <c r="E141" s="410"/>
      <c r="F141" s="410"/>
      <c r="G141" s="410"/>
      <c r="H141" s="415"/>
      <c r="I141" s="415"/>
      <c r="J141" s="415"/>
      <c r="K141" s="415"/>
      <c r="L141" s="415"/>
      <c r="M141" s="415"/>
      <c r="N141" s="415"/>
      <c r="O141" s="415"/>
      <c r="P141" s="415"/>
      <c r="Q141" s="415"/>
      <c r="R141" s="415"/>
      <c r="S141" s="415"/>
      <c r="T141" s="415"/>
      <c r="U141" s="415"/>
      <c r="V141" s="415"/>
      <c r="W141" s="415"/>
      <c r="X141" s="415"/>
      <c r="Y141" s="415"/>
      <c r="Z141" s="415"/>
      <c r="AA141" s="415"/>
      <c r="AB141" s="415"/>
      <c r="AC141" s="415"/>
      <c r="AD141" s="415"/>
      <c r="AE141" s="415"/>
      <c r="AF141" s="415"/>
      <c r="AG141" s="415"/>
      <c r="AH141" s="415"/>
      <c r="AI141" s="415"/>
      <c r="AJ141" s="415"/>
      <c r="AK141" s="415"/>
      <c r="AL141" s="415"/>
      <c r="AM141" s="415"/>
      <c r="AN141" s="415"/>
      <c r="AO141" s="415"/>
      <c r="AP141" s="415"/>
      <c r="AQ141" s="415"/>
      <c r="AR141" s="415"/>
      <c r="AS141" s="415"/>
      <c r="AT141" s="415"/>
      <c r="AU141" s="415"/>
      <c r="AV141" s="415"/>
      <c r="AW141" s="415"/>
      <c r="AX141" s="415"/>
      <c r="AY141" s="415"/>
      <c r="AZ141" s="415"/>
      <c r="BA141" s="3"/>
    </row>
    <row r="142" spans="1:53" x14ac:dyDescent="0.2">
      <c r="A142" s="410"/>
      <c r="B142" s="410"/>
      <c r="C142" s="410"/>
      <c r="D142" s="410"/>
      <c r="E142" s="410"/>
      <c r="F142" s="410"/>
      <c r="G142" s="410"/>
      <c r="H142" s="415"/>
      <c r="I142" s="415"/>
      <c r="J142" s="415"/>
      <c r="K142" s="415"/>
      <c r="L142" s="415"/>
      <c r="M142" s="415"/>
      <c r="N142" s="415"/>
      <c r="O142" s="415"/>
      <c r="P142" s="415"/>
      <c r="Q142" s="415"/>
      <c r="R142" s="415"/>
      <c r="S142" s="415"/>
      <c r="T142" s="415"/>
      <c r="U142" s="415"/>
      <c r="V142" s="415"/>
      <c r="W142" s="415"/>
      <c r="X142" s="415"/>
      <c r="Y142" s="415"/>
      <c r="Z142" s="415"/>
      <c r="AA142" s="415"/>
      <c r="AB142" s="415"/>
      <c r="AC142" s="415"/>
      <c r="AD142" s="415"/>
      <c r="AE142" s="415"/>
      <c r="AF142" s="415"/>
      <c r="AG142" s="415"/>
      <c r="AH142" s="415"/>
      <c r="AI142" s="415"/>
      <c r="AJ142" s="415"/>
      <c r="AK142" s="415"/>
      <c r="AL142" s="415"/>
      <c r="AM142" s="415"/>
      <c r="AN142" s="415"/>
      <c r="AO142" s="415"/>
      <c r="AP142" s="415"/>
      <c r="AQ142" s="415"/>
      <c r="AR142" s="415"/>
      <c r="AS142" s="415"/>
      <c r="AT142" s="415"/>
      <c r="AU142" s="415"/>
      <c r="AV142" s="415"/>
      <c r="AW142" s="415"/>
      <c r="AX142" s="415"/>
      <c r="AY142" s="415"/>
      <c r="AZ142" s="415"/>
      <c r="BA142" s="3"/>
    </row>
    <row r="143" spans="1:53" x14ac:dyDescent="0.2">
      <c r="A143" s="410"/>
      <c r="B143" s="410"/>
      <c r="C143" s="410"/>
      <c r="D143" s="410"/>
      <c r="E143" s="410"/>
      <c r="F143" s="410"/>
      <c r="G143" s="410"/>
      <c r="H143" s="415"/>
      <c r="I143" s="415"/>
      <c r="J143" s="415"/>
      <c r="K143" s="415"/>
      <c r="L143" s="415"/>
      <c r="M143" s="415"/>
      <c r="N143" s="415"/>
      <c r="O143" s="415"/>
      <c r="P143" s="415"/>
      <c r="Q143" s="415"/>
      <c r="R143" s="415"/>
      <c r="S143" s="415"/>
      <c r="T143" s="415"/>
      <c r="U143" s="415"/>
      <c r="V143" s="415"/>
      <c r="W143" s="415"/>
      <c r="X143" s="415"/>
      <c r="Y143" s="415"/>
      <c r="Z143" s="415"/>
      <c r="AA143" s="415"/>
      <c r="AB143" s="415"/>
      <c r="AC143" s="415"/>
      <c r="AD143" s="415"/>
      <c r="AE143" s="415"/>
      <c r="AF143" s="415"/>
      <c r="AG143" s="415"/>
      <c r="AH143" s="415"/>
      <c r="AI143" s="415"/>
      <c r="AJ143" s="415"/>
      <c r="AK143" s="415"/>
      <c r="AL143" s="415"/>
      <c r="AM143" s="415"/>
      <c r="AN143" s="415"/>
      <c r="AO143" s="415"/>
      <c r="AP143" s="415"/>
      <c r="AQ143" s="415"/>
      <c r="AR143" s="415"/>
      <c r="AS143" s="415"/>
      <c r="AT143" s="415"/>
      <c r="AU143" s="415"/>
      <c r="AV143" s="415"/>
      <c r="AW143" s="415"/>
      <c r="AX143" s="415"/>
      <c r="AY143" s="415"/>
      <c r="AZ143" s="415"/>
      <c r="BA143" s="3"/>
    </row>
    <row r="144" spans="1:53" x14ac:dyDescent="0.2">
      <c r="A144" s="410"/>
      <c r="B144" s="410"/>
      <c r="C144" s="410"/>
      <c r="D144" s="410"/>
      <c r="E144" s="410"/>
      <c r="F144" s="410"/>
      <c r="G144" s="410"/>
      <c r="H144" s="415"/>
      <c r="I144" s="415"/>
      <c r="J144" s="415"/>
      <c r="K144" s="415"/>
      <c r="L144" s="415"/>
      <c r="M144" s="415"/>
      <c r="N144" s="415"/>
      <c r="O144" s="415"/>
      <c r="P144" s="415"/>
      <c r="Q144" s="415"/>
      <c r="R144" s="415"/>
      <c r="S144" s="415"/>
      <c r="T144" s="415"/>
      <c r="U144" s="415"/>
      <c r="V144" s="415"/>
      <c r="W144" s="415"/>
      <c r="X144" s="415"/>
      <c r="Y144" s="415"/>
      <c r="Z144" s="415"/>
      <c r="AA144" s="415"/>
      <c r="AB144" s="415"/>
      <c r="AC144" s="415"/>
      <c r="AD144" s="415"/>
      <c r="AE144" s="415"/>
      <c r="AF144" s="415"/>
      <c r="AG144" s="415"/>
      <c r="AH144" s="415"/>
      <c r="AI144" s="415"/>
      <c r="AJ144" s="415"/>
      <c r="AK144" s="415"/>
      <c r="AL144" s="415"/>
      <c r="AM144" s="415"/>
      <c r="AN144" s="415"/>
      <c r="AO144" s="415"/>
      <c r="AP144" s="415"/>
      <c r="AQ144" s="415"/>
      <c r="AR144" s="415"/>
      <c r="AS144" s="415"/>
      <c r="AT144" s="415"/>
      <c r="AU144" s="415"/>
      <c r="AV144" s="415"/>
      <c r="AW144" s="415"/>
      <c r="AX144" s="415"/>
      <c r="AY144" s="415"/>
      <c r="AZ144" s="415"/>
      <c r="BA144" s="3"/>
    </row>
    <row r="145" spans="1:53" x14ac:dyDescent="0.2">
      <c r="A145" s="410"/>
      <c r="B145" s="410"/>
      <c r="C145" s="410"/>
      <c r="D145" s="410"/>
      <c r="E145" s="410"/>
      <c r="F145" s="410"/>
      <c r="G145" s="410"/>
      <c r="H145" s="415"/>
      <c r="I145" s="415"/>
      <c r="J145" s="415"/>
      <c r="K145" s="415"/>
      <c r="L145" s="415"/>
      <c r="M145" s="415"/>
      <c r="N145" s="415"/>
      <c r="O145" s="415"/>
      <c r="P145" s="415"/>
      <c r="Q145" s="415"/>
      <c r="R145" s="415"/>
      <c r="S145" s="415"/>
      <c r="T145" s="415"/>
      <c r="U145" s="415"/>
      <c r="V145" s="415"/>
      <c r="W145" s="415"/>
      <c r="X145" s="415"/>
      <c r="Y145" s="415"/>
      <c r="Z145" s="415"/>
      <c r="AA145" s="415"/>
      <c r="AB145" s="415"/>
      <c r="AC145" s="415"/>
      <c r="AD145" s="415"/>
      <c r="AE145" s="415"/>
      <c r="AF145" s="415"/>
      <c r="AG145" s="415"/>
      <c r="AH145" s="415"/>
      <c r="AI145" s="415"/>
      <c r="AJ145" s="415"/>
      <c r="AK145" s="415"/>
      <c r="AL145" s="415"/>
      <c r="AM145" s="415"/>
      <c r="AN145" s="415"/>
      <c r="AO145" s="415"/>
      <c r="AP145" s="415"/>
      <c r="AQ145" s="415"/>
      <c r="AR145" s="415"/>
      <c r="AS145" s="415"/>
      <c r="AT145" s="415"/>
      <c r="AU145" s="415"/>
      <c r="AV145" s="415"/>
      <c r="AW145" s="415"/>
      <c r="AX145" s="415"/>
      <c r="AY145" s="415"/>
      <c r="AZ145" s="415"/>
      <c r="BA145" s="3"/>
    </row>
    <row r="146" spans="1:53" x14ac:dyDescent="0.2">
      <c r="A146" s="410"/>
      <c r="B146" s="410"/>
      <c r="C146" s="410"/>
      <c r="D146" s="410"/>
      <c r="E146" s="410"/>
      <c r="F146" s="410"/>
      <c r="G146" s="410"/>
      <c r="H146" s="415"/>
      <c r="I146" s="415"/>
      <c r="J146" s="415"/>
      <c r="K146" s="415"/>
      <c r="L146" s="415"/>
      <c r="M146" s="415"/>
      <c r="N146" s="415"/>
      <c r="O146" s="415"/>
      <c r="P146" s="415"/>
      <c r="Q146" s="415"/>
      <c r="R146" s="415"/>
      <c r="S146" s="415"/>
      <c r="T146" s="415"/>
      <c r="U146" s="415"/>
      <c r="V146" s="415"/>
      <c r="W146" s="415"/>
      <c r="X146" s="415"/>
      <c r="Y146" s="415"/>
      <c r="Z146" s="415"/>
      <c r="AA146" s="415"/>
      <c r="AB146" s="415"/>
      <c r="AC146" s="415"/>
      <c r="AD146" s="415"/>
      <c r="AE146" s="415"/>
      <c r="AF146" s="415"/>
      <c r="AG146" s="415"/>
      <c r="AH146" s="415"/>
      <c r="AI146" s="415"/>
      <c r="AJ146" s="415"/>
      <c r="AK146" s="415"/>
      <c r="AL146" s="415"/>
      <c r="AM146" s="415"/>
      <c r="AN146" s="415"/>
      <c r="AO146" s="415"/>
      <c r="AP146" s="415"/>
      <c r="AQ146" s="415"/>
      <c r="AR146" s="415"/>
      <c r="AS146" s="415"/>
      <c r="AT146" s="415"/>
      <c r="AU146" s="415"/>
      <c r="AV146" s="415"/>
      <c r="AW146" s="415"/>
      <c r="AX146" s="415"/>
      <c r="AY146" s="415"/>
      <c r="AZ146" s="415"/>
      <c r="BA146" s="3"/>
    </row>
    <row r="147" spans="1:53" x14ac:dyDescent="0.2">
      <c r="A147" s="410"/>
      <c r="B147" s="410"/>
      <c r="C147" s="410"/>
      <c r="D147" s="410"/>
      <c r="E147" s="410"/>
      <c r="F147" s="410"/>
      <c r="G147" s="410"/>
      <c r="H147" s="415"/>
      <c r="I147" s="415"/>
      <c r="J147" s="415"/>
      <c r="K147" s="415"/>
      <c r="L147" s="415"/>
      <c r="M147" s="415"/>
      <c r="N147" s="415"/>
      <c r="O147" s="415"/>
      <c r="P147" s="415"/>
      <c r="Q147" s="415"/>
      <c r="R147" s="415"/>
      <c r="S147" s="415"/>
      <c r="T147" s="415"/>
      <c r="U147" s="415"/>
      <c r="V147" s="415"/>
      <c r="W147" s="415"/>
      <c r="X147" s="415"/>
      <c r="Y147" s="415"/>
      <c r="Z147" s="415"/>
      <c r="AA147" s="415"/>
      <c r="AB147" s="415"/>
      <c r="AC147" s="415"/>
      <c r="AD147" s="415"/>
      <c r="AE147" s="415"/>
      <c r="AF147" s="415"/>
      <c r="AG147" s="415"/>
      <c r="AH147" s="415"/>
      <c r="AI147" s="415"/>
      <c r="AJ147" s="415"/>
      <c r="AK147" s="415"/>
      <c r="AL147" s="415"/>
      <c r="AM147" s="415"/>
      <c r="AN147" s="415"/>
      <c r="AO147" s="415"/>
      <c r="AP147" s="415"/>
      <c r="AQ147" s="415"/>
      <c r="AR147" s="415"/>
      <c r="AS147" s="415"/>
      <c r="AT147" s="415"/>
      <c r="AU147" s="415"/>
      <c r="AV147" s="415"/>
      <c r="AW147" s="415"/>
      <c r="AX147" s="415"/>
      <c r="AY147" s="415"/>
      <c r="AZ147" s="415"/>
      <c r="BA147" s="3"/>
    </row>
    <row r="148" spans="1:53" x14ac:dyDescent="0.2">
      <c r="A148" s="410"/>
      <c r="B148" s="410"/>
      <c r="C148" s="410"/>
      <c r="D148" s="410"/>
      <c r="E148" s="410"/>
      <c r="F148" s="410"/>
      <c r="G148" s="410"/>
      <c r="H148" s="415"/>
      <c r="I148" s="415"/>
      <c r="J148" s="415"/>
      <c r="K148" s="415"/>
      <c r="L148" s="415"/>
      <c r="M148" s="415"/>
      <c r="N148" s="415"/>
      <c r="O148" s="415"/>
      <c r="P148" s="415"/>
      <c r="Q148" s="415"/>
      <c r="R148" s="415"/>
      <c r="S148" s="415"/>
      <c r="T148" s="415"/>
      <c r="U148" s="415"/>
      <c r="V148" s="415"/>
      <c r="W148" s="415"/>
      <c r="X148" s="415"/>
      <c r="Y148" s="415"/>
      <c r="Z148" s="415"/>
      <c r="AA148" s="415"/>
      <c r="AB148" s="415"/>
      <c r="AC148" s="415"/>
      <c r="AD148" s="415"/>
      <c r="AE148" s="415"/>
      <c r="AF148" s="415"/>
      <c r="AG148" s="415"/>
      <c r="AH148" s="415"/>
      <c r="AI148" s="415"/>
      <c r="AJ148" s="415"/>
      <c r="AK148" s="415"/>
      <c r="AL148" s="415"/>
      <c r="AM148" s="415"/>
      <c r="AN148" s="415"/>
      <c r="AO148" s="415"/>
      <c r="AP148" s="415"/>
      <c r="AQ148" s="415"/>
      <c r="AR148" s="415"/>
      <c r="AS148" s="415"/>
      <c r="AT148" s="415"/>
      <c r="AU148" s="415"/>
      <c r="AV148" s="415"/>
      <c r="AW148" s="415"/>
      <c r="AX148" s="415"/>
      <c r="AY148" s="415"/>
      <c r="AZ148" s="415"/>
      <c r="BA148" s="3"/>
    </row>
    <row r="149" spans="1:53" x14ac:dyDescent="0.2">
      <c r="A149" s="410"/>
      <c r="B149" s="410"/>
      <c r="C149" s="410"/>
      <c r="D149" s="410"/>
      <c r="E149" s="410"/>
      <c r="F149" s="410"/>
      <c r="G149" s="410"/>
      <c r="H149" s="415"/>
      <c r="I149" s="415"/>
      <c r="J149" s="415"/>
      <c r="K149" s="415"/>
      <c r="L149" s="415"/>
      <c r="M149" s="415"/>
      <c r="N149" s="415"/>
      <c r="O149" s="415"/>
      <c r="P149" s="415"/>
      <c r="Q149" s="415"/>
      <c r="R149" s="415"/>
      <c r="S149" s="415"/>
      <c r="T149" s="415"/>
      <c r="U149" s="415"/>
      <c r="V149" s="415"/>
      <c r="W149" s="415"/>
      <c r="X149" s="415"/>
      <c r="Y149" s="415"/>
      <c r="Z149" s="415"/>
      <c r="AA149" s="415"/>
      <c r="AB149" s="415"/>
      <c r="AC149" s="415"/>
      <c r="AD149" s="415"/>
      <c r="AE149" s="415"/>
      <c r="AF149" s="415"/>
      <c r="AG149" s="415"/>
      <c r="AH149" s="415"/>
      <c r="AI149" s="415"/>
      <c r="AJ149" s="415"/>
      <c r="AK149" s="415"/>
      <c r="AL149" s="415"/>
      <c r="AM149" s="415"/>
      <c r="AN149" s="415"/>
      <c r="AO149" s="415"/>
      <c r="AP149" s="415"/>
      <c r="AQ149" s="415"/>
      <c r="AR149" s="415"/>
      <c r="AS149" s="415"/>
      <c r="AT149" s="415"/>
      <c r="AU149" s="415"/>
      <c r="AV149" s="415"/>
      <c r="AW149" s="415"/>
      <c r="AX149" s="415"/>
      <c r="AY149" s="415"/>
      <c r="AZ149" s="415"/>
      <c r="BA149" s="3"/>
    </row>
    <row r="150" spans="1:53" x14ac:dyDescent="0.2">
      <c r="A150" s="410"/>
      <c r="B150" s="410"/>
      <c r="C150" s="410"/>
      <c r="D150" s="410"/>
      <c r="E150" s="410"/>
      <c r="F150" s="410"/>
      <c r="G150" s="410"/>
      <c r="H150" s="415"/>
      <c r="I150" s="415"/>
      <c r="J150" s="415"/>
      <c r="K150" s="415"/>
      <c r="L150" s="415"/>
      <c r="M150" s="415"/>
      <c r="N150" s="415"/>
      <c r="O150" s="415"/>
      <c r="P150" s="415"/>
      <c r="Q150" s="415"/>
      <c r="R150" s="415"/>
      <c r="S150" s="415"/>
      <c r="T150" s="415"/>
      <c r="U150" s="415"/>
      <c r="V150" s="415"/>
      <c r="W150" s="415"/>
      <c r="X150" s="415"/>
      <c r="Y150" s="415"/>
      <c r="Z150" s="415"/>
      <c r="AA150" s="415"/>
      <c r="AB150" s="415"/>
      <c r="AC150" s="415"/>
      <c r="AD150" s="415"/>
      <c r="AE150" s="415"/>
      <c r="AF150" s="415"/>
      <c r="AG150" s="415"/>
      <c r="AH150" s="415"/>
      <c r="AI150" s="415"/>
      <c r="AJ150" s="415"/>
      <c r="AK150" s="415"/>
      <c r="AL150" s="415"/>
      <c r="AM150" s="415"/>
      <c r="AN150" s="415"/>
      <c r="AO150" s="415"/>
      <c r="AP150" s="415"/>
      <c r="AQ150" s="415"/>
      <c r="AR150" s="415"/>
      <c r="AS150" s="415"/>
      <c r="AT150" s="415"/>
      <c r="AU150" s="415"/>
      <c r="AV150" s="415"/>
      <c r="AW150" s="415"/>
      <c r="AX150" s="415"/>
      <c r="AY150" s="415"/>
      <c r="AZ150" s="415"/>
      <c r="BA150" s="3"/>
    </row>
    <row r="151" spans="1:53" x14ac:dyDescent="0.2">
      <c r="BA151" s="3"/>
    </row>
    <row r="152" spans="1:53" x14ac:dyDescent="0.2">
      <c r="BA152" s="3"/>
    </row>
    <row r="153" spans="1:53" x14ac:dyDescent="0.2">
      <c r="BA153" s="3"/>
    </row>
    <row r="154" spans="1:53" x14ac:dyDescent="0.2">
      <c r="BA154" s="3"/>
    </row>
    <row r="155" spans="1:53" x14ac:dyDescent="0.2">
      <c r="BA155" s="3"/>
    </row>
    <row r="156" spans="1:53" x14ac:dyDescent="0.2">
      <c r="BA156" s="3"/>
    </row>
    <row r="157" spans="1:53" x14ac:dyDescent="0.2">
      <c r="BA157" s="3"/>
    </row>
    <row r="158" spans="1:53" x14ac:dyDescent="0.2">
      <c r="BA158" s="3"/>
    </row>
    <row r="159" spans="1:53" x14ac:dyDescent="0.2">
      <c r="BA159" s="3"/>
    </row>
    <row r="160" spans="1:53" x14ac:dyDescent="0.2">
      <c r="BA160" s="3"/>
    </row>
    <row r="161" spans="53:53" x14ac:dyDescent="0.2">
      <c r="BA161" s="3"/>
    </row>
    <row r="162" spans="53:53" x14ac:dyDescent="0.2">
      <c r="BA162" s="3"/>
    </row>
    <row r="163" spans="53:53" x14ac:dyDescent="0.2">
      <c r="BA163" s="3"/>
    </row>
    <row r="164" spans="53:53" x14ac:dyDescent="0.2">
      <c r="BA164" s="3"/>
    </row>
    <row r="165" spans="53:53" x14ac:dyDescent="0.2">
      <c r="BA165" s="3"/>
    </row>
    <row r="166" spans="53:53" x14ac:dyDescent="0.2">
      <c r="BA166" s="3"/>
    </row>
    <row r="167" spans="53:53" x14ac:dyDescent="0.2">
      <c r="BA167" s="3"/>
    </row>
    <row r="168" spans="53:53" x14ac:dyDescent="0.2">
      <c r="BA168" s="3"/>
    </row>
    <row r="169" spans="53:53" x14ac:dyDescent="0.2">
      <c r="BA169" s="3"/>
    </row>
    <row r="170" spans="53:53" x14ac:dyDescent="0.2">
      <c r="BA170" s="3"/>
    </row>
    <row r="171" spans="53:53" x14ac:dyDescent="0.2">
      <c r="BA171" s="3"/>
    </row>
    <row r="172" spans="53:53" x14ac:dyDescent="0.2">
      <c r="BA172" s="3"/>
    </row>
    <row r="173" spans="53:53" x14ac:dyDescent="0.2">
      <c r="BA173" s="3"/>
    </row>
    <row r="174" spans="53:53" x14ac:dyDescent="0.2">
      <c r="BA174" s="3"/>
    </row>
    <row r="175" spans="53:53" x14ac:dyDescent="0.2">
      <c r="BA175" s="3"/>
    </row>
    <row r="176" spans="53:53" x14ac:dyDescent="0.2">
      <c r="BA176" s="3"/>
    </row>
    <row r="177" spans="53:53" x14ac:dyDescent="0.2">
      <c r="BA177" s="3"/>
    </row>
    <row r="178" spans="53:53" x14ac:dyDescent="0.2">
      <c r="BA178" s="3"/>
    </row>
    <row r="179" spans="53:53" x14ac:dyDescent="0.2">
      <c r="BA179" s="3"/>
    </row>
    <row r="180" spans="53:53" x14ac:dyDescent="0.2">
      <c r="BA180" s="3"/>
    </row>
    <row r="181" spans="53:53" x14ac:dyDescent="0.2">
      <c r="BA181" s="3"/>
    </row>
    <row r="182" spans="53:53" x14ac:dyDescent="0.2">
      <c r="BA182" s="3"/>
    </row>
    <row r="183" spans="53:53" x14ac:dyDescent="0.2">
      <c r="BA183" s="3"/>
    </row>
    <row r="184" spans="53:53" x14ac:dyDescent="0.2">
      <c r="BA184" s="3"/>
    </row>
    <row r="185" spans="53:53" x14ac:dyDescent="0.2">
      <c r="BA185" s="3"/>
    </row>
    <row r="186" spans="53:53" x14ac:dyDescent="0.2">
      <c r="BA186" s="3"/>
    </row>
    <row r="187" spans="53:53" x14ac:dyDescent="0.2">
      <c r="BA187" s="3"/>
    </row>
    <row r="188" spans="53:53" x14ac:dyDescent="0.2">
      <c r="BA188" s="3"/>
    </row>
    <row r="189" spans="53:53" x14ac:dyDescent="0.2">
      <c r="BA189" s="3"/>
    </row>
    <row r="190" spans="53:53" x14ac:dyDescent="0.2">
      <c r="BA190" s="3"/>
    </row>
    <row r="191" spans="53:53" x14ac:dyDescent="0.2">
      <c r="BA191" s="3"/>
    </row>
    <row r="192" spans="53:53" x14ac:dyDescent="0.2">
      <c r="BA192" s="3"/>
    </row>
    <row r="193" spans="53:53" x14ac:dyDescent="0.2">
      <c r="BA193" s="3"/>
    </row>
    <row r="194" spans="53:53" x14ac:dyDescent="0.2">
      <c r="BA194" s="3"/>
    </row>
    <row r="195" spans="53:53" x14ac:dyDescent="0.2">
      <c r="BA195" s="3"/>
    </row>
    <row r="196" spans="53:53" x14ac:dyDescent="0.2">
      <c r="BA196" s="3"/>
    </row>
    <row r="197" spans="53:53" x14ac:dyDescent="0.2">
      <c r="BA197" s="3"/>
    </row>
    <row r="198" spans="53:53" x14ac:dyDescent="0.2">
      <c r="BA198" s="3"/>
    </row>
    <row r="199" spans="53:53" x14ac:dyDescent="0.2">
      <c r="BA199" s="3"/>
    </row>
    <row r="200" spans="53:53" x14ac:dyDescent="0.2">
      <c r="BA200" s="3"/>
    </row>
    <row r="201" spans="53:53" x14ac:dyDescent="0.2">
      <c r="BA201" s="3"/>
    </row>
    <row r="202" spans="53:53" x14ac:dyDescent="0.2">
      <c r="BA202" s="3"/>
    </row>
    <row r="203" spans="53:53" x14ac:dyDescent="0.2">
      <c r="BA203" s="3"/>
    </row>
    <row r="204" spans="53:53" x14ac:dyDescent="0.2">
      <c r="BA204" s="3"/>
    </row>
    <row r="205" spans="53:53" x14ac:dyDescent="0.2">
      <c r="BA205" s="3"/>
    </row>
    <row r="206" spans="53:53" x14ac:dyDescent="0.2">
      <c r="BA206" s="3"/>
    </row>
    <row r="207" spans="53:53" x14ac:dyDescent="0.2">
      <c r="BA207" s="3"/>
    </row>
    <row r="208" spans="53:53" x14ac:dyDescent="0.2">
      <c r="BA208" s="3"/>
    </row>
    <row r="209" spans="53:53" x14ac:dyDescent="0.2">
      <c r="BA209" s="3"/>
    </row>
    <row r="210" spans="53:53" x14ac:dyDescent="0.2">
      <c r="BA210" s="3"/>
    </row>
    <row r="211" spans="53:53" x14ac:dyDescent="0.2">
      <c r="BA211" s="3"/>
    </row>
    <row r="212" spans="53:53" x14ac:dyDescent="0.2">
      <c r="BA212" s="3"/>
    </row>
    <row r="213" spans="53:53" x14ac:dyDescent="0.2">
      <c r="BA213" s="3"/>
    </row>
    <row r="214" spans="53:53" x14ac:dyDescent="0.2">
      <c r="BA214" s="3"/>
    </row>
    <row r="215" spans="53:53" x14ac:dyDescent="0.2">
      <c r="BA215" s="3"/>
    </row>
    <row r="216" spans="53:53" x14ac:dyDescent="0.2">
      <c r="BA216" s="3"/>
    </row>
    <row r="217" spans="53:53" x14ac:dyDescent="0.2">
      <c r="BA217" s="3"/>
    </row>
    <row r="218" spans="53:53" x14ac:dyDescent="0.2">
      <c r="BA218" s="3"/>
    </row>
    <row r="219" spans="53:53" x14ac:dyDescent="0.2">
      <c r="BA219" s="3"/>
    </row>
    <row r="220" spans="53:53" x14ac:dyDescent="0.2">
      <c r="BA220" s="3"/>
    </row>
    <row r="221" spans="53:53" x14ac:dyDescent="0.2">
      <c r="BA221" s="3"/>
    </row>
    <row r="222" spans="53:53" x14ac:dyDescent="0.2">
      <c r="BA222" s="3"/>
    </row>
    <row r="223" spans="53:53" x14ac:dyDescent="0.2">
      <c r="BA223" s="3"/>
    </row>
    <row r="224" spans="53:53" x14ac:dyDescent="0.2">
      <c r="BA224" s="3"/>
    </row>
    <row r="225" spans="53:53" x14ac:dyDescent="0.2">
      <c r="BA225" s="3"/>
    </row>
    <row r="226" spans="53:53" x14ac:dyDescent="0.2">
      <c r="BA226" s="3"/>
    </row>
    <row r="227" spans="53:53" x14ac:dyDescent="0.2">
      <c r="BA227" s="3"/>
    </row>
    <row r="228" spans="53:53" x14ac:dyDescent="0.2">
      <c r="BA228" s="3"/>
    </row>
    <row r="229" spans="53:53" x14ac:dyDescent="0.2">
      <c r="BA229" s="3"/>
    </row>
    <row r="230" spans="53:53" x14ac:dyDescent="0.2">
      <c r="BA230" s="3"/>
    </row>
    <row r="231" spans="53:53" x14ac:dyDescent="0.2">
      <c r="BA231" s="3"/>
    </row>
    <row r="232" spans="53:53" x14ac:dyDescent="0.2">
      <c r="BA232" s="3"/>
    </row>
    <row r="233" spans="53:53" x14ac:dyDescent="0.2">
      <c r="BA233" s="3"/>
    </row>
    <row r="234" spans="53:53" x14ac:dyDescent="0.2">
      <c r="BA234" s="3"/>
    </row>
    <row r="235" spans="53:53" x14ac:dyDescent="0.2">
      <c r="BA235" s="3"/>
    </row>
    <row r="236" spans="53:53" x14ac:dyDescent="0.2">
      <c r="BA236" s="3"/>
    </row>
    <row r="237" spans="53:53" x14ac:dyDescent="0.2">
      <c r="BA237" s="3"/>
    </row>
    <row r="238" spans="53:53" x14ac:dyDescent="0.2">
      <c r="BA238" s="3"/>
    </row>
    <row r="239" spans="53:53" x14ac:dyDescent="0.2">
      <c r="BA239" s="3"/>
    </row>
    <row r="240" spans="53:53" x14ac:dyDescent="0.2">
      <c r="BA240" s="3"/>
    </row>
    <row r="241" spans="53:53" x14ac:dyDescent="0.2">
      <c r="BA241" s="3"/>
    </row>
    <row r="242" spans="53:53" x14ac:dyDescent="0.2">
      <c r="BA242" s="3"/>
    </row>
    <row r="243" spans="53:53" x14ac:dyDescent="0.2">
      <c r="BA243" s="3"/>
    </row>
    <row r="244" spans="53:53" x14ac:dyDescent="0.2">
      <c r="BA244" s="3"/>
    </row>
    <row r="245" spans="53:53" x14ac:dyDescent="0.2">
      <c r="BA245" s="3"/>
    </row>
    <row r="246" spans="53:53" x14ac:dyDescent="0.2">
      <c r="BA246" s="3"/>
    </row>
    <row r="247" spans="53:53" x14ac:dyDescent="0.2">
      <c r="BA247" s="3"/>
    </row>
    <row r="248" spans="53:53" x14ac:dyDescent="0.2">
      <c r="BA248" s="3"/>
    </row>
    <row r="249" spans="53:53" x14ac:dyDescent="0.2">
      <c r="BA249" s="3"/>
    </row>
    <row r="250" spans="53:53" x14ac:dyDescent="0.2">
      <c r="BA250" s="3"/>
    </row>
    <row r="251" spans="53:53" x14ac:dyDescent="0.2">
      <c r="BA251" s="3"/>
    </row>
    <row r="252" spans="53:53" x14ac:dyDescent="0.2">
      <c r="BA252" s="3"/>
    </row>
    <row r="253" spans="53:53" x14ac:dyDescent="0.2">
      <c r="BA253" s="3"/>
    </row>
    <row r="254" spans="53:53" x14ac:dyDescent="0.2">
      <c r="BA254" s="3"/>
    </row>
  </sheetData>
  <sheetProtection algorithmName="SHA-512" hashValue="QKhPFaMY8KnXrBCTRvqihfsIYHXmgG5d5y53Vs0cKETFxdIcyKizRKXPhtIKq2OpaarGFbupdac83SFl2A71Ag==" saltValue="ezU3qTRlHvXetKp4JEp35Q==" spinCount="100000" sheet="1" objects="1" scenarios="1"/>
  <phoneticPr fontId="0" type="noConversion"/>
  <dataValidations count="1">
    <dataValidation operator="lessThan" allowBlank="1" showInputMessage="1" showErrorMessage="1" sqref="C27" xr:uid="{66891A20-38BC-4336-98CB-62D2175CD2D7}"/>
  </dataValidations>
  <printOptions horizontalCentered="1" gridLines="1" gridLinesSet="0"/>
  <pageMargins left="0.39370078740157483" right="0.39370078740157483" top="0.98425196850393704" bottom="0.78740157480314965" header="0.51181102362204722" footer="0.51181102362204722"/>
  <pageSetup paperSize="9" scale="68" orientation="landscape" blackAndWhite="1" r:id="rId1"/>
  <headerFooter alignWithMargins="0">
    <oddHeader>&amp;L&amp;"Arial,Standard"&amp;8ÖSTERREICHISCHES FILMINSTITUT</oddHeader>
    <oddFooter>&amp;L&amp;"Excel,Light"&amp;10Ausdruck vom &amp;D&amp;R&amp;"Excel,Light"&amp;10Seite &amp;P von &amp;N</oddFooter>
  </headerFooter>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978EA-D3F6-4EDE-BCB9-1A1B5B5BD81B}">
  <sheetPr>
    <pageSetUpPr fitToPage="1"/>
  </sheetPr>
  <dimension ref="A1:AZ153"/>
  <sheetViews>
    <sheetView workbookViewId="0">
      <selection activeCell="C34" sqref="C34"/>
    </sheetView>
  </sheetViews>
  <sheetFormatPr baseColWidth="10" defaultRowHeight="12.75" x14ac:dyDescent="0.2"/>
  <cols>
    <col min="1" max="1" width="4.625" customWidth="1"/>
    <col min="2" max="2" width="39.75" bestFit="1" customWidth="1"/>
    <col min="8" max="8" width="13.75" bestFit="1" customWidth="1"/>
  </cols>
  <sheetData>
    <row r="1" spans="1:52" ht="18" x14ac:dyDescent="0.2">
      <c r="A1" s="439" t="str">
        <f>Stammblatt!A1</f>
        <v>Test</v>
      </c>
      <c r="B1" s="448"/>
      <c r="C1" s="448"/>
      <c r="D1" s="448"/>
      <c r="E1" s="448"/>
      <c r="F1" s="448"/>
      <c r="G1" s="448"/>
      <c r="H1" s="213"/>
      <c r="I1" s="448"/>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row>
    <row r="2" spans="1:52" ht="27" customHeight="1" x14ac:dyDescent="0.2">
      <c r="A2" s="448"/>
      <c r="B2" s="448"/>
      <c r="C2" s="624">
        <f>Stammblatt!B11</f>
        <v>0</v>
      </c>
      <c r="D2" s="209" t="str">
        <f>Stammblatt!B33</f>
        <v>A</v>
      </c>
      <c r="E2" s="209" t="str">
        <f>Stammblatt!B34</f>
        <v>B</v>
      </c>
      <c r="F2" s="209" t="str">
        <f>Stammblatt!B35</f>
        <v>C</v>
      </c>
      <c r="G2" s="493" t="s">
        <v>276</v>
      </c>
      <c r="H2" s="213"/>
      <c r="I2" s="493" t="s">
        <v>855</v>
      </c>
      <c r="J2" s="213"/>
      <c r="K2" s="213"/>
      <c r="L2" s="213"/>
      <c r="M2" s="213"/>
      <c r="N2" s="213"/>
      <c r="O2" s="213"/>
      <c r="P2" s="213"/>
      <c r="Q2" s="213"/>
      <c r="R2" s="213"/>
      <c r="S2" s="213"/>
      <c r="T2" s="213"/>
      <c r="U2" s="213"/>
      <c r="V2" s="213"/>
      <c r="W2" s="213"/>
      <c r="X2" s="213"/>
      <c r="Y2" s="213"/>
      <c r="Z2" s="213"/>
      <c r="AA2" s="213"/>
      <c r="AB2" s="213"/>
      <c r="AC2" s="213"/>
      <c r="AD2" s="213"/>
      <c r="AE2" s="213"/>
      <c r="AF2" s="213"/>
      <c r="AG2" s="213"/>
      <c r="AH2" s="213"/>
      <c r="AI2" s="213"/>
      <c r="AJ2" s="213"/>
      <c r="AK2" s="213"/>
      <c r="AL2" s="213"/>
      <c r="AM2" s="213"/>
      <c r="AN2" s="213"/>
      <c r="AO2" s="213"/>
      <c r="AP2" s="213"/>
      <c r="AQ2" s="213"/>
      <c r="AR2" s="213"/>
      <c r="AS2" s="213"/>
      <c r="AT2" s="213"/>
      <c r="AU2" s="213"/>
      <c r="AV2" s="213"/>
      <c r="AW2" s="213"/>
      <c r="AX2" s="213"/>
      <c r="AY2" s="213"/>
      <c r="AZ2" s="213"/>
    </row>
    <row r="3" spans="1:52" x14ac:dyDescent="0.2">
      <c r="A3" s="211" t="s">
        <v>0</v>
      </c>
      <c r="B3" s="212" t="s">
        <v>1</v>
      </c>
      <c r="C3" s="620">
        <f>IF(Zusammenfassung!D5=0,0,Zusammenfassung!D5/'CONTROLLING-DATA'!$C$15)</f>
        <v>0</v>
      </c>
      <c r="D3" s="620">
        <f>IF(Zusammenfassung!V5=0,0,Zusammenfassung!V5/'CONTROLLING-DATA'!$D$15)</f>
        <v>0</v>
      </c>
      <c r="E3" s="620">
        <f>IF(Zusammenfassung!Z5=0,0,Zusammenfassung!Z5/'CONTROLLING-DATA'!$E$15)</f>
        <v>0</v>
      </c>
      <c r="F3" s="620">
        <f>IF(Zusammenfassung!AD5=0,0,Zusammenfassung!AD5/'CONTROLLING-DATA'!$F$15)</f>
        <v>0</v>
      </c>
      <c r="G3" s="620">
        <f>IF(Zusammenfassung!AI5=0,0,Zusammenfassung!AI5/'CONTROLLING-DATA'!$G$15)</f>
        <v>0</v>
      </c>
      <c r="H3" s="213"/>
      <c r="I3" s="622">
        <v>3.5000000000000003E-2</v>
      </c>
      <c r="J3" s="213"/>
      <c r="K3" s="213"/>
      <c r="L3" s="213"/>
      <c r="M3" s="213"/>
      <c r="N3" s="213"/>
      <c r="O3" s="213"/>
      <c r="P3" s="213"/>
      <c r="Q3" s="213"/>
      <c r="R3" s="213"/>
      <c r="S3" s="213"/>
      <c r="T3" s="213"/>
      <c r="U3" s="213"/>
      <c r="V3" s="21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row>
    <row r="4" spans="1:52" x14ac:dyDescent="0.2">
      <c r="A4" s="211" t="s">
        <v>2</v>
      </c>
      <c r="B4" s="214" t="s">
        <v>3</v>
      </c>
      <c r="C4" s="620">
        <f>IF(Zusammenfassung!D6=0,0,Zusammenfassung!D6/'CONTROLLING-DATA'!$C$15)</f>
        <v>0</v>
      </c>
      <c r="D4" s="620">
        <f>IF(Zusammenfassung!V6=0,0,Zusammenfassung!V6/'CONTROLLING-DATA'!$D$15)</f>
        <v>0</v>
      </c>
      <c r="E4" s="620">
        <f>IF(Zusammenfassung!Z6=0,0,Zusammenfassung!Z6/'CONTROLLING-DATA'!$E$15)</f>
        <v>0</v>
      </c>
      <c r="F4" s="620">
        <f>IF(Zusammenfassung!AD6=0,0,Zusammenfassung!AD6/'CONTROLLING-DATA'!$F$15)</f>
        <v>0</v>
      </c>
      <c r="G4" s="620">
        <f>IF(Zusammenfassung!AI6=0,0,Zusammenfassung!AI6/'CONTROLLING-DATA'!$G$15)</f>
        <v>0</v>
      </c>
      <c r="H4" s="213"/>
      <c r="I4" s="622">
        <v>0.05</v>
      </c>
      <c r="J4" s="213"/>
      <c r="K4" s="213"/>
      <c r="L4" s="213"/>
      <c r="M4" s="213"/>
      <c r="N4" s="213"/>
      <c r="O4" s="213"/>
      <c r="P4" s="213"/>
      <c r="Q4" s="213"/>
      <c r="R4" s="213"/>
      <c r="S4" s="213"/>
      <c r="T4" s="213"/>
      <c r="U4" s="213"/>
      <c r="V4" s="213"/>
      <c r="W4" s="213"/>
      <c r="X4" s="213"/>
      <c r="Y4" s="213"/>
      <c r="Z4" s="213"/>
      <c r="AA4" s="213"/>
      <c r="AB4" s="213"/>
      <c r="AC4" s="213"/>
      <c r="AD4" s="213"/>
      <c r="AE4" s="213"/>
      <c r="AF4" s="213"/>
      <c r="AG4" s="213"/>
      <c r="AH4" s="213"/>
      <c r="AI4" s="213"/>
      <c r="AJ4" s="213"/>
      <c r="AK4" s="213"/>
      <c r="AL4" s="213"/>
      <c r="AM4" s="213"/>
      <c r="AN4" s="213"/>
      <c r="AO4" s="213"/>
      <c r="AP4" s="213"/>
      <c r="AQ4" s="213"/>
      <c r="AR4" s="213"/>
      <c r="AS4" s="213"/>
      <c r="AT4" s="213"/>
      <c r="AU4" s="213"/>
      <c r="AV4" s="213"/>
      <c r="AW4" s="213"/>
      <c r="AX4" s="213"/>
      <c r="AY4" s="213"/>
      <c r="AZ4" s="213"/>
    </row>
    <row r="5" spans="1:52" x14ac:dyDescent="0.2">
      <c r="A5" s="211" t="s">
        <v>4</v>
      </c>
      <c r="B5" s="214" t="s">
        <v>5</v>
      </c>
      <c r="C5" s="620">
        <f ca="1">IF(Zusammenfassung!D7=0,0,Zusammenfassung!D7/'CONTROLLING-DATA'!$C$15)</f>
        <v>0</v>
      </c>
      <c r="D5" s="620">
        <f>IF(Zusammenfassung!V7=0,0,Zusammenfassung!V7/'CONTROLLING-DATA'!$D$15)</f>
        <v>0</v>
      </c>
      <c r="E5" s="620">
        <f>IF(Zusammenfassung!Z7=0,0,Zusammenfassung!Z7/'CONTROLLING-DATA'!$E$15)</f>
        <v>0</v>
      </c>
      <c r="F5" s="620">
        <f>IF(Zusammenfassung!AD7=0,0,Zusammenfassung!AD7/'CONTROLLING-DATA'!$F$15)</f>
        <v>0</v>
      </c>
      <c r="G5" s="620">
        <f ca="1">IF(Zusammenfassung!AI7=0,0,Zusammenfassung!AI7/'CONTROLLING-DATA'!$G$15)</f>
        <v>0</v>
      </c>
      <c r="H5" s="213"/>
      <c r="I5" s="622">
        <v>0.55000000000000004</v>
      </c>
      <c r="J5" s="213"/>
      <c r="K5" s="213"/>
      <c r="L5" s="213"/>
      <c r="M5" s="213"/>
      <c r="N5" s="213"/>
      <c r="O5" s="213"/>
      <c r="P5" s="213"/>
      <c r="Q5" s="213"/>
      <c r="R5" s="213"/>
      <c r="S5" s="213"/>
      <c r="T5" s="213"/>
      <c r="U5" s="213"/>
      <c r="V5" s="213"/>
      <c r="W5" s="213"/>
      <c r="X5" s="213"/>
      <c r="Y5" s="213"/>
      <c r="Z5" s="213"/>
      <c r="AA5" s="213"/>
      <c r="AB5" s="213"/>
      <c r="AC5" s="213"/>
      <c r="AD5" s="213"/>
      <c r="AE5" s="213"/>
      <c r="AF5" s="213"/>
      <c r="AG5" s="213"/>
      <c r="AH5" s="213"/>
      <c r="AI5" s="213"/>
      <c r="AJ5" s="213"/>
      <c r="AK5" s="213"/>
      <c r="AL5" s="213"/>
      <c r="AM5" s="213"/>
      <c r="AN5" s="213"/>
      <c r="AO5" s="213"/>
      <c r="AP5" s="213"/>
      <c r="AQ5" s="213"/>
      <c r="AR5" s="213"/>
      <c r="AS5" s="213"/>
      <c r="AT5" s="213"/>
      <c r="AU5" s="213"/>
      <c r="AV5" s="213"/>
      <c r="AW5" s="213"/>
      <c r="AX5" s="213"/>
      <c r="AY5" s="213"/>
      <c r="AZ5" s="213"/>
    </row>
    <row r="6" spans="1:52" x14ac:dyDescent="0.2">
      <c r="A6" s="211" t="s">
        <v>6</v>
      </c>
      <c r="B6" s="214" t="s">
        <v>7</v>
      </c>
      <c r="C6" s="620">
        <f>IF(Zusammenfassung!D8=0,0,Zusammenfassung!D8/'CONTROLLING-DATA'!$C$15)</f>
        <v>0</v>
      </c>
      <c r="D6" s="620">
        <f>IF(Zusammenfassung!V8=0,0,Zusammenfassung!V8/'CONTROLLING-DATA'!$D$15)</f>
        <v>0</v>
      </c>
      <c r="E6" s="620">
        <f>IF(Zusammenfassung!Z8=0,0,Zusammenfassung!Z8/'CONTROLLING-DATA'!$E$15)</f>
        <v>0</v>
      </c>
      <c r="F6" s="620">
        <f>IF(Zusammenfassung!AD8=0,0,Zusammenfassung!AD8/'CONTROLLING-DATA'!$F$15)</f>
        <v>0</v>
      </c>
      <c r="G6" s="620">
        <f>IF(Zusammenfassung!AI8=0,0,Zusammenfassung!AI8/'CONTROLLING-DATA'!$G$15)</f>
        <v>0</v>
      </c>
      <c r="H6" s="213"/>
      <c r="I6" s="622">
        <v>4.4999999999999998E-2</v>
      </c>
      <c r="J6" s="213"/>
      <c r="K6" s="213"/>
      <c r="L6" s="213"/>
      <c r="M6" s="213"/>
      <c r="N6" s="213"/>
      <c r="O6" s="213"/>
      <c r="P6" s="213"/>
      <c r="Q6" s="213"/>
      <c r="R6" s="213"/>
      <c r="S6" s="213"/>
      <c r="T6" s="213"/>
      <c r="U6" s="213"/>
      <c r="V6" s="213"/>
      <c r="W6" s="213"/>
      <c r="X6" s="213"/>
      <c r="Y6" s="213"/>
      <c r="Z6" s="213"/>
      <c r="AA6" s="213"/>
      <c r="AB6" s="213"/>
      <c r="AC6" s="213"/>
      <c r="AD6" s="213"/>
      <c r="AE6" s="213"/>
      <c r="AF6" s="213"/>
      <c r="AG6" s="213"/>
      <c r="AH6" s="213"/>
      <c r="AI6" s="213"/>
      <c r="AJ6" s="213"/>
      <c r="AK6" s="213"/>
      <c r="AL6" s="213"/>
      <c r="AM6" s="213"/>
      <c r="AN6" s="213"/>
      <c r="AO6" s="213"/>
      <c r="AP6" s="213"/>
      <c r="AQ6" s="213"/>
      <c r="AR6" s="213"/>
      <c r="AS6" s="213"/>
      <c r="AT6" s="213"/>
      <c r="AU6" s="213"/>
      <c r="AV6" s="213"/>
      <c r="AW6" s="213"/>
      <c r="AX6" s="213"/>
      <c r="AY6" s="213"/>
      <c r="AZ6" s="213"/>
    </row>
    <row r="7" spans="1:52" x14ac:dyDescent="0.2">
      <c r="A7" s="211" t="s">
        <v>8</v>
      </c>
      <c r="B7" s="214" t="s">
        <v>754</v>
      </c>
      <c r="C7" s="620">
        <f>IF(Zusammenfassung!D9=0,0,Zusammenfassung!D9/'CONTROLLING-DATA'!$C$15)</f>
        <v>0</v>
      </c>
      <c r="D7" s="620">
        <f>IF(Zusammenfassung!V9=0,0,Zusammenfassung!V9/'CONTROLLING-DATA'!$D$15)</f>
        <v>0</v>
      </c>
      <c r="E7" s="620">
        <f>IF(Zusammenfassung!Z9=0,0,Zusammenfassung!Z9/'CONTROLLING-DATA'!$E$15)</f>
        <v>0</v>
      </c>
      <c r="F7" s="620">
        <f>IF(Zusammenfassung!AD9=0,0,Zusammenfassung!AD9/'CONTROLLING-DATA'!$F$15)</f>
        <v>0</v>
      </c>
      <c r="G7" s="620">
        <f>IF(Zusammenfassung!AI9=0,0,Zusammenfassung!AI9/'CONTROLLING-DATA'!$G$15)</f>
        <v>0</v>
      </c>
      <c r="H7" s="213"/>
      <c r="I7" s="622">
        <v>0.05</v>
      </c>
      <c r="J7" s="213"/>
      <c r="K7" s="213"/>
      <c r="L7" s="213"/>
      <c r="M7" s="213"/>
      <c r="N7" s="213"/>
      <c r="O7" s="213"/>
      <c r="P7" s="213"/>
      <c r="Q7" s="213"/>
      <c r="R7" s="213"/>
      <c r="S7" s="213"/>
      <c r="T7" s="213"/>
      <c r="U7" s="213"/>
      <c r="V7" s="213"/>
      <c r="W7" s="213"/>
      <c r="X7" s="213"/>
      <c r="Y7" s="213"/>
      <c r="Z7" s="213"/>
      <c r="AA7" s="213"/>
      <c r="AB7" s="213"/>
      <c r="AC7" s="213"/>
      <c r="AD7" s="213"/>
      <c r="AE7" s="213"/>
      <c r="AF7" s="213"/>
      <c r="AG7" s="213"/>
      <c r="AH7" s="213"/>
      <c r="AI7" s="213"/>
      <c r="AJ7" s="213"/>
      <c r="AK7" s="213"/>
      <c r="AL7" s="213"/>
      <c r="AM7" s="213"/>
      <c r="AN7" s="213"/>
      <c r="AO7" s="213"/>
      <c r="AP7" s="213"/>
      <c r="AQ7" s="213"/>
      <c r="AR7" s="213"/>
      <c r="AS7" s="213"/>
      <c r="AT7" s="213"/>
      <c r="AU7" s="213"/>
      <c r="AV7" s="213"/>
      <c r="AW7" s="213"/>
      <c r="AX7" s="213"/>
      <c r="AY7" s="213"/>
      <c r="AZ7" s="213"/>
    </row>
    <row r="8" spans="1:52" x14ac:dyDescent="0.2">
      <c r="A8" s="211" t="s">
        <v>9</v>
      </c>
      <c r="B8" s="214" t="s">
        <v>10</v>
      </c>
      <c r="C8" s="620">
        <f>IF(Zusammenfassung!D10=0,0,Zusammenfassung!D10/'CONTROLLING-DATA'!$C$15)</f>
        <v>0</v>
      </c>
      <c r="D8" s="620">
        <f>IF(Zusammenfassung!V10=0,0,Zusammenfassung!V10/'CONTROLLING-DATA'!$D$15)</f>
        <v>0</v>
      </c>
      <c r="E8" s="620">
        <f>IF(Zusammenfassung!Z10=0,0,Zusammenfassung!Z10/'CONTROLLING-DATA'!$E$15)</f>
        <v>0</v>
      </c>
      <c r="F8" s="620">
        <f>IF(Zusammenfassung!AD10=0,0,Zusammenfassung!AD10/'CONTROLLING-DATA'!$F$15)</f>
        <v>0</v>
      </c>
      <c r="G8" s="620">
        <f>IF(Zusammenfassung!AI10=0,0,Zusammenfassung!AI10/'CONTROLLING-DATA'!$G$15)</f>
        <v>0</v>
      </c>
      <c r="H8" s="213"/>
      <c r="I8" s="622">
        <v>0.05</v>
      </c>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3"/>
      <c r="AI8" s="213"/>
      <c r="AJ8" s="213"/>
      <c r="AK8" s="213"/>
      <c r="AL8" s="213"/>
      <c r="AM8" s="213"/>
      <c r="AN8" s="213"/>
      <c r="AO8" s="213"/>
      <c r="AP8" s="213"/>
      <c r="AQ8" s="213"/>
      <c r="AR8" s="213"/>
      <c r="AS8" s="213"/>
      <c r="AT8" s="213"/>
      <c r="AU8" s="213"/>
      <c r="AV8" s="213"/>
      <c r="AW8" s="213"/>
      <c r="AX8" s="213"/>
      <c r="AY8" s="213"/>
      <c r="AZ8" s="213"/>
    </row>
    <row r="9" spans="1:52" x14ac:dyDescent="0.2">
      <c r="A9" s="211" t="s">
        <v>11</v>
      </c>
      <c r="B9" s="214" t="s">
        <v>12</v>
      </c>
      <c r="C9" s="620">
        <f>IF(Zusammenfassung!D11=0,0,Zusammenfassung!D11/'CONTROLLING-DATA'!$C$15)</f>
        <v>0</v>
      </c>
      <c r="D9" s="620">
        <f>IF(Zusammenfassung!V11=0,0,Zusammenfassung!V11/'CONTROLLING-DATA'!$D$15)</f>
        <v>0</v>
      </c>
      <c r="E9" s="620">
        <f>IF(Zusammenfassung!Z11=0,0,Zusammenfassung!Z11/'CONTROLLING-DATA'!$E$15)</f>
        <v>0</v>
      </c>
      <c r="F9" s="620">
        <f>IF(Zusammenfassung!AD11=0,0,Zusammenfassung!AD11/'CONTROLLING-DATA'!$F$15)</f>
        <v>0</v>
      </c>
      <c r="G9" s="620">
        <f>IF(Zusammenfassung!AI11=0,0,Zusammenfassung!AI11/'CONTROLLING-DATA'!$G$15)</f>
        <v>0</v>
      </c>
      <c r="H9" s="213"/>
      <c r="I9" s="622">
        <v>0.05</v>
      </c>
      <c r="J9" s="213"/>
      <c r="K9" s="213"/>
      <c r="L9" s="213"/>
      <c r="M9" s="213"/>
      <c r="N9" s="213"/>
      <c r="O9" s="213"/>
      <c r="P9" s="213"/>
      <c r="Q9" s="213"/>
      <c r="R9" s="213"/>
      <c r="S9" s="213"/>
      <c r="T9" s="213"/>
      <c r="U9" s="213"/>
      <c r="V9" s="213"/>
      <c r="W9" s="213"/>
      <c r="X9" s="213"/>
      <c r="Y9" s="213"/>
      <c r="Z9" s="213"/>
      <c r="AA9" s="213"/>
      <c r="AB9" s="213"/>
      <c r="AC9" s="213"/>
      <c r="AD9" s="213"/>
      <c r="AE9" s="213"/>
      <c r="AF9" s="213"/>
      <c r="AG9" s="213"/>
      <c r="AH9" s="213"/>
      <c r="AI9" s="213"/>
      <c r="AJ9" s="213"/>
      <c r="AK9" s="213"/>
      <c r="AL9" s="213"/>
      <c r="AM9" s="213"/>
      <c r="AN9" s="213"/>
      <c r="AO9" s="213"/>
      <c r="AP9" s="213"/>
      <c r="AQ9" s="213"/>
      <c r="AR9" s="213"/>
      <c r="AS9" s="213"/>
      <c r="AT9" s="213"/>
      <c r="AU9" s="213"/>
      <c r="AV9" s="213"/>
      <c r="AW9" s="213"/>
      <c r="AX9" s="213"/>
      <c r="AY9" s="213"/>
      <c r="AZ9" s="213"/>
    </row>
    <row r="10" spans="1:52" x14ac:dyDescent="0.2">
      <c r="A10" s="211" t="s">
        <v>13</v>
      </c>
      <c r="B10" s="214" t="s">
        <v>14</v>
      </c>
      <c r="C10" s="620">
        <f>IF(Zusammenfassung!D12=0,0,Zusammenfassung!D12/'CONTROLLING-DATA'!$C$15)</f>
        <v>0</v>
      </c>
      <c r="D10" s="620">
        <f>IF(Zusammenfassung!V12=0,0,Zusammenfassung!V12/'CONTROLLING-DATA'!$D$15)</f>
        <v>0</v>
      </c>
      <c r="E10" s="620">
        <f>IF(Zusammenfassung!Z12=0,0,Zusammenfassung!Z12/'CONTROLLING-DATA'!$E$15)</f>
        <v>0</v>
      </c>
      <c r="F10" s="620">
        <f>IF(Zusammenfassung!AD12=0,0,Zusammenfassung!AD12/'CONTROLLING-DATA'!$F$15)</f>
        <v>0</v>
      </c>
      <c r="G10" s="620">
        <f>IF(Zusammenfassung!AI12=0,0,Zusammenfassung!AI12/'CONTROLLING-DATA'!$G$15)</f>
        <v>0</v>
      </c>
      <c r="H10" s="213"/>
      <c r="I10" s="622">
        <v>0.05</v>
      </c>
      <c r="J10" s="213"/>
      <c r="K10" s="213"/>
      <c r="L10" s="213"/>
      <c r="M10" s="213"/>
      <c r="N10" s="213"/>
      <c r="O10" s="213"/>
      <c r="P10" s="213"/>
      <c r="Q10" s="213"/>
      <c r="R10" s="213"/>
      <c r="S10" s="213"/>
      <c r="T10" s="213"/>
      <c r="U10" s="213"/>
      <c r="V10" s="213"/>
      <c r="W10" s="213"/>
      <c r="X10" s="213"/>
      <c r="Y10" s="213"/>
      <c r="Z10" s="213"/>
      <c r="AA10" s="213"/>
      <c r="AB10" s="213"/>
      <c r="AC10" s="213"/>
      <c r="AD10" s="213"/>
      <c r="AE10" s="213"/>
      <c r="AF10" s="213"/>
      <c r="AG10" s="213"/>
      <c r="AH10" s="213"/>
      <c r="AI10" s="213"/>
      <c r="AJ10" s="213"/>
      <c r="AK10" s="213"/>
      <c r="AL10" s="213"/>
      <c r="AM10" s="213"/>
      <c r="AN10" s="213"/>
      <c r="AO10" s="213"/>
      <c r="AP10" s="213"/>
      <c r="AQ10" s="213"/>
      <c r="AR10" s="213"/>
      <c r="AS10" s="213"/>
      <c r="AT10" s="213"/>
      <c r="AU10" s="213"/>
      <c r="AV10" s="213"/>
      <c r="AW10" s="213"/>
      <c r="AX10" s="213"/>
      <c r="AY10" s="213"/>
      <c r="AZ10" s="213"/>
    </row>
    <row r="11" spans="1:52" x14ac:dyDescent="0.2">
      <c r="A11" s="211" t="s">
        <v>15</v>
      </c>
      <c r="B11" s="214" t="s">
        <v>16</v>
      </c>
      <c r="C11" s="620">
        <f>IF(Zusammenfassung!D13=0,0,Zusammenfassung!D13/'CONTROLLING-DATA'!$C$15)</f>
        <v>0</v>
      </c>
      <c r="D11" s="620">
        <f>IF(Zusammenfassung!V13=0,0,Zusammenfassung!V13/'CONTROLLING-DATA'!$D$15)</f>
        <v>0</v>
      </c>
      <c r="E11" s="620">
        <f>IF(Zusammenfassung!Z13=0,0,Zusammenfassung!Z13/'CONTROLLING-DATA'!$E$15)</f>
        <v>0</v>
      </c>
      <c r="F11" s="620">
        <f>IF(Zusammenfassung!AD13=0,0,Zusammenfassung!AD13/'CONTROLLING-DATA'!$F$15)</f>
        <v>0</v>
      </c>
      <c r="G11" s="620">
        <f>IF(Zusammenfassung!AI13=0,0,Zusammenfassung!AI13/'CONTROLLING-DATA'!$G$15)</f>
        <v>0</v>
      </c>
      <c r="H11" s="213"/>
      <c r="I11" s="622">
        <v>1.2500000000000001E-2</v>
      </c>
      <c r="J11" s="213"/>
      <c r="K11" s="213"/>
      <c r="L11" s="213"/>
      <c r="M11" s="213"/>
      <c r="N11" s="213"/>
      <c r="O11" s="213"/>
      <c r="P11" s="213"/>
      <c r="Q11" s="213"/>
      <c r="R11" s="213"/>
      <c r="S11" s="213"/>
      <c r="T11" s="213"/>
      <c r="U11" s="213"/>
      <c r="V11" s="213"/>
      <c r="W11" s="213"/>
      <c r="X11" s="213"/>
      <c r="Y11" s="213"/>
      <c r="Z11" s="213"/>
      <c r="AA11" s="213"/>
      <c r="AB11" s="213"/>
      <c r="AC11" s="213"/>
      <c r="AD11" s="213"/>
      <c r="AE11" s="213"/>
      <c r="AF11" s="213"/>
      <c r="AG11" s="213"/>
      <c r="AH11" s="213"/>
      <c r="AI11" s="213"/>
      <c r="AJ11" s="213"/>
      <c r="AK11" s="213"/>
      <c r="AL11" s="213"/>
      <c r="AM11" s="213"/>
      <c r="AN11" s="213"/>
      <c r="AO11" s="213"/>
      <c r="AP11" s="213"/>
      <c r="AQ11" s="213"/>
      <c r="AR11" s="213"/>
      <c r="AS11" s="213"/>
      <c r="AT11" s="213"/>
      <c r="AU11" s="213"/>
      <c r="AV11" s="213"/>
      <c r="AW11" s="213"/>
      <c r="AX11" s="213"/>
      <c r="AY11" s="213"/>
      <c r="AZ11" s="213"/>
    </row>
    <row r="12" spans="1:52" x14ac:dyDescent="0.2">
      <c r="A12" s="211" t="s">
        <v>17</v>
      </c>
      <c r="B12" s="214" t="s">
        <v>18</v>
      </c>
      <c r="C12" s="620">
        <f>IF(Zusammenfassung!D14=0,0,Zusammenfassung!D14/'CONTROLLING-DATA'!$C$15)</f>
        <v>0</v>
      </c>
      <c r="D12" s="620">
        <f>IF(Zusammenfassung!V14=0,0,Zusammenfassung!V14/'CONTROLLING-DATA'!$D$15)</f>
        <v>0</v>
      </c>
      <c r="E12" s="620">
        <f>IF(Zusammenfassung!Z14=0,0,Zusammenfassung!Z14/'CONTROLLING-DATA'!$E$15)</f>
        <v>0</v>
      </c>
      <c r="F12" s="620">
        <f>IF(Zusammenfassung!AD14=0,0,Zusammenfassung!AD14/'CONTROLLING-DATA'!$F$15)</f>
        <v>0</v>
      </c>
      <c r="G12" s="620">
        <f>IF(Zusammenfassung!AI14=0,0,Zusammenfassung!AI14/'CONTROLLING-DATA'!$G$15)</f>
        <v>0</v>
      </c>
      <c r="H12" s="213"/>
      <c r="I12" s="622">
        <v>0.1</v>
      </c>
      <c r="J12" s="213"/>
      <c r="K12" s="213"/>
      <c r="L12" s="213"/>
      <c r="M12" s="213"/>
      <c r="N12" s="213"/>
      <c r="O12" s="213"/>
      <c r="P12" s="213"/>
      <c r="Q12" s="213"/>
      <c r="R12" s="213"/>
      <c r="S12" s="213"/>
      <c r="T12" s="213"/>
      <c r="U12" s="213"/>
      <c r="V12" s="213"/>
      <c r="W12" s="213"/>
      <c r="X12" s="213"/>
      <c r="Y12" s="213"/>
      <c r="Z12" s="213"/>
      <c r="AA12" s="213"/>
      <c r="AB12" s="213"/>
      <c r="AC12" s="213"/>
      <c r="AD12" s="213"/>
      <c r="AE12" s="213"/>
      <c r="AF12" s="213"/>
      <c r="AG12" s="213"/>
      <c r="AH12" s="213"/>
      <c r="AI12" s="213"/>
      <c r="AJ12" s="213"/>
      <c r="AK12" s="213"/>
      <c r="AL12" s="213"/>
      <c r="AM12" s="213"/>
      <c r="AN12" s="213"/>
      <c r="AO12" s="213"/>
      <c r="AP12" s="213"/>
      <c r="AQ12" s="213"/>
      <c r="AR12" s="213"/>
      <c r="AS12" s="213"/>
      <c r="AT12" s="213"/>
      <c r="AU12" s="213"/>
      <c r="AV12" s="213"/>
      <c r="AW12" s="213"/>
      <c r="AX12" s="213"/>
      <c r="AY12" s="213"/>
      <c r="AZ12" s="213"/>
    </row>
    <row r="13" spans="1:52" x14ac:dyDescent="0.2">
      <c r="A13" s="211" t="s">
        <v>19</v>
      </c>
      <c r="B13" s="214" t="s">
        <v>20</v>
      </c>
      <c r="C13" s="620">
        <f>IF(Zusammenfassung!D15=0,0,Zusammenfassung!D15/'CONTROLLING-DATA'!$C$15)</f>
        <v>0</v>
      </c>
      <c r="D13" s="620">
        <f>IF(Zusammenfassung!V15=0,0,Zusammenfassung!V15/'CONTROLLING-DATA'!$D$15)</f>
        <v>0</v>
      </c>
      <c r="E13" s="620">
        <f>IF(Zusammenfassung!Z15=0,0,Zusammenfassung!Z15/'CONTROLLING-DATA'!$E$15)</f>
        <v>0</v>
      </c>
      <c r="F13" s="620">
        <f>IF(Zusammenfassung!AD15=0,0,Zusammenfassung!AD15/'CONTROLLING-DATA'!$F$15)</f>
        <v>0</v>
      </c>
      <c r="G13" s="620">
        <f>IF(Zusammenfassung!AI15=0,0,Zusammenfassung!AI15/'CONTROLLING-DATA'!$G$15)</f>
        <v>0</v>
      </c>
      <c r="H13" s="213"/>
      <c r="I13" s="622">
        <v>7.4999999999999997E-3</v>
      </c>
      <c r="J13" s="213"/>
      <c r="K13" s="213"/>
      <c r="L13" s="213"/>
      <c r="M13" s="213"/>
      <c r="N13" s="213"/>
      <c r="O13" s="213"/>
      <c r="P13" s="213"/>
      <c r="Q13" s="213"/>
      <c r="R13" s="213"/>
      <c r="S13" s="213"/>
      <c r="T13" s="213"/>
      <c r="U13" s="213"/>
      <c r="V13" s="213"/>
      <c r="W13" s="213"/>
      <c r="X13" s="213"/>
      <c r="Y13" s="213"/>
      <c r="Z13" s="213"/>
      <c r="AA13" s="213"/>
      <c r="AB13" s="213"/>
      <c r="AC13" s="213"/>
      <c r="AD13" s="213"/>
      <c r="AE13" s="213"/>
      <c r="AF13" s="213"/>
      <c r="AG13" s="213"/>
      <c r="AH13" s="213"/>
      <c r="AI13" s="213"/>
      <c r="AJ13" s="213"/>
      <c r="AK13" s="213"/>
      <c r="AL13" s="213"/>
      <c r="AM13" s="213"/>
      <c r="AN13" s="213"/>
      <c r="AO13" s="213"/>
      <c r="AP13" s="213"/>
      <c r="AQ13" s="213"/>
      <c r="AR13" s="213"/>
      <c r="AS13" s="213"/>
      <c r="AT13" s="213"/>
      <c r="AU13" s="213"/>
      <c r="AV13" s="213"/>
      <c r="AW13" s="213"/>
      <c r="AX13" s="213"/>
      <c r="AY13" s="213"/>
      <c r="AZ13" s="213"/>
    </row>
    <row r="14" spans="1:52" ht="13.5" thickBot="1" x14ac:dyDescent="0.25">
      <c r="A14" s="211" t="s">
        <v>21</v>
      </c>
      <c r="B14" s="214" t="s">
        <v>22</v>
      </c>
      <c r="C14" s="620">
        <f>IF(Zusammenfassung!D16=0,0,Zusammenfassung!D16/'CONTROLLING-DATA'!$C$15)</f>
        <v>0</v>
      </c>
      <c r="D14" s="620">
        <f>IF(Zusammenfassung!V16=0,0,Zusammenfassung!V16/'CONTROLLING-DATA'!$D$15)</f>
        <v>0</v>
      </c>
      <c r="E14" s="620">
        <f>IF(Zusammenfassung!Z16=0,0,Zusammenfassung!Z16/'CONTROLLING-DATA'!$E$15)</f>
        <v>0</v>
      </c>
      <c r="F14" s="620">
        <f>IF(Zusammenfassung!AD16=0,0,Zusammenfassung!AD16/'CONTROLLING-DATA'!$F$15)</f>
        <v>0</v>
      </c>
      <c r="G14" s="620">
        <f>IF(Zusammenfassung!AI16=0,0,Zusammenfassung!AI16/'CONTROLLING-DATA'!$G$15)</f>
        <v>0</v>
      </c>
      <c r="H14" s="213"/>
      <c r="I14" s="622"/>
      <c r="J14" s="213"/>
      <c r="K14" s="213"/>
      <c r="L14" s="213"/>
      <c r="M14" s="213"/>
      <c r="N14" s="213"/>
      <c r="O14" s="213"/>
      <c r="P14" s="213"/>
      <c r="Q14" s="213"/>
      <c r="R14" s="213"/>
      <c r="S14" s="213"/>
      <c r="T14" s="213"/>
      <c r="U14" s="213"/>
      <c r="V14" s="213"/>
      <c r="W14" s="213"/>
      <c r="X14" s="213"/>
      <c r="Y14" s="213"/>
      <c r="Z14" s="213"/>
      <c r="AA14" s="213"/>
      <c r="AB14" s="213"/>
      <c r="AC14" s="213"/>
      <c r="AD14" s="213"/>
      <c r="AE14" s="213"/>
      <c r="AF14" s="213"/>
      <c r="AG14" s="213"/>
      <c r="AH14" s="213"/>
      <c r="AI14" s="213"/>
      <c r="AJ14" s="213"/>
      <c r="AK14" s="213"/>
      <c r="AL14" s="213"/>
      <c r="AM14" s="213"/>
      <c r="AN14" s="213"/>
      <c r="AO14" s="213"/>
      <c r="AP14" s="213"/>
      <c r="AQ14" s="213"/>
      <c r="AR14" s="213"/>
      <c r="AS14" s="213"/>
      <c r="AT14" s="213"/>
      <c r="AU14" s="213"/>
      <c r="AV14" s="213"/>
      <c r="AW14" s="213"/>
      <c r="AX14" s="213"/>
      <c r="AY14" s="213"/>
      <c r="AZ14" s="213"/>
    </row>
    <row r="15" spans="1:52" ht="13.5" thickBot="1" x14ac:dyDescent="0.25">
      <c r="A15" s="20" t="s">
        <v>23</v>
      </c>
      <c r="B15" s="21" t="s">
        <v>250</v>
      </c>
      <c r="C15" s="110">
        <f ca="1">NFK</f>
        <v>0</v>
      </c>
      <c r="D15" s="110">
        <f>Zusammenfassung!V17</f>
        <v>0</v>
      </c>
      <c r="E15" s="110">
        <f>Zusammenfassung!Z17</f>
        <v>0</v>
      </c>
      <c r="F15" s="110">
        <f>Zusammenfassung!AD17</f>
        <v>0</v>
      </c>
      <c r="G15" s="110">
        <f ca="1">NFK_ges</f>
        <v>0</v>
      </c>
      <c r="H15" s="213"/>
      <c r="I15" s="623">
        <f>SUM(I3:I14)</f>
        <v>1.0000000000000002</v>
      </c>
      <c r="J15" s="213"/>
      <c r="K15" s="213"/>
      <c r="L15" s="213"/>
      <c r="M15" s="213"/>
      <c r="N15" s="213"/>
      <c r="O15" s="213"/>
      <c r="P15" s="213"/>
      <c r="Q15" s="213"/>
      <c r="R15" s="213"/>
      <c r="S15" s="213"/>
      <c r="T15" s="213"/>
      <c r="U15" s="213"/>
      <c r="V15" s="213"/>
      <c r="W15" s="213"/>
      <c r="X15" s="213"/>
      <c r="Y15" s="213"/>
      <c r="Z15" s="213"/>
      <c r="AA15" s="213"/>
      <c r="AB15" s="213"/>
      <c r="AC15" s="213"/>
      <c r="AD15" s="213"/>
      <c r="AE15" s="213"/>
      <c r="AF15" s="213"/>
      <c r="AG15" s="213"/>
      <c r="AH15" s="213"/>
      <c r="AI15" s="213"/>
      <c r="AJ15" s="213"/>
      <c r="AK15" s="213"/>
      <c r="AL15" s="213"/>
      <c r="AM15" s="213"/>
      <c r="AN15" s="213"/>
      <c r="AO15" s="213"/>
      <c r="AP15" s="213"/>
      <c r="AQ15" s="213"/>
      <c r="AR15" s="213"/>
      <c r="AS15" s="213"/>
      <c r="AT15" s="213"/>
      <c r="AU15" s="213"/>
      <c r="AV15" s="213"/>
      <c r="AW15" s="213"/>
      <c r="AX15" s="213"/>
      <c r="AY15" s="213"/>
      <c r="AZ15" s="213"/>
    </row>
    <row r="16" spans="1:52" x14ac:dyDescent="0.2">
      <c r="A16" s="211" t="s">
        <v>24</v>
      </c>
      <c r="B16" s="214" t="s">
        <v>25</v>
      </c>
      <c r="C16" s="620">
        <f ca="1">IF(Zusammenfassung!D18=0,0,Zusammenfassung!D18/'CONTROLLING-DATA'!$C$15)</f>
        <v>0</v>
      </c>
      <c r="D16" s="620">
        <f>IF(Zusammenfassung!V18=0,0,Zusammenfassung!V18/'CONTROLLING-DATA'!$D$15)</f>
        <v>0</v>
      </c>
      <c r="E16" s="620">
        <f>IF(Zusammenfassung!Z18=0,0,Zusammenfassung!Z18/'CONTROLLING-DATA'!$D$15)</f>
        <v>0</v>
      </c>
      <c r="F16" s="620">
        <f>IF(Zusammenfassung!AD18=0,0,Zusammenfassung!AD18/'CONTROLLING-DATA'!$D$15)</f>
        <v>0</v>
      </c>
      <c r="G16" s="620">
        <f ca="1">IF(Zusammenfassung!AI18=0,0,Zusammenfassung!AI18/'CONTROLLING-DATA'!$G$15)</f>
        <v>0</v>
      </c>
      <c r="H16" s="213"/>
      <c r="I16" s="622">
        <v>0.09</v>
      </c>
      <c r="J16" s="213"/>
      <c r="K16" s="213"/>
      <c r="L16" s="213"/>
      <c r="M16" s="213"/>
      <c r="N16" s="213"/>
      <c r="O16" s="213"/>
      <c r="P16" s="213"/>
      <c r="Q16" s="213"/>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3"/>
      <c r="AQ16" s="213"/>
      <c r="AR16" s="213"/>
      <c r="AS16" s="213"/>
      <c r="AT16" s="213"/>
      <c r="AU16" s="213"/>
      <c r="AV16" s="213"/>
      <c r="AW16" s="213"/>
      <c r="AX16" s="213"/>
      <c r="AY16" s="213"/>
      <c r="AZ16" s="213"/>
    </row>
    <row r="17" spans="1:52" x14ac:dyDescent="0.2">
      <c r="A17" s="211" t="s">
        <v>26</v>
      </c>
      <c r="B17" s="214" t="s">
        <v>30</v>
      </c>
      <c r="C17" s="620">
        <f>IF(Zusammenfassung!D19=0,0,Zusammenfassung!D19/'CONTROLLING-DATA'!$C$15)</f>
        <v>0</v>
      </c>
      <c r="D17" s="620">
        <f>IF(Zusammenfassung!V19=0,0,Zusammenfassung!V19/'CONTROLLING-DATA'!$D$15)</f>
        <v>0</v>
      </c>
      <c r="E17" s="620">
        <f>IF(Zusammenfassung!Z19=0,0,Zusammenfassung!Z19/'CONTROLLING-DATA'!$D$15)</f>
        <v>0</v>
      </c>
      <c r="F17" s="620">
        <f>IF(Zusammenfassung!AD19=0,0,Zusammenfassung!AD19/'CONTROLLING-DATA'!$D$15)</f>
        <v>0</v>
      </c>
      <c r="G17" s="620">
        <f>IF(Zusammenfassung!AI19=0,0,Zusammenfassung!AI19/'CONTROLLING-DATA'!$G$15)</f>
        <v>0</v>
      </c>
      <c r="H17" s="213"/>
      <c r="I17" s="622">
        <v>3.5000000000000003E-2</v>
      </c>
      <c r="J17" s="213"/>
      <c r="K17" s="213"/>
      <c r="L17" s="213"/>
      <c r="M17" s="213"/>
      <c r="N17" s="213"/>
      <c r="O17" s="213"/>
      <c r="P17" s="213"/>
      <c r="Q17" s="213"/>
      <c r="R17" s="213"/>
      <c r="S17" s="213"/>
      <c r="T17" s="213"/>
      <c r="U17" s="213"/>
      <c r="V17" s="213"/>
      <c r="W17" s="213"/>
      <c r="X17" s="213"/>
      <c r="Y17" s="213"/>
      <c r="Z17" s="213"/>
      <c r="AA17" s="213"/>
      <c r="AB17" s="213"/>
      <c r="AC17" s="213"/>
      <c r="AD17" s="213"/>
      <c r="AE17" s="213"/>
      <c r="AF17" s="213"/>
      <c r="AG17" s="213"/>
      <c r="AH17" s="213"/>
      <c r="AI17" s="213"/>
      <c r="AJ17" s="213"/>
      <c r="AK17" s="213"/>
      <c r="AL17" s="213"/>
      <c r="AM17" s="213"/>
      <c r="AN17" s="213"/>
      <c r="AO17" s="213"/>
      <c r="AP17" s="213"/>
      <c r="AQ17" s="213"/>
      <c r="AR17" s="213"/>
      <c r="AS17" s="213"/>
      <c r="AT17" s="213"/>
      <c r="AU17" s="213"/>
      <c r="AV17" s="213"/>
      <c r="AW17" s="213"/>
      <c r="AX17" s="213"/>
      <c r="AY17" s="213"/>
      <c r="AZ17" s="213"/>
    </row>
    <row r="18" spans="1:52" x14ac:dyDescent="0.2">
      <c r="A18" s="211" t="s">
        <v>27</v>
      </c>
      <c r="B18" s="214" t="s">
        <v>31</v>
      </c>
      <c r="C18" s="620">
        <f>IF(Zusammenfassung!D20=0,0,Zusammenfassung!D20/'CONTROLLING-DATA'!$C$15)</f>
        <v>0</v>
      </c>
      <c r="D18" s="620">
        <f>IF(Zusammenfassung!V20=0,0,Zusammenfassung!V20/'CONTROLLING-DATA'!$D$15)</f>
        <v>0</v>
      </c>
      <c r="E18" s="620">
        <f>IF(Zusammenfassung!Z20=0,0,Zusammenfassung!Z20/'CONTROLLING-DATA'!$D$15)</f>
        <v>0</v>
      </c>
      <c r="F18" s="620">
        <f>IF(Zusammenfassung!AD20=0,0,Zusammenfassung!AD20/'CONTROLLING-DATA'!$D$15)</f>
        <v>0</v>
      </c>
      <c r="G18" s="620">
        <f>IF(Zusammenfassung!AI20=0,0,Zusammenfassung!AI20/'CONTROLLING-DATA'!$G$15)</f>
        <v>0</v>
      </c>
      <c r="H18" s="213"/>
      <c r="I18" s="622">
        <v>1.4999999999999999E-2</v>
      </c>
      <c r="J18" s="213"/>
      <c r="K18" s="213"/>
      <c r="L18" s="213"/>
      <c r="M18" s="213"/>
      <c r="N18" s="213"/>
      <c r="O18" s="213"/>
      <c r="P18" s="213"/>
      <c r="Q18" s="213"/>
      <c r="R18" s="213"/>
      <c r="S18" s="213"/>
      <c r="T18" s="213"/>
      <c r="U18" s="213"/>
      <c r="V18" s="213"/>
      <c r="W18" s="213"/>
      <c r="X18" s="213"/>
      <c r="Y18" s="213"/>
      <c r="Z18" s="213"/>
      <c r="AA18" s="213"/>
      <c r="AB18" s="213"/>
      <c r="AC18" s="213"/>
      <c r="AD18" s="213"/>
      <c r="AE18" s="213"/>
      <c r="AF18" s="213"/>
      <c r="AG18" s="213"/>
      <c r="AH18" s="213"/>
      <c r="AI18" s="213"/>
      <c r="AJ18" s="213"/>
      <c r="AK18" s="213"/>
      <c r="AL18" s="213"/>
      <c r="AM18" s="213"/>
      <c r="AN18" s="213"/>
      <c r="AO18" s="213"/>
      <c r="AP18" s="213"/>
      <c r="AQ18" s="213"/>
      <c r="AR18" s="213"/>
      <c r="AS18" s="213"/>
      <c r="AT18" s="213"/>
      <c r="AU18" s="213"/>
      <c r="AV18" s="213"/>
      <c r="AW18" s="213"/>
      <c r="AX18" s="213"/>
      <c r="AY18" s="213"/>
      <c r="AZ18" s="213"/>
    </row>
    <row r="19" spans="1:52" x14ac:dyDescent="0.2">
      <c r="A19" s="211" t="s">
        <v>28</v>
      </c>
      <c r="B19" s="214" t="s">
        <v>124</v>
      </c>
      <c r="C19" s="620">
        <f ca="1">IF(Zusammenfassung!D21=0,0,Zusammenfassung!D21/'CONTROLLING-DATA'!$C$15)</f>
        <v>0</v>
      </c>
      <c r="D19" s="620">
        <f>IF(Zusammenfassung!V21=0,0,Zusammenfassung!V21/'CONTROLLING-DATA'!$D$15)</f>
        <v>0</v>
      </c>
      <c r="E19" s="620">
        <f>IF(Zusammenfassung!Z21=0,0,Zusammenfassung!Z21/'CONTROLLING-DATA'!$D$15)</f>
        <v>0</v>
      </c>
      <c r="F19" s="620">
        <f>IF(Zusammenfassung!AD21=0,0,Zusammenfassung!AD21/'CONTROLLING-DATA'!$D$15)</f>
        <v>0</v>
      </c>
      <c r="G19" s="620">
        <f ca="1">IF(Zusammenfassung!AI21=0,0,Zusammenfassung!AI21/'CONTROLLING-DATA'!$G$15)</f>
        <v>0</v>
      </c>
      <c r="H19" s="213"/>
      <c r="I19" s="622">
        <v>0.08</v>
      </c>
      <c r="J19" s="213"/>
      <c r="K19" s="213"/>
      <c r="L19" s="213"/>
      <c r="M19" s="213"/>
      <c r="N19" s="213"/>
      <c r="O19" s="213"/>
      <c r="P19" s="213"/>
      <c r="Q19" s="213"/>
      <c r="R19" s="213"/>
      <c r="S19" s="213"/>
      <c r="T19" s="213"/>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3"/>
    </row>
    <row r="20" spans="1:52" ht="13.5" thickBot="1" x14ac:dyDescent="0.25">
      <c r="A20" s="211" t="s">
        <v>29</v>
      </c>
      <c r="B20" s="496" t="s">
        <v>802</v>
      </c>
      <c r="C20" s="216"/>
      <c r="D20" s="448"/>
      <c r="E20" s="448"/>
      <c r="F20" s="448"/>
      <c r="G20" s="448"/>
      <c r="H20" s="213"/>
      <c r="I20" s="213"/>
      <c r="J20" s="213"/>
      <c r="K20" s="213"/>
      <c r="L20" s="213"/>
      <c r="M20" s="213"/>
      <c r="N20" s="213"/>
      <c r="O20" s="213"/>
      <c r="P20" s="213"/>
      <c r="Q20" s="213"/>
      <c r="R20" s="213"/>
      <c r="S20" s="213"/>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row>
    <row r="21" spans="1:52" ht="13.5" thickBot="1" x14ac:dyDescent="0.25">
      <c r="A21" s="20" t="s">
        <v>759</v>
      </c>
      <c r="B21" s="21" t="s">
        <v>251</v>
      </c>
      <c r="C21" s="110">
        <f ca="1">GHSTK</f>
        <v>0</v>
      </c>
      <c r="D21" s="110">
        <f>GHSTK_A</f>
        <v>0</v>
      </c>
      <c r="E21" s="110">
        <f>GHSTK_B</f>
        <v>0</v>
      </c>
      <c r="F21" s="110">
        <f>GHSTK_C</f>
        <v>0</v>
      </c>
      <c r="G21" s="110">
        <f ca="1">GHSTK_ges</f>
        <v>0</v>
      </c>
      <c r="H21" s="213"/>
      <c r="I21" s="213"/>
      <c r="J21" s="213"/>
      <c r="K21" s="213"/>
      <c r="L21" s="213"/>
      <c r="M21" s="213"/>
      <c r="N21" s="213"/>
      <c r="O21" s="213"/>
      <c r="P21" s="213"/>
      <c r="Q21" s="213"/>
      <c r="R21" s="213"/>
      <c r="S21" s="213"/>
      <c r="T21" s="213"/>
      <c r="U21" s="213"/>
      <c r="V21" s="213"/>
      <c r="W21" s="213"/>
      <c r="X21" s="213"/>
      <c r="Y21" s="213"/>
      <c r="Z21" s="213"/>
      <c r="AA21" s="213"/>
      <c r="AB21" s="213"/>
      <c r="AC21" s="213"/>
      <c r="AD21" s="213"/>
      <c r="AE21" s="213"/>
      <c r="AF21" s="213"/>
      <c r="AG21" s="213"/>
      <c r="AH21" s="213"/>
      <c r="AI21" s="213"/>
      <c r="AJ21" s="213"/>
      <c r="AK21" s="213"/>
      <c r="AL21" s="213"/>
      <c r="AM21" s="213"/>
      <c r="AN21" s="213"/>
      <c r="AO21" s="213"/>
      <c r="AP21" s="213"/>
      <c r="AQ21" s="213"/>
      <c r="AR21" s="213"/>
      <c r="AS21" s="213"/>
      <c r="AT21" s="213"/>
      <c r="AU21" s="213"/>
      <c r="AV21" s="213"/>
      <c r="AW21" s="213"/>
      <c r="AX21" s="213"/>
      <c r="AY21" s="213"/>
      <c r="AZ21" s="213"/>
    </row>
    <row r="22" spans="1:52" x14ac:dyDescent="0.2">
      <c r="A22" s="213"/>
      <c r="B22" s="366"/>
      <c r="C22" s="366"/>
      <c r="D22" s="366"/>
      <c r="E22" s="366"/>
      <c r="F22" s="366"/>
      <c r="G22" s="366"/>
      <c r="H22" s="213"/>
      <c r="I22" s="213"/>
      <c r="J22" s="213"/>
      <c r="K22" s="213"/>
      <c r="L22" s="213"/>
      <c r="M22" s="213"/>
      <c r="N22" s="213"/>
      <c r="O22" s="213"/>
      <c r="P22" s="213"/>
      <c r="Q22" s="213"/>
      <c r="R22" s="213"/>
      <c r="S22" s="213"/>
      <c r="T22" s="213"/>
      <c r="U22" s="213"/>
      <c r="V22" s="213"/>
      <c r="W22" s="213"/>
      <c r="X22" s="213"/>
      <c r="Y22" s="213"/>
      <c r="Z22" s="213"/>
      <c r="AA22" s="213"/>
      <c r="AB22" s="213"/>
      <c r="AC22" s="213"/>
      <c r="AD22" s="213"/>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row>
    <row r="23" spans="1:52" x14ac:dyDescent="0.2">
      <c r="A23" s="213"/>
      <c r="B23" s="366"/>
      <c r="C23" s="366"/>
      <c r="D23" s="366"/>
      <c r="E23" s="366"/>
      <c r="F23" s="366"/>
      <c r="G23" s="366"/>
      <c r="H23" s="213"/>
      <c r="I23" s="213"/>
      <c r="J23" s="213"/>
      <c r="K23" s="213"/>
      <c r="L23" s="213"/>
      <c r="M23" s="213"/>
      <c r="N23" s="213"/>
      <c r="O23" s="213"/>
      <c r="P23" s="213"/>
      <c r="Q23" s="213"/>
      <c r="R23" s="213"/>
      <c r="S23" s="213"/>
      <c r="T23" s="213"/>
      <c r="U23" s="213"/>
      <c r="V23" s="213"/>
      <c r="W23" s="213"/>
      <c r="X23" s="213"/>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row>
    <row r="24" spans="1:52" x14ac:dyDescent="0.2">
      <c r="A24" s="647" t="s">
        <v>856</v>
      </c>
      <c r="B24" s="448"/>
      <c r="C24" s="448"/>
      <c r="D24" s="448"/>
      <c r="E24" s="448"/>
      <c r="F24" s="448"/>
      <c r="G24" s="448"/>
      <c r="H24" s="213"/>
      <c r="I24" s="213"/>
      <c r="J24" s="213"/>
      <c r="K24" s="213"/>
      <c r="L24" s="213"/>
      <c r="M24" s="213"/>
      <c r="N24" s="213"/>
      <c r="O24" s="213"/>
      <c r="P24" s="213"/>
      <c r="Q24" s="213"/>
      <c r="R24" s="213"/>
      <c r="S24" s="213"/>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row>
    <row r="25" spans="1:52" x14ac:dyDescent="0.2">
      <c r="A25" s="213"/>
      <c r="B25" s="448"/>
      <c r="C25" s="448"/>
      <c r="D25" s="448"/>
      <c r="E25" s="448"/>
      <c r="F25" s="448"/>
      <c r="G25" s="448"/>
      <c r="H25" s="213"/>
      <c r="I25" s="213"/>
      <c r="J25" s="213"/>
      <c r="K25" s="213"/>
      <c r="L25" s="213"/>
      <c r="M25" s="213"/>
      <c r="N25" s="213"/>
      <c r="O25" s="213"/>
      <c r="P25" s="213"/>
      <c r="Q25" s="213"/>
      <c r="R25" s="213"/>
      <c r="S25" s="213"/>
      <c r="T25" s="213"/>
      <c r="U25" s="213"/>
      <c r="V25" s="213"/>
      <c r="W25" s="213"/>
      <c r="X25" s="213"/>
      <c r="Y25" s="213"/>
      <c r="Z25" s="213"/>
      <c r="AA25" s="213"/>
      <c r="AB25" s="213"/>
      <c r="AC25" s="213"/>
      <c r="AD25" s="213"/>
      <c r="AE25" s="213"/>
      <c r="AF25" s="213"/>
      <c r="AG25" s="213"/>
      <c r="AH25" s="213"/>
      <c r="AI25" s="213"/>
      <c r="AJ25" s="213"/>
      <c r="AK25" s="213"/>
      <c r="AL25" s="213"/>
      <c r="AM25" s="213"/>
      <c r="AN25" s="213"/>
      <c r="AO25" s="213"/>
      <c r="AP25" s="213"/>
      <c r="AQ25" s="213"/>
      <c r="AR25" s="213"/>
      <c r="AS25" s="213"/>
      <c r="AT25" s="213"/>
      <c r="AU25" s="213"/>
      <c r="AV25" s="213"/>
      <c r="AW25" s="213"/>
      <c r="AX25" s="213"/>
      <c r="AY25" s="213"/>
      <c r="AZ25" s="213"/>
    </row>
    <row r="26" spans="1:52" x14ac:dyDescent="0.2">
      <c r="A26" s="626" t="s">
        <v>4</v>
      </c>
      <c r="B26" s="218" t="s">
        <v>5</v>
      </c>
      <c r="C26" s="627">
        <f ca="1">Zusammenfassung!D7</f>
        <v>0</v>
      </c>
      <c r="D26" s="448"/>
      <c r="E26" s="448"/>
      <c r="F26" s="448"/>
      <c r="G26" s="448"/>
      <c r="H26" s="213"/>
      <c r="I26" s="213"/>
      <c r="J26" s="213"/>
      <c r="K26" s="213"/>
      <c r="L26" s="213"/>
      <c r="M26" s="213"/>
      <c r="N26" s="213"/>
      <c r="O26" s="213"/>
      <c r="P26" s="213"/>
      <c r="Q26" s="213"/>
      <c r="R26" s="213"/>
      <c r="S26" s="213"/>
      <c r="T26" s="213"/>
      <c r="U26" s="213"/>
      <c r="V26" s="213"/>
      <c r="W26" s="213"/>
      <c r="X26" s="213"/>
      <c r="Y26" s="213"/>
      <c r="Z26" s="213"/>
      <c r="AA26" s="213"/>
      <c r="AB26" s="213"/>
      <c r="AC26" s="213"/>
      <c r="AD26" s="213"/>
      <c r="AE26" s="213"/>
      <c r="AF26" s="213"/>
      <c r="AG26" s="213"/>
      <c r="AH26" s="213"/>
      <c r="AI26" s="213"/>
      <c r="AJ26" s="213"/>
      <c r="AK26" s="213"/>
      <c r="AL26" s="213"/>
      <c r="AM26" s="213"/>
      <c r="AN26" s="213"/>
      <c r="AO26" s="213"/>
      <c r="AP26" s="213"/>
      <c r="AQ26" s="213"/>
      <c r="AR26" s="213"/>
      <c r="AS26" s="213"/>
      <c r="AT26" s="213"/>
      <c r="AU26" s="213"/>
      <c r="AV26" s="213"/>
      <c r="AW26" s="213"/>
      <c r="AX26" s="213"/>
      <c r="AY26" s="213"/>
      <c r="AZ26" s="213"/>
    </row>
    <row r="27" spans="1:52" x14ac:dyDescent="0.2">
      <c r="A27" s="213"/>
      <c r="B27" s="218"/>
      <c r="C27" s="627"/>
      <c r="D27" s="448"/>
      <c r="E27" s="448"/>
      <c r="F27" s="448"/>
      <c r="G27" s="448"/>
      <c r="H27" s="213"/>
      <c r="I27" s="213"/>
      <c r="J27" s="213"/>
      <c r="K27" s="213"/>
      <c r="L27" s="213"/>
      <c r="M27" s="213"/>
      <c r="N27" s="213"/>
      <c r="O27" s="213"/>
      <c r="P27" s="213"/>
      <c r="Q27" s="213"/>
      <c r="R27" s="213"/>
      <c r="S27" s="213"/>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row>
    <row r="28" spans="1:52" x14ac:dyDescent="0.2">
      <c r="A28" s="213"/>
      <c r="B28" s="366" t="s">
        <v>857</v>
      </c>
      <c r="C28" s="213">
        <f>SUM('Kalkulation Herstellungskosten'!F32:F53)</f>
        <v>0</v>
      </c>
      <c r="D28" s="620">
        <f ca="1">IF($C$26=0,0,C28/$C$26)</f>
        <v>0</v>
      </c>
      <c r="E28" s="448"/>
      <c r="F28" s="448"/>
      <c r="G28" s="448"/>
      <c r="H28" s="213"/>
      <c r="I28" s="213"/>
      <c r="J28" s="213"/>
      <c r="K28" s="213"/>
      <c r="L28" s="213"/>
      <c r="M28" s="213"/>
      <c r="N28" s="213"/>
      <c r="O28" s="213"/>
      <c r="P28" s="213"/>
      <c r="Q28" s="213"/>
      <c r="R28" s="213"/>
      <c r="S28" s="213"/>
      <c r="T28" s="213"/>
      <c r="U28" s="213"/>
      <c r="V28" s="213"/>
      <c r="W28" s="213"/>
      <c r="X28" s="213"/>
      <c r="Y28" s="213"/>
      <c r="Z28" s="213"/>
      <c r="AA28" s="213"/>
      <c r="AB28" s="213"/>
      <c r="AC28" s="213"/>
      <c r="AD28" s="213"/>
      <c r="AE28" s="213"/>
      <c r="AF28" s="213"/>
      <c r="AG28" s="213"/>
      <c r="AH28" s="213"/>
      <c r="AI28" s="213"/>
      <c r="AJ28" s="213"/>
      <c r="AK28" s="213"/>
      <c r="AL28" s="213"/>
      <c r="AM28" s="213"/>
      <c r="AN28" s="213"/>
      <c r="AO28" s="213"/>
      <c r="AP28" s="213"/>
      <c r="AQ28" s="213"/>
      <c r="AR28" s="213"/>
      <c r="AS28" s="213"/>
      <c r="AT28" s="213"/>
      <c r="AU28" s="213"/>
      <c r="AV28" s="213"/>
      <c r="AW28" s="213"/>
      <c r="AX28" s="213"/>
      <c r="AY28" s="213"/>
      <c r="AZ28" s="213"/>
    </row>
    <row r="29" spans="1:52" x14ac:dyDescent="0.2">
      <c r="A29" s="213"/>
      <c r="B29" s="366" t="s">
        <v>858</v>
      </c>
      <c r="C29" s="213">
        <f>SUM('Kalkulation Herstellungskosten'!F55:F99)</f>
        <v>0</v>
      </c>
      <c r="D29" s="620">
        <f ca="1">IF($C$26=0,0,C29/$C$26)</f>
        <v>0</v>
      </c>
      <c r="E29" s="448"/>
      <c r="F29" s="448"/>
      <c r="G29" s="448"/>
      <c r="H29" s="213"/>
      <c r="I29" s="213"/>
      <c r="J29" s="213"/>
      <c r="K29" s="213"/>
      <c r="L29" s="213"/>
      <c r="M29" s="213"/>
      <c r="N29" s="213"/>
      <c r="O29" s="213"/>
      <c r="P29" s="213"/>
      <c r="Q29" s="213"/>
      <c r="R29" s="213"/>
      <c r="S29" s="213"/>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13"/>
      <c r="AX29" s="213"/>
      <c r="AY29" s="213"/>
      <c r="AZ29" s="213"/>
    </row>
    <row r="30" spans="1:52" x14ac:dyDescent="0.2">
      <c r="A30" s="213"/>
      <c r="B30" s="366" t="s">
        <v>859</v>
      </c>
      <c r="C30" s="213">
        <f>SUM('Kalkulation Herstellungskosten'!F100:F141)</f>
        <v>0</v>
      </c>
      <c r="D30" s="620">
        <f t="shared" ref="D30:D41" ca="1" si="0">IF($C$26=0,0,C30/$C$26)</f>
        <v>0</v>
      </c>
      <c r="E30" s="448"/>
      <c r="F30" s="448"/>
      <c r="G30" s="448"/>
      <c r="H30" s="213"/>
      <c r="I30" s="213"/>
      <c r="J30" s="213"/>
      <c r="K30" s="213"/>
      <c r="L30" s="213"/>
      <c r="M30" s="213"/>
      <c r="N30" s="213"/>
      <c r="O30" s="213"/>
      <c r="P30" s="213"/>
      <c r="Q30" s="213"/>
      <c r="R30" s="213"/>
      <c r="S30" s="213"/>
      <c r="T30" s="213"/>
      <c r="U30" s="213"/>
      <c r="V30" s="213"/>
      <c r="W30" s="213"/>
      <c r="X30" s="213"/>
      <c r="Y30" s="213"/>
      <c r="Z30" s="213"/>
      <c r="AA30" s="213"/>
      <c r="AB30" s="213"/>
      <c r="AC30" s="213"/>
      <c r="AD30" s="213"/>
      <c r="AE30" s="213"/>
      <c r="AF30" s="213"/>
      <c r="AG30" s="213"/>
      <c r="AH30" s="213"/>
      <c r="AI30" s="213"/>
      <c r="AJ30" s="213"/>
      <c r="AK30" s="213"/>
      <c r="AL30" s="213"/>
      <c r="AM30" s="213"/>
      <c r="AN30" s="213"/>
      <c r="AO30" s="213"/>
      <c r="AP30" s="213"/>
      <c r="AQ30" s="213"/>
      <c r="AR30" s="213"/>
      <c r="AS30" s="213"/>
      <c r="AT30" s="213"/>
      <c r="AU30" s="213"/>
      <c r="AV30" s="213"/>
      <c r="AW30" s="213"/>
      <c r="AX30" s="213"/>
      <c r="AY30" s="213"/>
      <c r="AZ30" s="213"/>
    </row>
    <row r="31" spans="1:52" x14ac:dyDescent="0.2">
      <c r="A31" s="213"/>
      <c r="B31" s="366" t="s">
        <v>860</v>
      </c>
      <c r="C31" s="213">
        <f>SUM('Kalkulation Herstellungskosten'!F144:F167,'Kalkulation Herstellungskosten'!F171:F241)</f>
        <v>0</v>
      </c>
      <c r="D31" s="620">
        <f t="shared" ca="1" si="0"/>
        <v>0</v>
      </c>
      <c r="E31" s="448"/>
      <c r="F31" s="448"/>
      <c r="G31" s="448"/>
      <c r="H31" s="213"/>
      <c r="I31" s="213"/>
      <c r="J31" s="213"/>
      <c r="K31" s="213"/>
      <c r="L31" s="213"/>
      <c r="M31" s="213"/>
      <c r="N31" s="213"/>
      <c r="O31" s="213"/>
      <c r="P31" s="213"/>
      <c r="Q31" s="213"/>
      <c r="R31" s="213"/>
      <c r="S31" s="213"/>
      <c r="T31" s="213"/>
      <c r="U31" s="213"/>
      <c r="V31" s="213"/>
      <c r="W31" s="213"/>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row>
    <row r="32" spans="1:52" x14ac:dyDescent="0.2">
      <c r="A32" s="213"/>
      <c r="B32" s="366"/>
      <c r="C32" s="213"/>
      <c r="D32" s="448"/>
      <c r="E32" s="448"/>
      <c r="F32" s="448"/>
      <c r="G32" s="448"/>
      <c r="H32" s="213"/>
      <c r="I32" s="213"/>
      <c r="J32" s="213"/>
      <c r="K32" s="213"/>
      <c r="L32" s="213"/>
      <c r="M32" s="213"/>
      <c r="N32" s="213"/>
      <c r="O32" s="213"/>
      <c r="P32" s="213"/>
      <c r="Q32" s="213"/>
      <c r="R32" s="213"/>
      <c r="S32" s="213"/>
      <c r="T32" s="213"/>
      <c r="U32" s="213"/>
      <c r="V32" s="213"/>
      <c r="W32" s="213"/>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row>
    <row r="33" spans="1:52" x14ac:dyDescent="0.2">
      <c r="A33" s="213"/>
      <c r="B33" s="366" t="s">
        <v>151</v>
      </c>
      <c r="C33" s="213">
        <f>'Kalkulation Herstellungskosten'!F247</f>
        <v>0</v>
      </c>
      <c r="D33" s="620">
        <f t="shared" ca="1" si="0"/>
        <v>0</v>
      </c>
      <c r="E33" s="213"/>
      <c r="F33" s="213"/>
      <c r="G33" s="213"/>
      <c r="H33" s="213"/>
      <c r="I33" s="213"/>
      <c r="J33" s="213"/>
      <c r="K33" s="213"/>
      <c r="L33" s="213"/>
      <c r="M33" s="213"/>
      <c r="N33" s="213"/>
      <c r="O33" s="213"/>
      <c r="P33" s="213"/>
      <c r="Q33" s="213"/>
      <c r="R33" s="213"/>
      <c r="S33" s="213"/>
      <c r="T33" s="213"/>
      <c r="U33" s="213"/>
      <c r="V33" s="213"/>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row>
    <row r="34" spans="1:52" x14ac:dyDescent="0.2">
      <c r="A34" s="213"/>
      <c r="B34" s="366" t="s">
        <v>862</v>
      </c>
      <c r="C34" s="213">
        <f>'Kalkulation Herstellungskosten'!F261</f>
        <v>0</v>
      </c>
      <c r="D34" s="620">
        <f t="shared" ca="1" si="0"/>
        <v>0</v>
      </c>
      <c r="E34" s="213"/>
      <c r="F34" s="213"/>
      <c r="G34" s="213"/>
      <c r="H34" s="213"/>
      <c r="I34" s="213"/>
      <c r="J34" s="213"/>
      <c r="K34" s="213"/>
      <c r="L34" s="213"/>
      <c r="M34" s="213"/>
      <c r="N34" s="213"/>
      <c r="O34" s="213"/>
      <c r="P34" s="213"/>
      <c r="Q34" s="213"/>
      <c r="R34" s="213"/>
      <c r="S34" s="213"/>
      <c r="T34" s="213"/>
      <c r="U34" s="213"/>
      <c r="V34" s="213"/>
      <c r="W34" s="213"/>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row>
    <row r="35" spans="1:52" x14ac:dyDescent="0.2">
      <c r="A35" s="213"/>
      <c r="B35" s="213"/>
      <c r="C35" s="213"/>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row>
    <row r="36" spans="1:52" x14ac:dyDescent="0.2">
      <c r="A36" s="213"/>
      <c r="B36" s="366" t="s">
        <v>863</v>
      </c>
      <c r="C36" s="213">
        <f>'Kalkulation Herstellungskosten'!F257</f>
        <v>0</v>
      </c>
      <c r="D36" s="620">
        <f t="shared" ca="1" si="0"/>
        <v>0</v>
      </c>
      <c r="E36" s="629">
        <f>IF(C36=0,0,C36/SUM(C28:C33))</f>
        <v>0</v>
      </c>
      <c r="F36" s="630" t="s">
        <v>870</v>
      </c>
      <c r="G36" s="213"/>
      <c r="H36" s="213"/>
      <c r="I36" s="213"/>
      <c r="J36" s="213"/>
      <c r="K36" s="213"/>
      <c r="L36" s="213"/>
      <c r="M36" s="213"/>
      <c r="N36" s="213"/>
      <c r="O36" s="213"/>
      <c r="P36" s="213"/>
      <c r="Q36" s="213"/>
      <c r="R36" s="213"/>
      <c r="S36" s="213"/>
      <c r="T36" s="213"/>
      <c r="U36" s="213"/>
      <c r="V36" s="213"/>
      <c r="W36" s="213"/>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row>
    <row r="37" spans="1:52" x14ac:dyDescent="0.2">
      <c r="A37" s="213"/>
      <c r="B37" s="366" t="s">
        <v>864</v>
      </c>
      <c r="C37" s="213">
        <f>'Kalkulation Herstellungskosten'!F260</f>
        <v>0</v>
      </c>
      <c r="D37" s="620">
        <f t="shared" ca="1" si="0"/>
        <v>0</v>
      </c>
      <c r="E37" s="629">
        <f>IF(C37=0,0,C37/SUM(C28:C33))</f>
        <v>0</v>
      </c>
      <c r="F37" s="630" t="s">
        <v>870</v>
      </c>
      <c r="G37" s="213"/>
      <c r="H37" s="213"/>
      <c r="I37" s="213"/>
      <c r="J37" s="213"/>
      <c r="K37" s="213"/>
      <c r="L37" s="213"/>
      <c r="M37" s="213"/>
      <c r="N37" s="213"/>
      <c r="O37" s="213"/>
      <c r="P37" s="213"/>
      <c r="Q37" s="213"/>
      <c r="R37" s="213"/>
      <c r="S37" s="213"/>
      <c r="T37" s="213"/>
      <c r="U37" s="213"/>
      <c r="V37" s="213"/>
      <c r="W37" s="213"/>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row>
    <row r="38" spans="1:52" x14ac:dyDescent="0.2">
      <c r="A38" s="213"/>
      <c r="B38" s="213"/>
      <c r="C38" s="213"/>
      <c r="D38" s="213"/>
      <c r="E38" s="213"/>
      <c r="F38" s="213"/>
      <c r="G38" s="213"/>
      <c r="H38" s="213"/>
      <c r="I38" s="213"/>
      <c r="J38" s="213"/>
      <c r="K38" s="213"/>
      <c r="L38" s="213"/>
      <c r="M38" s="213"/>
      <c r="N38" s="213"/>
      <c r="O38" s="213"/>
      <c r="P38" s="213"/>
      <c r="Q38" s="213"/>
      <c r="R38" s="213"/>
      <c r="S38" s="213"/>
      <c r="T38" s="213"/>
      <c r="U38" s="213"/>
      <c r="V38" s="213"/>
      <c r="W38" s="213"/>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3"/>
      <c r="AW38" s="213"/>
      <c r="AX38" s="213"/>
      <c r="AY38" s="213"/>
      <c r="AZ38" s="213"/>
    </row>
    <row r="39" spans="1:52" x14ac:dyDescent="0.2">
      <c r="A39" s="213"/>
      <c r="B39" s="366" t="s">
        <v>861</v>
      </c>
      <c r="C39" s="213">
        <f ca="1">'Kalkulation Herstellungskosten'!F324</f>
        <v>0</v>
      </c>
      <c r="D39" s="620">
        <f t="shared" ca="1" si="0"/>
        <v>0</v>
      </c>
      <c r="E39" s="213"/>
      <c r="F39" s="213"/>
      <c r="G39" s="213"/>
      <c r="H39" s="213"/>
      <c r="I39" s="213"/>
      <c r="J39" s="213"/>
      <c r="K39" s="213"/>
      <c r="L39" s="213"/>
      <c r="M39" s="213"/>
      <c r="N39" s="213"/>
      <c r="O39" s="213"/>
      <c r="P39" s="213"/>
      <c r="Q39" s="213"/>
      <c r="R39" s="213"/>
      <c r="S39" s="213"/>
      <c r="T39" s="213"/>
      <c r="U39" s="213"/>
      <c r="V39" s="213"/>
      <c r="W39" s="213"/>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row>
    <row r="40" spans="1:52" x14ac:dyDescent="0.2">
      <c r="A40" s="213"/>
      <c r="B40" s="213"/>
      <c r="C40" s="213"/>
      <c r="D40" s="213"/>
      <c r="E40" s="213"/>
      <c r="F40" s="213"/>
      <c r="G40" s="213"/>
      <c r="H40" s="213"/>
      <c r="I40" s="213"/>
      <c r="J40" s="213"/>
      <c r="K40" s="213"/>
      <c r="L40" s="213"/>
      <c r="M40" s="213"/>
      <c r="N40" s="213"/>
      <c r="O40" s="213"/>
      <c r="P40" s="213"/>
      <c r="Q40" s="213"/>
      <c r="R40" s="213"/>
      <c r="S40" s="213"/>
      <c r="T40" s="213"/>
      <c r="U40" s="213"/>
      <c r="V40" s="213"/>
      <c r="W40" s="213"/>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row>
    <row r="41" spans="1:52" x14ac:dyDescent="0.2">
      <c r="A41" s="213"/>
      <c r="B41" s="628" t="s">
        <v>244</v>
      </c>
      <c r="C41" s="628">
        <f ca="1">SUM(C28:C40)</f>
        <v>0</v>
      </c>
      <c r="D41" s="641">
        <f t="shared" ca="1" si="0"/>
        <v>0</v>
      </c>
      <c r="E41" s="213"/>
      <c r="F41" s="213"/>
      <c r="G41" s="213"/>
      <c r="H41" s="213"/>
      <c r="I41" s="213"/>
      <c r="J41" s="213"/>
      <c r="K41" s="213"/>
      <c r="L41" s="213"/>
      <c r="M41" s="213"/>
      <c r="N41" s="213"/>
      <c r="O41" s="213"/>
      <c r="P41" s="213"/>
      <c r="Q41" s="213"/>
      <c r="R41" s="213"/>
      <c r="S41" s="213"/>
      <c r="T41" s="213"/>
      <c r="U41" s="213"/>
      <c r="V41" s="213"/>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13"/>
      <c r="AX41" s="213"/>
      <c r="AY41" s="213"/>
      <c r="AZ41" s="213"/>
    </row>
    <row r="42" spans="1:52" x14ac:dyDescent="0.2">
      <c r="A42" s="213"/>
      <c r="B42" s="213"/>
      <c r="C42" s="213"/>
      <c r="D42" s="213"/>
      <c r="E42" s="213"/>
      <c r="F42" s="213"/>
      <c r="G42" s="213"/>
      <c r="H42" s="213"/>
      <c r="I42" s="213"/>
      <c r="J42" s="213"/>
      <c r="K42" s="213"/>
      <c r="L42" s="213"/>
      <c r="M42" s="213"/>
      <c r="N42" s="213"/>
      <c r="O42" s="213"/>
      <c r="P42" s="213"/>
      <c r="Q42" s="213"/>
      <c r="R42" s="213"/>
      <c r="S42" s="213"/>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row>
    <row r="43" spans="1:52" x14ac:dyDescent="0.2">
      <c r="A43" s="213"/>
      <c r="B43" s="213"/>
      <c r="C43" s="213"/>
      <c r="D43" s="213"/>
      <c r="E43" s="213"/>
      <c r="F43" s="213"/>
      <c r="G43" s="213"/>
      <c r="H43" s="213"/>
      <c r="I43" s="213"/>
      <c r="J43" s="213"/>
      <c r="K43" s="213"/>
      <c r="L43" s="213"/>
      <c r="M43" s="213"/>
      <c r="N43" s="213"/>
      <c r="O43" s="213"/>
      <c r="P43" s="213"/>
      <c r="Q43" s="213"/>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row>
    <row r="44" spans="1:52" x14ac:dyDescent="0.2">
      <c r="A44" s="647" t="s">
        <v>867</v>
      </c>
      <c r="B44" s="213"/>
      <c r="C44" s="213"/>
      <c r="D44" s="213"/>
      <c r="E44" s="213"/>
      <c r="F44" s="213"/>
      <c r="G44" s="213"/>
      <c r="H44" s="213"/>
      <c r="I44" s="213"/>
      <c r="J44" s="213"/>
      <c r="K44" s="213"/>
      <c r="L44" s="213"/>
      <c r="M44" s="213"/>
      <c r="N44" s="213"/>
      <c r="O44" s="213"/>
      <c r="P44" s="213"/>
      <c r="Q44" s="213"/>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row>
    <row r="45" spans="1:52" x14ac:dyDescent="0.2">
      <c r="A45" s="213"/>
      <c r="B45" s="213" t="s">
        <v>865</v>
      </c>
      <c r="C45" s="213">
        <f ca="1">ILV!C55</f>
        <v>0</v>
      </c>
      <c r="D45" s="620">
        <f ca="1">IF($C$21=0,0,C45/$C$21)</f>
        <v>0</v>
      </c>
      <c r="E45" s="630" t="s">
        <v>868</v>
      </c>
      <c r="F45" s="213"/>
      <c r="G45" s="213"/>
      <c r="H45" s="213"/>
      <c r="I45" s="213"/>
      <c r="J45" s="213"/>
      <c r="K45" s="213"/>
      <c r="L45" s="213"/>
      <c r="M45" s="213"/>
      <c r="N45" s="213"/>
      <c r="O45" s="213"/>
      <c r="P45" s="213"/>
      <c r="Q45" s="213"/>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row>
    <row r="46" spans="1:52" x14ac:dyDescent="0.2">
      <c r="A46" s="213"/>
      <c r="B46" s="213" t="s">
        <v>866</v>
      </c>
      <c r="C46" s="213">
        <f ca="1">SUM(ILV!C15:C17,ILV!C38:C45,ILV!C51)</f>
        <v>0</v>
      </c>
      <c r="D46" s="213"/>
      <c r="E46" s="629">
        <f ca="1">IF(C45=0,0,C46/C45)</f>
        <v>0</v>
      </c>
      <c r="F46" s="630" t="s">
        <v>869</v>
      </c>
      <c r="G46" s="213"/>
      <c r="H46" s="213"/>
      <c r="I46" s="213"/>
      <c r="J46" s="213"/>
      <c r="K46" s="213"/>
      <c r="L46" s="213"/>
      <c r="M46" s="213"/>
      <c r="N46" s="213"/>
      <c r="O46" s="213"/>
      <c r="P46" s="213"/>
      <c r="Q46" s="213"/>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row>
    <row r="47" spans="1:52" x14ac:dyDescent="0.2">
      <c r="A47" s="213"/>
      <c r="B47" s="213" t="s">
        <v>801</v>
      </c>
      <c r="C47" s="213">
        <f ca="1">ILV!C57</f>
        <v>0</v>
      </c>
      <c r="D47" s="620">
        <f ca="1">IF($C$21=0,0,C47/$C$21)</f>
        <v>0</v>
      </c>
      <c r="E47" s="630" t="s">
        <v>868</v>
      </c>
      <c r="F47" s="213"/>
      <c r="G47" s="213"/>
      <c r="H47" s="213"/>
      <c r="I47" s="213"/>
      <c r="J47" s="213"/>
      <c r="K47" s="213"/>
      <c r="L47" s="213"/>
      <c r="M47" s="213"/>
      <c r="N47" s="213"/>
      <c r="O47" s="213"/>
      <c r="P47" s="213"/>
      <c r="Q47" s="213"/>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row>
    <row r="48" spans="1:52" x14ac:dyDescent="0.2">
      <c r="A48" s="213"/>
      <c r="B48" s="213"/>
      <c r="C48" s="213"/>
      <c r="D48" s="213"/>
      <c r="E48" s="213"/>
      <c r="F48" s="213"/>
      <c r="G48" s="213"/>
      <c r="H48" s="213"/>
      <c r="I48" s="213"/>
      <c r="J48" s="213"/>
      <c r="K48" s="213"/>
      <c r="L48" s="213"/>
      <c r="M48" s="213"/>
      <c r="N48" s="213"/>
      <c r="O48" s="213"/>
      <c r="P48" s="213"/>
      <c r="Q48" s="213"/>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row>
    <row r="49" spans="1:52" x14ac:dyDescent="0.2">
      <c r="A49" s="213"/>
      <c r="B49" s="213"/>
      <c r="C49" s="213"/>
      <c r="D49" s="213"/>
      <c r="E49" s="213"/>
      <c r="F49" s="213"/>
      <c r="G49" s="213"/>
      <c r="H49" s="213"/>
      <c r="I49" s="213"/>
      <c r="J49" s="213"/>
      <c r="K49" s="213"/>
      <c r="L49" s="213"/>
      <c r="M49" s="213"/>
      <c r="N49" s="213"/>
      <c r="O49" s="213"/>
      <c r="P49" s="213"/>
      <c r="Q49" s="213"/>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row>
    <row r="50" spans="1:52" x14ac:dyDescent="0.2">
      <c r="A50" s="647" t="s">
        <v>875</v>
      </c>
      <c r="B50" s="213"/>
      <c r="C50" s="213"/>
      <c r="D50" s="213"/>
      <c r="E50" s="213"/>
      <c r="F50" s="213"/>
      <c r="G50" s="213"/>
      <c r="H50" s="213"/>
      <c r="I50" s="213"/>
      <c r="J50" s="213"/>
      <c r="K50" s="213"/>
      <c r="L50" s="213"/>
      <c r="M50" s="213"/>
      <c r="N50" s="213"/>
      <c r="O50" s="213"/>
      <c r="P50" s="213"/>
      <c r="Q50" s="213"/>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row>
    <row r="51" spans="1:52" x14ac:dyDescent="0.2">
      <c r="A51" s="213"/>
      <c r="B51" s="213"/>
      <c r="C51" s="646" t="s">
        <v>872</v>
      </c>
      <c r="D51" s="646" t="s">
        <v>873</v>
      </c>
      <c r="E51" s="644" t="s">
        <v>877</v>
      </c>
      <c r="F51" s="213"/>
      <c r="G51" s="213"/>
      <c r="H51" s="644" t="s">
        <v>899</v>
      </c>
      <c r="I51" s="213"/>
      <c r="J51" s="213"/>
      <c r="K51" s="213"/>
      <c r="L51" s="213"/>
      <c r="M51" s="213"/>
      <c r="N51" s="213"/>
      <c r="O51" s="213"/>
      <c r="P51" s="213"/>
      <c r="Q51" s="213"/>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row>
    <row r="52" spans="1:52" x14ac:dyDescent="0.2">
      <c r="A52" s="625" t="s">
        <v>876</v>
      </c>
      <c r="B52" s="213"/>
      <c r="C52" s="213">
        <f ca="1">ROUND(IF(NFK&gt;5000000,250000,IF(NFK&lt;=200000,NFK*10%,IF(NFK&lt;=400000,20000+(NFK-200000)*7%,IF(NFK&lt;=1000000,NFK*7.5%,IF(NFK&lt;=1500000,75000+(NFK-1000000)*5%,IF(NFK&lt;=2500000,100000+(NFK-1500000)*2.5%,NFK*5%)))))),-1)</f>
        <v>0</v>
      </c>
      <c r="D52" s="213">
        <f ca="1">IF(NFK&lt;=200000,NFK*7.5%,IF(NFK&lt;=600000,200000*7.5%+(NFK-200000)*3.75%,IF(NFK&lt;=2500000,NFK*5%,125000)))</f>
        <v>0</v>
      </c>
      <c r="E52" s="648">
        <f ca="1">C52-D52</f>
        <v>0</v>
      </c>
      <c r="F52" s="213"/>
      <c r="G52" s="213"/>
      <c r="H52" s="645" t="s">
        <v>898</v>
      </c>
      <c r="I52" s="213"/>
      <c r="J52" s="213"/>
      <c r="K52" s="213"/>
      <c r="L52" s="213"/>
      <c r="M52" s="213"/>
      <c r="N52" s="213"/>
      <c r="O52" s="213"/>
      <c r="P52" s="213"/>
      <c r="Q52" s="213"/>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row>
    <row r="53" spans="1:52" x14ac:dyDescent="0.2">
      <c r="A53" s="625" t="s">
        <v>871</v>
      </c>
      <c r="B53" s="213"/>
      <c r="C53" s="213">
        <f ca="1">IF(NFK&lt;=200000,NFK*12%,IF(NFK&lt;=500000,24000+(NFK-200000)*5%,IF(NFK&lt;=800000,39000+(NFK-500000)*3%,IF(NFK&lt;=2800000,48000+(NFK-800000)*2%,IF(NFK&lt;=6000000,88000+(NFK-2800000)*1%,NFK*2%)))))</f>
        <v>0</v>
      </c>
      <c r="D53" s="213">
        <f ca="1">IF(NFK&lt;250000,14000,ROUND(IF(NFK&lt;=750000,14000+(NFK-250000)*(18500/500000),IF(NFK&lt;=2500000,30000+40000*(NFK-750000)/1750000,IF(NFK&lt;=5000000,70000+30000*(NFK-2500000)/2500000,NFK*2%))),-1))</f>
        <v>14000</v>
      </c>
      <c r="E53" s="648">
        <f t="shared" ref="E53:E54" ca="1" si="1">C53-D53</f>
        <v>-14000</v>
      </c>
      <c r="F53" s="213"/>
      <c r="G53" s="213"/>
      <c r="H53" s="642"/>
      <c r="I53" s="213"/>
      <c r="J53" s="213"/>
      <c r="K53" s="213"/>
      <c r="L53" s="213"/>
      <c r="M53" s="213"/>
      <c r="N53" s="213"/>
      <c r="O53" s="213"/>
      <c r="P53" s="213"/>
      <c r="Q53" s="213"/>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row>
    <row r="54" spans="1:52" x14ac:dyDescent="0.2">
      <c r="A54" s="625" t="s">
        <v>874</v>
      </c>
      <c r="B54" s="213"/>
      <c r="C54" s="213">
        <f ca="1">IF(NFK&lt;=200000,NFK*18%,IF(NFK&lt;=300000,36000+(NFK-200000)*6%,IF(NFK&lt;=600000,42000+(NFK-300000)*4%,IF(NFK&lt;=2400000,54000+(NFK-600000)*3%,IF(NFK&lt;=3000000,108000+(NFK-2400000)*2%,IF(NFK&lt;=4000000,120000+(NFK-3000000)*1%,NFK*3%))))))</f>
        <v>0</v>
      </c>
      <c r="D54" s="213">
        <f ca="1">IF(NFK&lt;=3000000,H54*125%,H54*120%)</f>
        <v>26250</v>
      </c>
      <c r="E54" s="649">
        <f t="shared" ca="1" si="1"/>
        <v>-26250</v>
      </c>
      <c r="F54" s="213"/>
      <c r="G54" s="213"/>
      <c r="H54" s="643">
        <f ca="1">IF(NFK&lt;=250000,21000,ROUND(IF(NFK&lt;=750000,(21000+(NFK-250000)*(16500/500000))/((1+1/6)*1.1041*0.9*1.05),IF(NFK&lt;=872000,NFK*(3.5+(872000-NFK)/436000)%,IF(NFK&lt;=1308000,NFK*(3+(0.5*(1308000-NFK)/436000))%,IF(NFK&lt;=3634000,NFK*(2+(3634000-NFK)/2326000)%,NFK*2%))))*(1+1/6)*1.1041*0.9*1.05,-1))</f>
        <v>21000</v>
      </c>
      <c r="I54" s="213"/>
      <c r="J54" s="213"/>
      <c r="K54" s="213"/>
      <c r="L54" s="213"/>
      <c r="M54" s="213"/>
      <c r="N54" s="213"/>
      <c r="O54" s="213"/>
      <c r="P54" s="213"/>
      <c r="Q54" s="213"/>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row>
    <row r="55" spans="1:52" x14ac:dyDescent="0.2">
      <c r="A55" s="625"/>
      <c r="B55" s="213"/>
      <c r="C55" s="213"/>
      <c r="D55" s="213"/>
      <c r="E55" s="213"/>
      <c r="F55" s="213"/>
      <c r="G55" s="213"/>
      <c r="H55" s="213"/>
      <c r="I55" s="213"/>
      <c r="J55" s="213"/>
      <c r="K55" s="213"/>
      <c r="L55" s="213"/>
      <c r="M55" s="213"/>
      <c r="N55" s="213"/>
      <c r="O55" s="213"/>
      <c r="P55" s="213"/>
      <c r="Q55" s="213"/>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row>
    <row r="56" spans="1:52" x14ac:dyDescent="0.2">
      <c r="A56" s="213"/>
      <c r="B56" s="213"/>
      <c r="C56" s="213"/>
      <c r="D56" s="213"/>
      <c r="E56" s="213"/>
      <c r="F56" s="213"/>
      <c r="G56" s="213"/>
      <c r="H56" s="213"/>
      <c r="I56" s="213"/>
      <c r="J56" s="213"/>
      <c r="K56" s="213"/>
      <c r="L56" s="213"/>
      <c r="M56" s="213"/>
      <c r="N56" s="213"/>
      <c r="O56" s="213"/>
      <c r="P56" s="213"/>
      <c r="Q56" s="213"/>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row>
    <row r="57" spans="1:52" x14ac:dyDescent="0.2">
      <c r="A57" s="647" t="s">
        <v>900</v>
      </c>
      <c r="B57" s="213"/>
      <c r="C57" s="650">
        <f>Zusammenfassung!H27</f>
        <v>0</v>
      </c>
      <c r="D57" s="213"/>
      <c r="E57" s="213"/>
      <c r="F57" s="213"/>
      <c r="G57" s="213"/>
      <c r="H57" s="213"/>
      <c r="I57" s="213"/>
      <c r="J57" s="213"/>
      <c r="K57" s="213"/>
      <c r="L57" s="213"/>
      <c r="M57" s="213"/>
      <c r="N57" s="213"/>
      <c r="O57" s="213"/>
      <c r="P57" s="213"/>
      <c r="Q57" s="213"/>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row>
    <row r="58" spans="1:52" x14ac:dyDescent="0.2">
      <c r="A58" s="213"/>
      <c r="B58" s="213"/>
      <c r="C58" s="213"/>
      <c r="D58" s="213"/>
      <c r="E58" s="213"/>
      <c r="F58" s="213"/>
      <c r="G58" s="213"/>
      <c r="H58" s="213"/>
      <c r="I58" s="213"/>
      <c r="J58" s="213"/>
      <c r="K58" s="213"/>
      <c r="L58" s="213"/>
      <c r="M58" s="213"/>
      <c r="N58" s="213"/>
      <c r="O58" s="213"/>
      <c r="P58" s="213"/>
      <c r="Q58" s="213"/>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row>
    <row r="59" spans="1:52" x14ac:dyDescent="0.2">
      <c r="A59" s="213"/>
      <c r="B59" s="213"/>
      <c r="C59" s="213"/>
      <c r="D59" s="213"/>
      <c r="E59" s="213"/>
      <c r="F59" s="213"/>
      <c r="G59" s="213"/>
      <c r="H59" s="213"/>
      <c r="I59" s="213"/>
      <c r="J59" s="213"/>
      <c r="K59" s="213"/>
      <c r="L59" s="213"/>
      <c r="M59" s="213"/>
      <c r="N59" s="213"/>
      <c r="O59" s="213"/>
      <c r="P59" s="213"/>
      <c r="Q59" s="213"/>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row>
    <row r="60" spans="1:52" x14ac:dyDescent="0.2">
      <c r="A60" s="213"/>
      <c r="B60" s="213"/>
      <c r="C60" s="213"/>
      <c r="D60" s="213"/>
      <c r="E60" s="213"/>
      <c r="F60" s="213"/>
      <c r="G60" s="213"/>
      <c r="H60" s="213"/>
      <c r="I60" s="213"/>
      <c r="J60" s="213"/>
      <c r="K60" s="213"/>
      <c r="L60" s="213"/>
      <c r="M60" s="213"/>
      <c r="N60" s="213"/>
      <c r="O60" s="213"/>
      <c r="P60" s="213"/>
      <c r="Q60" s="213"/>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row>
    <row r="61" spans="1:52" x14ac:dyDescent="0.2">
      <c r="A61" s="213"/>
      <c r="B61" s="213"/>
      <c r="C61" s="213"/>
      <c r="D61" s="213"/>
      <c r="E61" s="213"/>
      <c r="F61" s="213"/>
      <c r="G61" s="213"/>
      <c r="H61" s="213"/>
      <c r="I61" s="213"/>
      <c r="J61" s="213"/>
      <c r="K61" s="213"/>
      <c r="L61" s="213"/>
      <c r="M61" s="213"/>
      <c r="N61" s="213"/>
      <c r="O61" s="213"/>
      <c r="P61" s="213"/>
      <c r="Q61" s="213"/>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row>
    <row r="62" spans="1:52" x14ac:dyDescent="0.2">
      <c r="A62" s="213"/>
      <c r="B62" s="213"/>
      <c r="C62" s="213"/>
      <c r="D62" s="213"/>
      <c r="E62" s="213"/>
      <c r="F62" s="213"/>
      <c r="G62" s="213"/>
      <c r="H62" s="213"/>
      <c r="I62" s="213"/>
      <c r="J62" s="213"/>
      <c r="K62" s="213"/>
      <c r="L62" s="213"/>
      <c r="M62" s="213"/>
      <c r="N62" s="213"/>
      <c r="O62" s="213"/>
      <c r="P62" s="213"/>
      <c r="Q62" s="213"/>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row>
    <row r="63" spans="1:52" x14ac:dyDescent="0.2">
      <c r="A63" s="213"/>
      <c r="B63" s="213"/>
      <c r="C63" s="213"/>
      <c r="D63" s="213"/>
      <c r="E63" s="213"/>
      <c r="F63" s="213"/>
      <c r="G63" s="213"/>
      <c r="H63" s="213"/>
      <c r="I63" s="213"/>
      <c r="J63" s="213"/>
      <c r="K63" s="213"/>
      <c r="L63" s="213"/>
      <c r="M63" s="213"/>
      <c r="N63" s="213"/>
      <c r="O63" s="213"/>
      <c r="P63" s="213"/>
      <c r="Q63" s="213"/>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row>
    <row r="64" spans="1:52" x14ac:dyDescent="0.2">
      <c r="A64" s="213"/>
      <c r="B64" s="213"/>
      <c r="C64" s="213"/>
      <c r="D64" s="213"/>
      <c r="E64" s="213"/>
      <c r="F64" s="213"/>
      <c r="G64" s="213"/>
      <c r="H64" s="213"/>
      <c r="I64" s="213"/>
      <c r="J64" s="213"/>
      <c r="K64" s="213"/>
      <c r="L64" s="213"/>
      <c r="M64" s="213"/>
      <c r="N64" s="213"/>
      <c r="O64" s="213"/>
      <c r="P64" s="213"/>
      <c r="Q64" s="213"/>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row>
    <row r="65" spans="1:52" x14ac:dyDescent="0.2">
      <c r="A65" s="213"/>
      <c r="B65" s="213"/>
      <c r="C65" s="213"/>
      <c r="D65" s="213"/>
      <c r="E65" s="213"/>
      <c r="F65" s="213"/>
      <c r="G65" s="213"/>
      <c r="H65" s="213"/>
      <c r="I65" s="213"/>
      <c r="J65" s="213"/>
      <c r="K65" s="213"/>
      <c r="L65" s="213"/>
      <c r="M65" s="213"/>
      <c r="N65" s="213"/>
      <c r="O65" s="213"/>
      <c r="P65" s="213"/>
      <c r="Q65" s="213"/>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row>
    <row r="66" spans="1:52" x14ac:dyDescent="0.2">
      <c r="A66" s="213"/>
      <c r="B66" s="213"/>
      <c r="C66" s="213"/>
      <c r="D66" s="213"/>
      <c r="E66" s="213"/>
      <c r="F66" s="213"/>
      <c r="G66" s="213"/>
      <c r="H66" s="213"/>
      <c r="I66" s="213"/>
      <c r="J66" s="213"/>
      <c r="K66" s="213"/>
      <c r="L66" s="213"/>
      <c r="M66" s="213"/>
      <c r="N66" s="213"/>
      <c r="O66" s="213"/>
      <c r="P66" s="213"/>
      <c r="Q66" s="213"/>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row>
    <row r="67" spans="1:52" x14ac:dyDescent="0.2">
      <c r="A67" s="213"/>
      <c r="B67" s="213"/>
      <c r="C67" s="213"/>
      <c r="D67" s="213"/>
      <c r="E67" s="213"/>
      <c r="F67" s="213"/>
      <c r="G67" s="213"/>
      <c r="H67" s="213"/>
      <c r="I67" s="213"/>
      <c r="J67" s="213"/>
      <c r="K67" s="213"/>
      <c r="L67" s="213"/>
      <c r="M67" s="213"/>
      <c r="N67" s="213"/>
      <c r="O67" s="213"/>
      <c r="P67" s="213"/>
      <c r="Q67" s="213"/>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row>
    <row r="68" spans="1:52" x14ac:dyDescent="0.2">
      <c r="A68" s="213"/>
      <c r="B68" s="213"/>
      <c r="C68" s="213"/>
      <c r="D68" s="213"/>
      <c r="E68" s="213"/>
      <c r="F68" s="213"/>
      <c r="G68" s="213"/>
      <c r="H68" s="213"/>
      <c r="I68" s="213"/>
      <c r="J68" s="213"/>
      <c r="K68" s="213"/>
      <c r="L68" s="213"/>
      <c r="M68" s="213"/>
      <c r="N68" s="213"/>
      <c r="O68" s="213"/>
      <c r="P68" s="213"/>
      <c r="Q68" s="213"/>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c r="AQ68" s="213"/>
      <c r="AR68" s="213"/>
      <c r="AS68" s="213"/>
      <c r="AT68" s="213"/>
      <c r="AU68" s="213"/>
      <c r="AV68" s="213"/>
      <c r="AW68" s="213"/>
      <c r="AX68" s="213"/>
      <c r="AY68" s="213"/>
      <c r="AZ68" s="213"/>
    </row>
    <row r="69" spans="1:52" x14ac:dyDescent="0.2">
      <c r="A69" s="213"/>
      <c r="B69" s="213"/>
      <c r="C69" s="213"/>
      <c r="D69" s="213"/>
      <c r="E69" s="213"/>
      <c r="F69" s="213"/>
      <c r="G69" s="213"/>
      <c r="H69" s="213"/>
      <c r="I69" s="213"/>
      <c r="J69" s="213"/>
      <c r="K69" s="213"/>
      <c r="L69" s="213"/>
      <c r="M69" s="213"/>
      <c r="N69" s="213"/>
      <c r="O69" s="213"/>
      <c r="P69" s="213"/>
      <c r="Q69" s="213"/>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row>
    <row r="70" spans="1:52" x14ac:dyDescent="0.2">
      <c r="A70" s="213"/>
      <c r="B70" s="213"/>
      <c r="C70" s="213"/>
      <c r="D70" s="213"/>
      <c r="E70" s="213"/>
      <c r="F70" s="213"/>
      <c r="G70" s="213"/>
      <c r="H70" s="213"/>
      <c r="I70" s="213"/>
      <c r="J70" s="213"/>
      <c r="K70" s="213"/>
      <c r="L70" s="213"/>
      <c r="M70" s="213"/>
      <c r="N70" s="213"/>
      <c r="O70" s="213"/>
      <c r="P70" s="213"/>
      <c r="Q70" s="213"/>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row>
    <row r="71" spans="1:52" x14ac:dyDescent="0.2">
      <c r="A71" s="213"/>
      <c r="B71" s="213"/>
      <c r="C71" s="213"/>
      <c r="D71" s="213"/>
      <c r="E71" s="213"/>
      <c r="F71" s="213"/>
      <c r="G71" s="213"/>
      <c r="H71" s="213"/>
      <c r="I71" s="213"/>
      <c r="J71" s="213"/>
      <c r="K71" s="213"/>
      <c r="L71" s="213"/>
      <c r="M71" s="213"/>
      <c r="N71" s="213"/>
      <c r="O71" s="213"/>
      <c r="P71" s="213"/>
      <c r="Q71" s="213"/>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row>
    <row r="72" spans="1:52" x14ac:dyDescent="0.2">
      <c r="A72" s="213"/>
      <c r="B72" s="213"/>
      <c r="C72" s="213"/>
      <c r="D72" s="213"/>
      <c r="E72" s="213"/>
      <c r="F72" s="213"/>
      <c r="G72" s="213"/>
      <c r="H72" s="213"/>
      <c r="I72" s="213"/>
      <c r="J72" s="213"/>
      <c r="K72" s="213"/>
      <c r="L72" s="213"/>
      <c r="M72" s="213"/>
      <c r="N72" s="213"/>
      <c r="O72" s="213"/>
      <c r="P72" s="213"/>
      <c r="Q72" s="213"/>
      <c r="R72" s="213"/>
      <c r="S72" s="213"/>
      <c r="T72" s="213"/>
      <c r="U72" s="213"/>
      <c r="V72" s="213"/>
      <c r="W72" s="213"/>
      <c r="X72" s="213"/>
      <c r="Y72" s="213"/>
      <c r="Z72" s="213"/>
      <c r="AA72" s="213"/>
      <c r="AB72" s="213"/>
      <c r="AC72" s="213"/>
      <c r="AD72" s="213"/>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row>
    <row r="73" spans="1:52" x14ac:dyDescent="0.2">
      <c r="A73" s="213"/>
      <c r="B73" s="213"/>
      <c r="C73" s="213"/>
      <c r="D73" s="213"/>
      <c r="E73" s="213"/>
      <c r="F73" s="213"/>
      <c r="G73" s="213"/>
      <c r="H73" s="213"/>
      <c r="I73" s="213"/>
      <c r="J73" s="213"/>
      <c r="K73" s="213"/>
      <c r="L73" s="213"/>
      <c r="M73" s="213"/>
      <c r="N73" s="213"/>
      <c r="O73" s="213"/>
      <c r="P73" s="213"/>
      <c r="Q73" s="213"/>
      <c r="R73" s="213"/>
      <c r="S73" s="213"/>
      <c r="T73" s="213"/>
      <c r="U73" s="213"/>
      <c r="V73" s="213"/>
      <c r="W73" s="213"/>
      <c r="X73" s="213"/>
      <c r="Y73" s="213"/>
      <c r="Z73" s="213"/>
      <c r="AA73" s="213"/>
      <c r="AB73" s="213"/>
      <c r="AC73" s="213"/>
      <c r="AD73" s="213"/>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row>
    <row r="74" spans="1:52" x14ac:dyDescent="0.2">
      <c r="A74" s="213"/>
      <c r="B74" s="213"/>
      <c r="C74" s="213"/>
      <c r="D74" s="213"/>
      <c r="E74" s="213"/>
      <c r="F74" s="213"/>
      <c r="G74" s="213"/>
      <c r="H74" s="213"/>
      <c r="I74" s="213"/>
      <c r="J74" s="213"/>
      <c r="K74" s="213"/>
      <c r="L74" s="213"/>
      <c r="M74" s="213"/>
      <c r="N74" s="213"/>
      <c r="O74" s="213"/>
      <c r="P74" s="213"/>
      <c r="Q74" s="213"/>
      <c r="R74" s="213"/>
      <c r="S74" s="213"/>
      <c r="T74" s="213"/>
      <c r="U74" s="213"/>
      <c r="V74" s="213"/>
      <c r="W74" s="213"/>
      <c r="X74" s="213"/>
      <c r="Y74" s="213"/>
      <c r="Z74" s="213"/>
      <c r="AA74" s="213"/>
      <c r="AB74" s="213"/>
      <c r="AC74" s="213"/>
      <c r="AD74" s="213"/>
      <c r="AE74" s="213"/>
      <c r="AF74" s="213"/>
      <c r="AG74" s="213"/>
      <c r="AH74" s="213"/>
      <c r="AI74" s="213"/>
      <c r="AJ74" s="213"/>
      <c r="AK74" s="213"/>
      <c r="AL74" s="213"/>
      <c r="AM74" s="213"/>
      <c r="AN74" s="213"/>
      <c r="AO74" s="213"/>
      <c r="AP74" s="213"/>
      <c r="AQ74" s="213"/>
      <c r="AR74" s="213"/>
      <c r="AS74" s="213"/>
      <c r="AT74" s="213"/>
      <c r="AU74" s="213"/>
      <c r="AV74" s="213"/>
      <c r="AW74" s="213"/>
      <c r="AX74" s="213"/>
      <c r="AY74" s="213"/>
      <c r="AZ74" s="213"/>
    </row>
    <row r="75" spans="1:52" x14ac:dyDescent="0.2">
      <c r="A75" s="213"/>
      <c r="B75" s="213"/>
      <c r="C75" s="213"/>
      <c r="D75" s="213"/>
      <c r="E75" s="213"/>
      <c r="F75" s="213"/>
      <c r="G75" s="213"/>
      <c r="H75" s="213"/>
      <c r="I75" s="213"/>
      <c r="J75" s="213"/>
      <c r="K75" s="213"/>
      <c r="L75" s="213"/>
      <c r="M75" s="213"/>
      <c r="N75" s="213"/>
      <c r="O75" s="213"/>
      <c r="P75" s="213"/>
      <c r="Q75" s="213"/>
      <c r="R75" s="213"/>
      <c r="S75" s="213"/>
      <c r="T75" s="213"/>
      <c r="U75" s="213"/>
      <c r="V75" s="213"/>
      <c r="W75" s="213"/>
      <c r="X75" s="213"/>
      <c r="Y75" s="213"/>
      <c r="Z75" s="213"/>
      <c r="AA75" s="213"/>
      <c r="AB75" s="213"/>
      <c r="AC75" s="213"/>
      <c r="AD75" s="213"/>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row>
    <row r="76" spans="1:52" x14ac:dyDescent="0.2">
      <c r="A76" s="213"/>
      <c r="B76" s="213"/>
      <c r="C76" s="213"/>
      <c r="D76" s="213"/>
      <c r="E76" s="213"/>
      <c r="F76" s="213"/>
      <c r="G76" s="213"/>
      <c r="H76" s="213"/>
      <c r="I76" s="213"/>
      <c r="J76" s="213"/>
      <c r="K76" s="213"/>
      <c r="L76" s="213"/>
      <c r="M76" s="213"/>
      <c r="N76" s="213"/>
      <c r="O76" s="213"/>
      <c r="P76" s="213"/>
      <c r="Q76" s="213"/>
      <c r="R76" s="213"/>
      <c r="S76" s="213"/>
      <c r="T76" s="213"/>
      <c r="U76" s="213"/>
      <c r="V76" s="213"/>
      <c r="W76" s="213"/>
      <c r="X76" s="213"/>
      <c r="Y76" s="213"/>
      <c r="Z76" s="213"/>
      <c r="AA76" s="213"/>
      <c r="AB76" s="213"/>
      <c r="AC76" s="213"/>
      <c r="AD76" s="213"/>
      <c r="AE76" s="213"/>
      <c r="AF76" s="213"/>
      <c r="AG76" s="213"/>
      <c r="AH76" s="213"/>
      <c r="AI76" s="213"/>
      <c r="AJ76" s="213"/>
      <c r="AK76" s="213"/>
      <c r="AL76" s="213"/>
      <c r="AM76" s="213"/>
      <c r="AN76" s="213"/>
      <c r="AO76" s="213"/>
      <c r="AP76" s="213"/>
      <c r="AQ76" s="213"/>
      <c r="AR76" s="213"/>
      <c r="AS76" s="213"/>
      <c r="AT76" s="213"/>
      <c r="AU76" s="213"/>
      <c r="AV76" s="213"/>
      <c r="AW76" s="213"/>
      <c r="AX76" s="213"/>
      <c r="AY76" s="213"/>
      <c r="AZ76" s="213"/>
    </row>
    <row r="77" spans="1:52" x14ac:dyDescent="0.2">
      <c r="A77" s="213"/>
      <c r="B77" s="213"/>
      <c r="C77" s="213"/>
      <c r="D77" s="213"/>
      <c r="E77" s="213"/>
      <c r="F77" s="213"/>
      <c r="G77" s="213"/>
      <c r="H77" s="213"/>
      <c r="I77" s="213"/>
      <c r="J77" s="213"/>
      <c r="K77" s="213"/>
      <c r="L77" s="213"/>
      <c r="M77" s="213"/>
      <c r="N77" s="213"/>
      <c r="O77" s="213"/>
      <c r="P77" s="213"/>
      <c r="Q77" s="213"/>
      <c r="R77" s="213"/>
      <c r="S77" s="213"/>
      <c r="T77" s="213"/>
      <c r="U77" s="213"/>
      <c r="V77" s="213"/>
      <c r="W77" s="213"/>
      <c r="X77" s="213"/>
      <c r="Y77" s="213"/>
      <c r="Z77" s="213"/>
      <c r="AA77" s="213"/>
      <c r="AB77" s="213"/>
      <c r="AC77" s="213"/>
      <c r="AD77" s="213"/>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row>
    <row r="78" spans="1:52" x14ac:dyDescent="0.2">
      <c r="A78" s="213"/>
      <c r="B78" s="213"/>
      <c r="C78" s="213"/>
      <c r="D78" s="213"/>
      <c r="E78" s="213"/>
      <c r="F78" s="213"/>
      <c r="G78" s="213"/>
      <c r="H78" s="213"/>
      <c r="I78" s="213"/>
      <c r="J78" s="213"/>
      <c r="K78" s="213"/>
      <c r="L78" s="213"/>
      <c r="M78" s="213"/>
      <c r="N78" s="213"/>
      <c r="O78" s="213"/>
      <c r="P78" s="213"/>
      <c r="Q78" s="213"/>
      <c r="R78" s="213"/>
      <c r="S78" s="213"/>
      <c r="T78" s="213"/>
      <c r="U78" s="213"/>
      <c r="V78" s="213"/>
      <c r="W78" s="213"/>
      <c r="X78" s="213"/>
      <c r="Y78" s="213"/>
      <c r="Z78" s="213"/>
      <c r="AA78" s="213"/>
      <c r="AB78" s="213"/>
      <c r="AC78" s="213"/>
      <c r="AD78" s="213"/>
      <c r="AE78" s="213"/>
      <c r="AF78" s="213"/>
      <c r="AG78" s="213"/>
      <c r="AH78" s="213"/>
      <c r="AI78" s="213"/>
      <c r="AJ78" s="213"/>
      <c r="AK78" s="213"/>
      <c r="AL78" s="213"/>
      <c r="AM78" s="213"/>
      <c r="AN78" s="213"/>
      <c r="AO78" s="213"/>
      <c r="AP78" s="213"/>
      <c r="AQ78" s="213"/>
      <c r="AR78" s="213"/>
      <c r="AS78" s="213"/>
      <c r="AT78" s="213"/>
      <c r="AU78" s="213"/>
      <c r="AV78" s="213"/>
      <c r="AW78" s="213"/>
      <c r="AX78" s="213"/>
      <c r="AY78" s="213"/>
      <c r="AZ78" s="213"/>
    </row>
    <row r="79" spans="1:52" x14ac:dyDescent="0.2">
      <c r="A79" s="213"/>
      <c r="B79" s="213"/>
      <c r="C79" s="213"/>
      <c r="D79" s="213"/>
      <c r="E79" s="213"/>
      <c r="F79" s="213"/>
      <c r="G79" s="213"/>
      <c r="H79" s="213"/>
      <c r="I79" s="213"/>
      <c r="J79" s="213"/>
      <c r="K79" s="213"/>
      <c r="L79" s="213"/>
      <c r="M79" s="213"/>
      <c r="N79" s="213"/>
      <c r="O79" s="213"/>
      <c r="P79" s="213"/>
      <c r="Q79" s="213"/>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row>
    <row r="80" spans="1:52" x14ac:dyDescent="0.2">
      <c r="A80" s="213"/>
      <c r="B80" s="213"/>
      <c r="C80" s="213"/>
      <c r="D80" s="213"/>
      <c r="E80" s="213"/>
      <c r="F80" s="213"/>
      <c r="G80" s="213"/>
      <c r="H80" s="213"/>
      <c r="I80" s="213"/>
      <c r="J80" s="213"/>
      <c r="K80" s="213"/>
      <c r="L80" s="213"/>
      <c r="M80" s="213"/>
      <c r="N80" s="213"/>
      <c r="O80" s="213"/>
      <c r="P80" s="213"/>
      <c r="Q80" s="213"/>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row>
    <row r="81" spans="1:52" x14ac:dyDescent="0.2">
      <c r="A81" s="213"/>
      <c r="B81" s="213"/>
      <c r="C81" s="213"/>
      <c r="D81" s="213"/>
      <c r="E81" s="213"/>
      <c r="F81" s="213"/>
      <c r="G81" s="213"/>
      <c r="H81" s="213"/>
      <c r="I81" s="213"/>
      <c r="J81" s="213"/>
      <c r="K81" s="213"/>
      <c r="L81" s="213"/>
      <c r="M81" s="213"/>
      <c r="N81" s="213"/>
      <c r="O81" s="213"/>
      <c r="P81" s="213"/>
      <c r="Q81" s="213"/>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row>
    <row r="82" spans="1:52" x14ac:dyDescent="0.2">
      <c r="A82" s="213"/>
      <c r="B82" s="213"/>
      <c r="C82" s="213"/>
      <c r="D82" s="213"/>
      <c r="E82" s="213"/>
      <c r="F82" s="213"/>
      <c r="G82" s="213"/>
      <c r="H82" s="213"/>
      <c r="I82" s="213"/>
      <c r="J82" s="213"/>
      <c r="K82" s="213"/>
      <c r="L82" s="213"/>
      <c r="M82" s="213"/>
      <c r="N82" s="213"/>
      <c r="O82" s="213"/>
      <c r="P82" s="213"/>
      <c r="Q82" s="213"/>
      <c r="R82" s="213"/>
      <c r="S82" s="213"/>
      <c r="T82" s="213"/>
      <c r="U82" s="213"/>
      <c r="V82" s="213"/>
      <c r="W82" s="213"/>
      <c r="X82" s="213"/>
      <c r="Y82" s="213"/>
      <c r="Z82" s="213"/>
      <c r="AA82" s="213"/>
      <c r="AB82" s="213"/>
      <c r="AC82" s="213"/>
      <c r="AD82" s="213"/>
      <c r="AE82" s="213"/>
      <c r="AF82" s="213"/>
      <c r="AG82" s="213"/>
      <c r="AH82" s="213"/>
      <c r="AI82" s="213"/>
      <c r="AJ82" s="213"/>
      <c r="AK82" s="213"/>
      <c r="AL82" s="213"/>
      <c r="AM82" s="213"/>
      <c r="AN82" s="213"/>
      <c r="AO82" s="213"/>
      <c r="AP82" s="213"/>
      <c r="AQ82" s="213"/>
      <c r="AR82" s="213"/>
      <c r="AS82" s="213"/>
      <c r="AT82" s="213"/>
      <c r="AU82" s="213"/>
      <c r="AV82" s="213"/>
      <c r="AW82" s="213"/>
      <c r="AX82" s="213"/>
      <c r="AY82" s="213"/>
      <c r="AZ82" s="213"/>
    </row>
    <row r="83" spans="1:52" x14ac:dyDescent="0.2">
      <c r="A83" s="213"/>
      <c r="B83" s="213"/>
      <c r="C83" s="213"/>
      <c r="D83" s="213"/>
      <c r="E83" s="213"/>
      <c r="F83" s="213"/>
      <c r="G83" s="213"/>
      <c r="H83" s="213"/>
      <c r="I83" s="213"/>
      <c r="J83" s="213"/>
      <c r="K83" s="213"/>
      <c r="L83" s="213"/>
      <c r="M83" s="213"/>
      <c r="N83" s="213"/>
      <c r="O83" s="213"/>
      <c r="P83" s="213"/>
      <c r="Q83" s="213"/>
      <c r="R83" s="213"/>
      <c r="S83" s="213"/>
      <c r="T83" s="213"/>
      <c r="U83" s="213"/>
      <c r="V83" s="213"/>
      <c r="W83" s="213"/>
      <c r="X83" s="213"/>
      <c r="Y83" s="213"/>
      <c r="Z83" s="213"/>
      <c r="AA83" s="213"/>
      <c r="AB83" s="213"/>
      <c r="AC83" s="213"/>
      <c r="AD83" s="213"/>
      <c r="AE83" s="213"/>
      <c r="AF83" s="213"/>
      <c r="AG83" s="213"/>
      <c r="AH83" s="213"/>
      <c r="AI83" s="213"/>
      <c r="AJ83" s="213"/>
      <c r="AK83" s="213"/>
      <c r="AL83" s="213"/>
      <c r="AM83" s="213"/>
      <c r="AN83" s="213"/>
      <c r="AO83" s="213"/>
      <c r="AP83" s="213"/>
      <c r="AQ83" s="213"/>
      <c r="AR83" s="213"/>
      <c r="AS83" s="213"/>
      <c r="AT83" s="213"/>
      <c r="AU83" s="213"/>
      <c r="AV83" s="213"/>
      <c r="AW83" s="213"/>
      <c r="AX83" s="213"/>
      <c r="AY83" s="213"/>
      <c r="AZ83" s="213"/>
    </row>
    <row r="84" spans="1:52" x14ac:dyDescent="0.2">
      <c r="A84" s="213"/>
      <c r="B84" s="213"/>
      <c r="C84" s="213"/>
      <c r="D84" s="213"/>
      <c r="E84" s="213"/>
      <c r="F84" s="213"/>
      <c r="G84" s="213"/>
      <c r="H84" s="213"/>
      <c r="I84" s="213"/>
      <c r="J84" s="213"/>
      <c r="K84" s="213"/>
      <c r="L84" s="213"/>
      <c r="M84" s="213"/>
      <c r="N84" s="213"/>
      <c r="O84" s="213"/>
      <c r="P84" s="213"/>
      <c r="Q84" s="213"/>
      <c r="R84" s="213"/>
      <c r="S84" s="213"/>
      <c r="T84" s="213"/>
      <c r="U84" s="213"/>
      <c r="V84" s="213"/>
      <c r="W84" s="213"/>
      <c r="X84" s="213"/>
      <c r="Y84" s="213"/>
      <c r="Z84" s="213"/>
      <c r="AA84" s="213"/>
      <c r="AB84" s="213"/>
      <c r="AC84" s="213"/>
      <c r="AD84" s="213"/>
      <c r="AE84" s="213"/>
      <c r="AF84" s="213"/>
      <c r="AG84" s="213"/>
      <c r="AH84" s="213"/>
      <c r="AI84" s="213"/>
      <c r="AJ84" s="213"/>
      <c r="AK84" s="213"/>
      <c r="AL84" s="213"/>
      <c r="AM84" s="213"/>
      <c r="AN84" s="213"/>
      <c r="AO84" s="213"/>
      <c r="AP84" s="213"/>
      <c r="AQ84" s="213"/>
      <c r="AR84" s="213"/>
      <c r="AS84" s="213"/>
      <c r="AT84" s="213"/>
      <c r="AU84" s="213"/>
      <c r="AV84" s="213"/>
      <c r="AW84" s="213"/>
      <c r="AX84" s="213"/>
      <c r="AY84" s="213"/>
      <c r="AZ84" s="213"/>
    </row>
    <row r="85" spans="1:52" x14ac:dyDescent="0.2">
      <c r="A85" s="213"/>
      <c r="B85" s="213"/>
      <c r="C85" s="213"/>
      <c r="D85" s="213"/>
      <c r="E85" s="213"/>
      <c r="F85" s="213"/>
      <c r="G85" s="213"/>
      <c r="H85" s="213"/>
      <c r="I85" s="213"/>
      <c r="J85" s="213"/>
      <c r="K85" s="213"/>
      <c r="L85" s="213"/>
      <c r="M85" s="213"/>
      <c r="N85" s="213"/>
      <c r="O85" s="213"/>
      <c r="P85" s="213"/>
      <c r="Q85" s="213"/>
      <c r="R85" s="213"/>
      <c r="S85" s="213"/>
      <c r="T85" s="213"/>
      <c r="U85" s="213"/>
      <c r="V85" s="213"/>
      <c r="W85" s="213"/>
      <c r="X85" s="213"/>
      <c r="Y85" s="213"/>
      <c r="Z85" s="213"/>
      <c r="AA85" s="213"/>
      <c r="AB85" s="213"/>
      <c r="AC85" s="213"/>
      <c r="AD85" s="213"/>
      <c r="AE85" s="213"/>
      <c r="AF85" s="213"/>
      <c r="AG85" s="213"/>
      <c r="AH85" s="213"/>
      <c r="AI85" s="213"/>
      <c r="AJ85" s="213"/>
      <c r="AK85" s="213"/>
      <c r="AL85" s="213"/>
      <c r="AM85" s="213"/>
      <c r="AN85" s="213"/>
      <c r="AO85" s="213"/>
      <c r="AP85" s="213"/>
      <c r="AQ85" s="213"/>
      <c r="AR85" s="213"/>
      <c r="AS85" s="213"/>
      <c r="AT85" s="213"/>
      <c r="AU85" s="213"/>
      <c r="AV85" s="213"/>
      <c r="AW85" s="213"/>
      <c r="AX85" s="213"/>
      <c r="AY85" s="213"/>
      <c r="AZ85" s="213"/>
    </row>
    <row r="86" spans="1:52" x14ac:dyDescent="0.2">
      <c r="A86" s="213"/>
      <c r="B86" s="213"/>
      <c r="C86" s="213"/>
      <c r="D86" s="213"/>
      <c r="E86" s="213"/>
      <c r="F86" s="213"/>
      <c r="G86" s="213"/>
      <c r="H86" s="213"/>
      <c r="I86" s="213"/>
      <c r="J86" s="213"/>
      <c r="K86" s="213"/>
      <c r="L86" s="213"/>
      <c r="M86" s="213"/>
      <c r="N86" s="213"/>
      <c r="O86" s="213"/>
      <c r="P86" s="213"/>
      <c r="Q86" s="213"/>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row>
    <row r="87" spans="1:52" x14ac:dyDescent="0.2">
      <c r="A87" s="213"/>
      <c r="B87" s="213"/>
      <c r="C87" s="213"/>
      <c r="D87" s="213"/>
      <c r="E87" s="213"/>
      <c r="F87" s="213"/>
      <c r="G87" s="213"/>
      <c r="H87" s="213"/>
      <c r="I87" s="213"/>
      <c r="J87" s="213"/>
      <c r="K87" s="213"/>
      <c r="L87" s="213"/>
      <c r="M87" s="213"/>
      <c r="N87" s="213"/>
      <c r="O87" s="213"/>
      <c r="P87" s="213"/>
      <c r="Q87" s="213"/>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row>
    <row r="88" spans="1:52" x14ac:dyDescent="0.2">
      <c r="A88" s="213"/>
      <c r="B88" s="213"/>
      <c r="C88" s="213"/>
      <c r="D88" s="213"/>
      <c r="E88" s="213"/>
      <c r="F88" s="213"/>
      <c r="G88" s="213"/>
      <c r="H88" s="213"/>
      <c r="I88" s="213"/>
      <c r="J88" s="213"/>
      <c r="K88" s="213"/>
      <c r="L88" s="213"/>
      <c r="M88" s="213"/>
      <c r="N88" s="213"/>
      <c r="O88" s="213"/>
      <c r="P88" s="213"/>
      <c r="Q88" s="213"/>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row>
    <row r="89" spans="1:52" x14ac:dyDescent="0.2">
      <c r="A89" s="213"/>
      <c r="B89" s="213"/>
      <c r="C89" s="213"/>
      <c r="D89" s="213"/>
      <c r="E89" s="213"/>
      <c r="F89" s="213"/>
      <c r="G89" s="213"/>
      <c r="H89" s="213"/>
      <c r="I89" s="213"/>
      <c r="J89" s="213"/>
      <c r="K89" s="213"/>
      <c r="L89" s="213"/>
      <c r="M89" s="213"/>
      <c r="N89" s="213"/>
      <c r="O89" s="213"/>
      <c r="P89" s="213"/>
      <c r="Q89" s="213"/>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row>
    <row r="90" spans="1:52" x14ac:dyDescent="0.2">
      <c r="A90" s="213"/>
      <c r="B90" s="213"/>
      <c r="C90" s="213"/>
      <c r="D90" s="213"/>
      <c r="E90" s="213"/>
      <c r="F90" s="213"/>
      <c r="G90" s="213"/>
      <c r="H90" s="213"/>
      <c r="I90" s="213"/>
      <c r="J90" s="213"/>
      <c r="K90" s="213"/>
      <c r="L90" s="213"/>
      <c r="M90" s="213"/>
      <c r="N90" s="213"/>
      <c r="O90" s="213"/>
      <c r="P90" s="213"/>
      <c r="Q90" s="213"/>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row>
    <row r="91" spans="1:52" x14ac:dyDescent="0.2">
      <c r="A91" s="213"/>
      <c r="B91" s="213"/>
      <c r="C91" s="213"/>
      <c r="D91" s="213"/>
      <c r="E91" s="213"/>
      <c r="F91" s="213"/>
      <c r="G91" s="213"/>
      <c r="H91" s="213"/>
      <c r="I91" s="213"/>
      <c r="J91" s="213"/>
      <c r="K91" s="213"/>
      <c r="L91" s="213"/>
      <c r="M91" s="213"/>
      <c r="N91" s="213"/>
      <c r="O91" s="213"/>
      <c r="P91" s="213"/>
      <c r="Q91" s="213"/>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row>
    <row r="92" spans="1:52" x14ac:dyDescent="0.2">
      <c r="A92" s="213"/>
      <c r="B92" s="213"/>
      <c r="C92" s="213"/>
      <c r="D92" s="213"/>
      <c r="E92" s="213"/>
      <c r="F92" s="213"/>
      <c r="G92" s="213"/>
      <c r="H92" s="213"/>
      <c r="I92" s="213"/>
      <c r="J92" s="213"/>
      <c r="K92" s="213"/>
      <c r="L92" s="213"/>
      <c r="M92" s="213"/>
      <c r="N92" s="213"/>
      <c r="O92" s="213"/>
      <c r="P92" s="213"/>
      <c r="Q92" s="213"/>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row>
    <row r="93" spans="1:52" x14ac:dyDescent="0.2">
      <c r="A93" s="213"/>
      <c r="B93" s="213"/>
      <c r="C93" s="213"/>
      <c r="D93" s="213"/>
      <c r="E93" s="213"/>
      <c r="F93" s="213"/>
      <c r="G93" s="213"/>
      <c r="H93" s="213"/>
      <c r="I93" s="213"/>
      <c r="J93" s="213"/>
      <c r="K93" s="213"/>
      <c r="L93" s="213"/>
      <c r="M93" s="213"/>
      <c r="N93" s="213"/>
      <c r="O93" s="213"/>
      <c r="P93" s="213"/>
      <c r="Q93" s="213"/>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row>
    <row r="94" spans="1:52" x14ac:dyDescent="0.2">
      <c r="A94" s="213"/>
      <c r="B94" s="213"/>
      <c r="C94" s="213"/>
      <c r="D94" s="213"/>
      <c r="E94" s="213"/>
      <c r="F94" s="213"/>
      <c r="G94" s="213"/>
      <c r="H94" s="213"/>
      <c r="I94" s="213"/>
      <c r="J94" s="213"/>
      <c r="K94" s="213"/>
      <c r="L94" s="213"/>
      <c r="M94" s="213"/>
      <c r="N94" s="213"/>
      <c r="O94" s="213"/>
      <c r="P94" s="213"/>
      <c r="Q94" s="213"/>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row>
    <row r="95" spans="1:52" x14ac:dyDescent="0.2">
      <c r="A95" s="213"/>
      <c r="B95" s="213"/>
      <c r="C95" s="213"/>
      <c r="D95" s="213"/>
      <c r="E95" s="213"/>
      <c r="F95" s="213"/>
      <c r="G95" s="213"/>
      <c r="H95" s="213"/>
      <c r="I95" s="213"/>
      <c r="J95" s="213"/>
      <c r="K95" s="213"/>
      <c r="L95" s="213"/>
      <c r="M95" s="213"/>
      <c r="N95" s="213"/>
      <c r="O95" s="213"/>
      <c r="P95" s="213"/>
      <c r="Q95" s="213"/>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row>
    <row r="96" spans="1:52" x14ac:dyDescent="0.2">
      <c r="A96" s="213"/>
      <c r="B96" s="213"/>
      <c r="C96" s="213"/>
      <c r="D96" s="213"/>
      <c r="E96" s="213"/>
      <c r="F96" s="213"/>
      <c r="G96" s="213"/>
      <c r="H96" s="213"/>
      <c r="I96" s="213"/>
      <c r="J96" s="213"/>
      <c r="K96" s="213"/>
      <c r="L96" s="213"/>
      <c r="M96" s="213"/>
      <c r="N96" s="213"/>
      <c r="O96" s="213"/>
      <c r="P96" s="213"/>
      <c r="Q96" s="213"/>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row>
    <row r="97" spans="1:52" x14ac:dyDescent="0.2">
      <c r="A97" s="213"/>
      <c r="B97" s="213"/>
      <c r="C97" s="213"/>
      <c r="D97" s="213"/>
      <c r="E97" s="213"/>
      <c r="F97" s="213"/>
      <c r="G97" s="213"/>
      <c r="H97" s="213"/>
      <c r="I97" s="213"/>
      <c r="J97" s="213"/>
      <c r="K97" s="213"/>
      <c r="L97" s="213"/>
      <c r="M97" s="213"/>
      <c r="N97" s="213"/>
      <c r="O97" s="213"/>
      <c r="P97" s="213"/>
      <c r="Q97" s="213"/>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row>
    <row r="98" spans="1:52" x14ac:dyDescent="0.2">
      <c r="A98" s="213"/>
      <c r="B98" s="213"/>
      <c r="C98" s="213"/>
      <c r="D98" s="213"/>
      <c r="E98" s="213"/>
      <c r="F98" s="213"/>
      <c r="G98" s="213"/>
      <c r="H98" s="213"/>
      <c r="I98" s="213"/>
      <c r="J98" s="213"/>
      <c r="K98" s="213"/>
      <c r="L98" s="213"/>
      <c r="M98" s="213"/>
      <c r="N98" s="213"/>
      <c r="O98" s="213"/>
      <c r="P98" s="213"/>
      <c r="Q98" s="213"/>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row>
    <row r="99" spans="1:52" x14ac:dyDescent="0.2">
      <c r="A99" s="213"/>
      <c r="B99" s="213"/>
      <c r="C99" s="213"/>
      <c r="D99" s="213"/>
      <c r="E99" s="213"/>
      <c r="F99" s="213"/>
      <c r="G99" s="213"/>
      <c r="H99" s="213"/>
      <c r="I99" s="213"/>
      <c r="J99" s="213"/>
      <c r="K99" s="213"/>
      <c r="L99" s="213"/>
      <c r="M99" s="213"/>
      <c r="N99" s="213"/>
      <c r="O99" s="213"/>
      <c r="P99" s="213"/>
      <c r="Q99" s="213"/>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row>
    <row r="100" spans="1:52" x14ac:dyDescent="0.2">
      <c r="A100" s="213"/>
      <c r="B100" s="213"/>
      <c r="C100" s="213"/>
      <c r="D100" s="213"/>
      <c r="E100" s="213"/>
      <c r="F100" s="213"/>
      <c r="G100" s="213"/>
      <c r="H100" s="213"/>
      <c r="I100" s="213"/>
      <c r="J100" s="213"/>
      <c r="K100" s="213"/>
      <c r="L100" s="213"/>
      <c r="M100" s="213"/>
      <c r="N100" s="213"/>
      <c r="O100" s="213"/>
      <c r="P100" s="213"/>
      <c r="Q100" s="213"/>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row>
    <row r="101" spans="1:52" x14ac:dyDescent="0.2">
      <c r="A101" s="213"/>
      <c r="B101" s="213"/>
      <c r="C101" s="213"/>
      <c r="D101" s="213"/>
      <c r="E101" s="213"/>
      <c r="F101" s="213"/>
      <c r="G101" s="213"/>
      <c r="H101" s="213"/>
      <c r="I101" s="213"/>
      <c r="J101" s="213"/>
      <c r="K101" s="213"/>
      <c r="L101" s="213"/>
      <c r="M101" s="213"/>
      <c r="N101" s="213"/>
      <c r="O101" s="213"/>
      <c r="P101" s="213"/>
      <c r="Q101" s="213"/>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row>
    <row r="102" spans="1:52" x14ac:dyDescent="0.2">
      <c r="A102" s="213"/>
      <c r="B102" s="213"/>
      <c r="C102" s="213"/>
      <c r="D102" s="213"/>
      <c r="E102" s="213"/>
      <c r="F102" s="213"/>
      <c r="G102" s="213"/>
      <c r="H102" s="213"/>
      <c r="I102" s="213"/>
      <c r="J102" s="213"/>
      <c r="K102" s="213"/>
      <c r="L102" s="213"/>
      <c r="M102" s="213"/>
      <c r="N102" s="213"/>
      <c r="O102" s="213"/>
      <c r="P102" s="213"/>
      <c r="Q102" s="213"/>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row>
    <row r="103" spans="1:52" x14ac:dyDescent="0.2">
      <c r="A103" s="213"/>
      <c r="B103" s="213"/>
      <c r="C103" s="213"/>
      <c r="D103" s="213"/>
      <c r="E103" s="213"/>
      <c r="F103" s="213"/>
      <c r="G103" s="213"/>
      <c r="H103" s="213"/>
      <c r="I103" s="213"/>
      <c r="J103" s="213"/>
      <c r="K103" s="213"/>
      <c r="L103" s="213"/>
      <c r="M103" s="213"/>
      <c r="N103" s="213"/>
      <c r="O103" s="213"/>
      <c r="P103" s="213"/>
      <c r="Q103" s="213"/>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row>
    <row r="104" spans="1:52" x14ac:dyDescent="0.2">
      <c r="A104" s="213"/>
      <c r="B104" s="213"/>
      <c r="C104" s="213"/>
      <c r="D104" s="213"/>
      <c r="E104" s="213"/>
      <c r="F104" s="213"/>
      <c r="G104" s="213"/>
      <c r="H104" s="213"/>
      <c r="I104" s="213"/>
      <c r="J104" s="213"/>
      <c r="K104" s="213"/>
      <c r="L104" s="213"/>
      <c r="M104" s="213"/>
      <c r="N104" s="213"/>
      <c r="O104" s="213"/>
      <c r="P104" s="213"/>
      <c r="Q104" s="213"/>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row>
    <row r="105" spans="1:52" x14ac:dyDescent="0.2">
      <c r="A105" s="213"/>
      <c r="B105" s="213"/>
      <c r="C105" s="213"/>
      <c r="D105" s="213"/>
      <c r="E105" s="213"/>
      <c r="F105" s="213"/>
      <c r="G105" s="213"/>
      <c r="H105" s="213"/>
      <c r="I105" s="213"/>
      <c r="J105" s="213"/>
      <c r="K105" s="213"/>
      <c r="L105" s="213"/>
      <c r="M105" s="213"/>
      <c r="N105" s="213"/>
      <c r="O105" s="213"/>
      <c r="P105" s="213"/>
      <c r="Q105" s="213"/>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row>
    <row r="106" spans="1:52" x14ac:dyDescent="0.2">
      <c r="A106" s="213"/>
      <c r="B106" s="213"/>
      <c r="C106" s="213"/>
      <c r="D106" s="213"/>
      <c r="E106" s="213"/>
      <c r="F106" s="213"/>
      <c r="G106" s="213"/>
      <c r="H106" s="213"/>
      <c r="I106" s="213"/>
      <c r="J106" s="213"/>
      <c r="K106" s="213"/>
      <c r="L106" s="213"/>
      <c r="M106" s="213"/>
      <c r="N106" s="213"/>
      <c r="O106" s="213"/>
      <c r="P106" s="213"/>
      <c r="Q106" s="213"/>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row>
    <row r="107" spans="1:52" x14ac:dyDescent="0.2">
      <c r="A107" s="213"/>
      <c r="B107" s="213"/>
      <c r="C107" s="213"/>
      <c r="D107" s="213"/>
      <c r="E107" s="213"/>
      <c r="F107" s="213"/>
      <c r="G107" s="213"/>
      <c r="H107" s="213"/>
      <c r="I107" s="213"/>
      <c r="J107" s="213"/>
      <c r="K107" s="213"/>
      <c r="L107" s="213"/>
      <c r="M107" s="213"/>
      <c r="N107" s="213"/>
      <c r="O107" s="213"/>
      <c r="P107" s="213"/>
      <c r="Q107" s="213"/>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row>
    <row r="108" spans="1:52" x14ac:dyDescent="0.2">
      <c r="A108" s="213"/>
      <c r="B108" s="213"/>
      <c r="C108" s="213"/>
      <c r="D108" s="213"/>
      <c r="E108" s="213"/>
      <c r="F108" s="213"/>
      <c r="G108" s="213"/>
      <c r="H108" s="213"/>
      <c r="I108" s="213"/>
      <c r="J108" s="213"/>
      <c r="K108" s="213"/>
      <c r="L108" s="213"/>
      <c r="M108" s="213"/>
      <c r="N108" s="213"/>
      <c r="O108" s="213"/>
      <c r="P108" s="213"/>
      <c r="Q108" s="213"/>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row>
    <row r="109" spans="1:52" x14ac:dyDescent="0.2">
      <c r="A109" s="213"/>
      <c r="B109" s="213"/>
      <c r="C109" s="213"/>
      <c r="D109" s="213"/>
      <c r="E109" s="213"/>
      <c r="F109" s="213"/>
      <c r="G109" s="213"/>
      <c r="H109" s="213"/>
      <c r="I109" s="213"/>
      <c r="J109" s="213"/>
      <c r="K109" s="213"/>
      <c r="L109" s="213"/>
      <c r="M109" s="213"/>
      <c r="N109" s="213"/>
      <c r="O109" s="213"/>
      <c r="P109" s="213"/>
      <c r="Q109" s="213"/>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row>
    <row r="110" spans="1:52" x14ac:dyDescent="0.2">
      <c r="A110" s="213"/>
      <c r="B110" s="213"/>
      <c r="C110" s="213"/>
      <c r="D110" s="213"/>
      <c r="E110" s="213"/>
      <c r="F110" s="213"/>
      <c r="G110" s="213"/>
      <c r="H110" s="213"/>
      <c r="I110" s="213"/>
      <c r="J110" s="213"/>
      <c r="K110" s="213"/>
      <c r="L110" s="213"/>
      <c r="M110" s="213"/>
      <c r="N110" s="213"/>
      <c r="O110" s="213"/>
      <c r="P110" s="213"/>
      <c r="Q110" s="213"/>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row>
    <row r="111" spans="1:52" x14ac:dyDescent="0.2">
      <c r="A111" s="213"/>
      <c r="B111" s="213"/>
      <c r="C111" s="213"/>
      <c r="D111" s="213"/>
      <c r="E111" s="213"/>
      <c r="F111" s="213"/>
      <c r="G111" s="213"/>
      <c r="H111" s="213"/>
      <c r="I111" s="213"/>
      <c r="J111" s="213"/>
      <c r="K111" s="213"/>
      <c r="L111" s="213"/>
      <c r="M111" s="213"/>
      <c r="N111" s="213"/>
      <c r="O111" s="213"/>
      <c r="P111" s="213"/>
      <c r="Q111" s="213"/>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row>
    <row r="112" spans="1:52" x14ac:dyDescent="0.2">
      <c r="A112" s="213"/>
      <c r="B112" s="213"/>
      <c r="C112" s="213"/>
      <c r="D112" s="213"/>
      <c r="E112" s="213"/>
      <c r="F112" s="213"/>
      <c r="G112" s="213"/>
      <c r="H112" s="213"/>
      <c r="I112" s="213"/>
      <c r="J112" s="213"/>
      <c r="K112" s="213"/>
      <c r="L112" s="213"/>
      <c r="M112" s="213"/>
      <c r="N112" s="213"/>
      <c r="O112" s="213"/>
      <c r="P112" s="213"/>
      <c r="Q112" s="213"/>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row>
    <row r="113" spans="1:52" x14ac:dyDescent="0.2">
      <c r="A113" s="213"/>
      <c r="B113" s="213"/>
      <c r="C113" s="213"/>
      <c r="D113" s="213"/>
      <c r="E113" s="213"/>
      <c r="F113" s="213"/>
      <c r="G113" s="213"/>
      <c r="H113" s="213"/>
      <c r="I113" s="213"/>
      <c r="J113" s="213"/>
      <c r="K113" s="213"/>
      <c r="L113" s="213"/>
      <c r="M113" s="213"/>
      <c r="N113" s="213"/>
      <c r="O113" s="213"/>
      <c r="P113" s="213"/>
      <c r="Q113" s="213"/>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row>
    <row r="114" spans="1:52" x14ac:dyDescent="0.2">
      <c r="A114" s="213"/>
      <c r="B114" s="213"/>
      <c r="C114" s="213"/>
      <c r="D114" s="213"/>
      <c r="E114" s="213"/>
      <c r="F114" s="213"/>
      <c r="G114" s="213"/>
      <c r="H114" s="213"/>
      <c r="I114" s="213"/>
      <c r="J114" s="213"/>
      <c r="K114" s="213"/>
      <c r="L114" s="213"/>
      <c r="M114" s="213"/>
      <c r="N114" s="213"/>
      <c r="O114" s="213"/>
      <c r="P114" s="213"/>
      <c r="Q114" s="213"/>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row>
    <row r="115" spans="1:52" x14ac:dyDescent="0.2">
      <c r="A115" s="213"/>
      <c r="B115" s="213"/>
      <c r="C115" s="213"/>
      <c r="D115" s="213"/>
      <c r="E115" s="213"/>
      <c r="F115" s="213"/>
      <c r="G115" s="213"/>
      <c r="H115" s="213"/>
      <c r="I115" s="213"/>
      <c r="J115" s="213"/>
      <c r="K115" s="213"/>
      <c r="L115" s="213"/>
      <c r="M115" s="213"/>
      <c r="N115" s="213"/>
      <c r="O115" s="213"/>
      <c r="P115" s="213"/>
      <c r="Q115" s="213"/>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row>
    <row r="116" spans="1:52" x14ac:dyDescent="0.2">
      <c r="A116" s="213"/>
      <c r="B116" s="213"/>
      <c r="C116" s="213"/>
      <c r="D116" s="213"/>
      <c r="E116" s="213"/>
      <c r="F116" s="213"/>
      <c r="G116" s="213"/>
      <c r="H116" s="213"/>
      <c r="I116" s="213"/>
      <c r="J116" s="213"/>
      <c r="K116" s="213"/>
      <c r="L116" s="213"/>
      <c r="M116" s="213"/>
      <c r="N116" s="213"/>
      <c r="O116" s="213"/>
      <c r="P116" s="213"/>
      <c r="Q116" s="213"/>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row>
    <row r="117" spans="1:52" x14ac:dyDescent="0.2">
      <c r="A117" s="213"/>
      <c r="B117" s="213"/>
      <c r="C117" s="213"/>
      <c r="D117" s="213"/>
      <c r="E117" s="213"/>
      <c r="F117" s="213"/>
      <c r="G117" s="213"/>
      <c r="H117" s="213"/>
      <c r="I117" s="213"/>
      <c r="J117" s="213"/>
      <c r="K117" s="213"/>
      <c r="L117" s="213"/>
      <c r="M117" s="213"/>
      <c r="N117" s="213"/>
      <c r="O117" s="213"/>
      <c r="P117" s="213"/>
      <c r="Q117" s="213"/>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row>
    <row r="118" spans="1:52" x14ac:dyDescent="0.2">
      <c r="A118" s="213"/>
      <c r="B118" s="213"/>
      <c r="C118" s="213"/>
      <c r="D118" s="213"/>
      <c r="E118" s="213"/>
      <c r="F118" s="213"/>
      <c r="G118" s="213"/>
      <c r="H118" s="213"/>
      <c r="I118" s="213"/>
      <c r="J118" s="213"/>
      <c r="K118" s="213"/>
      <c r="L118" s="213"/>
      <c r="M118" s="213"/>
      <c r="N118" s="213"/>
      <c r="O118" s="213"/>
      <c r="P118" s="213"/>
      <c r="Q118" s="213"/>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row>
    <row r="119" spans="1:52" x14ac:dyDescent="0.2">
      <c r="A119" s="213"/>
      <c r="B119" s="213"/>
      <c r="C119" s="213"/>
      <c r="D119" s="213"/>
      <c r="E119" s="213"/>
      <c r="F119" s="213"/>
      <c r="G119" s="213"/>
      <c r="H119" s="213"/>
      <c r="I119" s="213"/>
      <c r="J119" s="213"/>
      <c r="K119" s="213"/>
      <c r="L119" s="213"/>
      <c r="M119" s="213"/>
      <c r="N119" s="213"/>
      <c r="O119" s="213"/>
      <c r="P119" s="213"/>
      <c r="Q119" s="213"/>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row>
    <row r="120" spans="1:52" x14ac:dyDescent="0.2">
      <c r="A120" s="213"/>
      <c r="B120" s="213"/>
      <c r="C120" s="213"/>
      <c r="D120" s="213"/>
      <c r="E120" s="213"/>
      <c r="F120" s="213"/>
      <c r="G120" s="213"/>
      <c r="H120" s="213"/>
      <c r="I120" s="213"/>
      <c r="J120" s="213"/>
      <c r="K120" s="213"/>
      <c r="L120" s="213"/>
      <c r="M120" s="213"/>
      <c r="N120" s="213"/>
      <c r="O120" s="213"/>
      <c r="P120" s="213"/>
      <c r="Q120" s="213"/>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row>
    <row r="121" spans="1:52" x14ac:dyDescent="0.2">
      <c r="A121" s="213"/>
      <c r="B121" s="213"/>
      <c r="C121" s="213"/>
      <c r="D121" s="213"/>
      <c r="E121" s="213"/>
      <c r="F121" s="213"/>
      <c r="G121" s="213"/>
      <c r="H121" s="213"/>
      <c r="I121" s="213"/>
      <c r="J121" s="213"/>
      <c r="K121" s="213"/>
      <c r="L121" s="213"/>
      <c r="M121" s="213"/>
      <c r="N121" s="213"/>
      <c r="O121" s="213"/>
      <c r="P121" s="213"/>
      <c r="Q121" s="213"/>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row>
    <row r="122" spans="1:52" x14ac:dyDescent="0.2">
      <c r="A122" s="213"/>
      <c r="B122" s="213"/>
      <c r="C122" s="213"/>
      <c r="D122" s="213"/>
      <c r="E122" s="213"/>
      <c r="F122" s="213"/>
      <c r="G122" s="213"/>
      <c r="H122" s="213"/>
      <c r="I122" s="213"/>
      <c r="J122" s="213"/>
      <c r="K122" s="213"/>
      <c r="L122" s="213"/>
      <c r="M122" s="213"/>
      <c r="N122" s="213"/>
      <c r="O122" s="213"/>
      <c r="P122" s="213"/>
      <c r="Q122" s="213"/>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row>
    <row r="123" spans="1:52" x14ac:dyDescent="0.2">
      <c r="A123" s="213"/>
      <c r="B123" s="213"/>
      <c r="C123" s="213"/>
      <c r="D123" s="213"/>
      <c r="E123" s="213"/>
      <c r="F123" s="213"/>
      <c r="G123" s="213"/>
      <c r="H123" s="213"/>
      <c r="I123" s="213"/>
      <c r="J123" s="213"/>
      <c r="K123" s="213"/>
      <c r="L123" s="213"/>
      <c r="M123" s="213"/>
      <c r="N123" s="213"/>
      <c r="O123" s="213"/>
      <c r="P123" s="213"/>
      <c r="Q123" s="213"/>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row>
    <row r="124" spans="1:52" x14ac:dyDescent="0.2">
      <c r="A124" s="213"/>
      <c r="B124" s="213"/>
      <c r="C124" s="213"/>
      <c r="D124" s="213"/>
      <c r="E124" s="213"/>
      <c r="F124" s="213"/>
      <c r="G124" s="213"/>
      <c r="H124" s="213"/>
      <c r="I124" s="213"/>
      <c r="J124" s="213"/>
      <c r="K124" s="213"/>
      <c r="L124" s="213"/>
      <c r="M124" s="213"/>
      <c r="N124" s="213"/>
      <c r="O124" s="213"/>
      <c r="P124" s="213"/>
      <c r="Q124" s="213"/>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row>
    <row r="125" spans="1:52" x14ac:dyDescent="0.2">
      <c r="A125" s="213"/>
      <c r="B125" s="213"/>
      <c r="C125" s="213"/>
      <c r="D125" s="213"/>
      <c r="E125" s="213"/>
      <c r="F125" s="213"/>
      <c r="G125" s="213"/>
      <c r="H125" s="213"/>
      <c r="I125" s="213"/>
      <c r="J125" s="213"/>
      <c r="K125" s="213"/>
      <c r="L125" s="213"/>
      <c r="M125" s="213"/>
      <c r="N125" s="213"/>
      <c r="O125" s="213"/>
      <c r="P125" s="213"/>
      <c r="Q125" s="213"/>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row>
    <row r="126" spans="1:52" x14ac:dyDescent="0.2">
      <c r="A126" s="213"/>
      <c r="B126" s="213"/>
      <c r="C126" s="213"/>
      <c r="D126" s="213"/>
      <c r="E126" s="213"/>
      <c r="F126" s="213"/>
      <c r="G126" s="213"/>
      <c r="H126" s="213"/>
      <c r="I126" s="213"/>
      <c r="J126" s="213"/>
      <c r="K126" s="213"/>
      <c r="L126" s="213"/>
      <c r="M126" s="213"/>
      <c r="N126" s="213"/>
      <c r="O126" s="213"/>
      <c r="P126" s="213"/>
      <c r="Q126" s="213"/>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row>
    <row r="127" spans="1:52" x14ac:dyDescent="0.2">
      <c r="A127" s="213"/>
      <c r="B127" s="213"/>
      <c r="C127" s="213"/>
      <c r="D127" s="213"/>
      <c r="E127" s="213"/>
      <c r="F127" s="213"/>
      <c r="G127" s="213"/>
      <c r="H127" s="213"/>
      <c r="I127" s="213"/>
      <c r="J127" s="213"/>
      <c r="K127" s="213"/>
      <c r="L127" s="213"/>
      <c r="M127" s="213"/>
      <c r="N127" s="213"/>
      <c r="O127" s="213"/>
      <c r="P127" s="213"/>
      <c r="Q127" s="213"/>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row>
    <row r="128" spans="1:52" x14ac:dyDescent="0.2">
      <c r="A128" s="213"/>
      <c r="B128" s="213"/>
      <c r="C128" s="213"/>
      <c r="D128" s="213"/>
      <c r="E128" s="213"/>
      <c r="F128" s="213"/>
      <c r="G128" s="213"/>
      <c r="H128" s="213"/>
      <c r="I128" s="213"/>
      <c r="J128" s="213"/>
      <c r="K128" s="213"/>
      <c r="L128" s="213"/>
      <c r="M128" s="213"/>
      <c r="N128" s="213"/>
      <c r="O128" s="213"/>
      <c r="P128" s="213"/>
      <c r="Q128" s="213"/>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row>
    <row r="129" spans="1:52" x14ac:dyDescent="0.2">
      <c r="A129" s="213"/>
      <c r="B129" s="213"/>
      <c r="C129" s="213"/>
      <c r="D129" s="213"/>
      <c r="E129" s="213"/>
      <c r="F129" s="213"/>
      <c r="G129" s="213"/>
      <c r="H129" s="213"/>
      <c r="I129" s="213"/>
      <c r="J129" s="213"/>
      <c r="K129" s="213"/>
      <c r="L129" s="213"/>
      <c r="M129" s="213"/>
      <c r="N129" s="213"/>
      <c r="O129" s="213"/>
      <c r="P129" s="213"/>
      <c r="Q129" s="213"/>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row>
    <row r="130" spans="1:52" x14ac:dyDescent="0.2">
      <c r="A130" s="213"/>
      <c r="B130" s="213"/>
      <c r="C130" s="213"/>
      <c r="D130" s="213"/>
      <c r="E130" s="213"/>
      <c r="F130" s="213"/>
      <c r="G130" s="213"/>
      <c r="H130" s="213"/>
      <c r="I130" s="213"/>
      <c r="J130" s="213"/>
      <c r="K130" s="213"/>
      <c r="L130" s="213"/>
      <c r="M130" s="213"/>
      <c r="N130" s="21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row>
    <row r="131" spans="1:52" x14ac:dyDescent="0.2">
      <c r="A131" s="213"/>
      <c r="B131" s="213"/>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row>
    <row r="132" spans="1:52" x14ac:dyDescent="0.2">
      <c r="A132" s="213"/>
      <c r="B132" s="213"/>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row>
    <row r="133" spans="1:52" x14ac:dyDescent="0.2">
      <c r="A133" s="213"/>
      <c r="B133" s="213"/>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row>
    <row r="134" spans="1:52" x14ac:dyDescent="0.2">
      <c r="A134" s="213"/>
      <c r="B134" s="213"/>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row>
    <row r="135" spans="1:52" x14ac:dyDescent="0.2">
      <c r="A135" s="213"/>
      <c r="B135" s="213"/>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row>
    <row r="136" spans="1:52" x14ac:dyDescent="0.2">
      <c r="A136" s="213"/>
      <c r="B136" s="213"/>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row>
    <row r="137" spans="1:52" x14ac:dyDescent="0.2">
      <c r="A137" s="213"/>
      <c r="B137" s="213"/>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row>
    <row r="138" spans="1:52" x14ac:dyDescent="0.2">
      <c r="A138" s="213"/>
      <c r="B138" s="213"/>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row>
    <row r="139" spans="1:52" x14ac:dyDescent="0.2">
      <c r="A139" s="213"/>
      <c r="B139" s="213"/>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row>
    <row r="140" spans="1:52" x14ac:dyDescent="0.2">
      <c r="A140" s="213"/>
      <c r="B140" s="213"/>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row>
    <row r="141" spans="1:52" x14ac:dyDescent="0.2">
      <c r="A141" s="213"/>
      <c r="B141" s="213"/>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row>
    <row r="142" spans="1:52" x14ac:dyDescent="0.2">
      <c r="A142" s="213"/>
      <c r="B142" s="213"/>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row>
    <row r="143" spans="1:52" x14ac:dyDescent="0.2">
      <c r="A143" s="213"/>
      <c r="B143" s="213"/>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row>
    <row r="144" spans="1:52" x14ac:dyDescent="0.2">
      <c r="A144" s="213"/>
      <c r="B144" s="213"/>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row>
    <row r="145" spans="1:52" x14ac:dyDescent="0.2">
      <c r="A145" s="213"/>
      <c r="B145" s="213"/>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row>
    <row r="146" spans="1:52" x14ac:dyDescent="0.2">
      <c r="A146" s="213"/>
      <c r="B146" s="213"/>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row>
    <row r="147" spans="1:52" x14ac:dyDescent="0.2">
      <c r="A147" s="213"/>
      <c r="B147" s="213"/>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row>
    <row r="148" spans="1:52" x14ac:dyDescent="0.2">
      <c r="A148" s="213"/>
      <c r="B148" s="213"/>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row>
    <row r="149" spans="1:52" x14ac:dyDescent="0.2">
      <c r="A149" s="213"/>
      <c r="B149" s="213"/>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row>
    <row r="150" spans="1:52" x14ac:dyDescent="0.2">
      <c r="A150" s="213"/>
      <c r="B150" s="213"/>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row>
    <row r="151" spans="1:52" x14ac:dyDescent="0.2">
      <c r="A151" s="213"/>
      <c r="B151" s="213"/>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row>
    <row r="152" spans="1:52" x14ac:dyDescent="0.2">
      <c r="A152" s="213"/>
      <c r="B152" s="213"/>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row>
    <row r="153" spans="1:52" x14ac:dyDescent="0.2">
      <c r="A153" s="213"/>
      <c r="B153" s="213"/>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row>
  </sheetData>
  <sheetProtection algorithmName="SHA-512" hashValue="bU5SLjRW0CqUtO54VwEZM43l9JrYk1K6l6GezoZOj7BKGUA96aM7vZ8xXXD23aO1JG0IkO7F2FWiXE9P6gdPzw==" saltValue="TeS0iccWpUhaHBx+5lkTlA==" spinCount="100000" sheet="1" objects="1" scenarios="1"/>
  <conditionalFormatting sqref="C4">
    <cfRule type="cellIs" dxfId="18" priority="13" operator="greaterThan">
      <formula>$I$4</formula>
    </cfRule>
  </conditionalFormatting>
  <conditionalFormatting sqref="C5">
    <cfRule type="cellIs" dxfId="17" priority="15" operator="greaterThan">
      <formula>$I$5</formula>
    </cfRule>
  </conditionalFormatting>
  <conditionalFormatting sqref="C6">
    <cfRule type="cellIs" dxfId="16" priority="12" operator="greaterThan">
      <formula>$I$6</formula>
    </cfRule>
  </conditionalFormatting>
  <conditionalFormatting sqref="C7">
    <cfRule type="cellIs" dxfId="15" priority="11" operator="greaterThan">
      <formula>$I$7</formula>
    </cfRule>
  </conditionalFormatting>
  <conditionalFormatting sqref="C8">
    <cfRule type="cellIs" dxfId="14" priority="9" operator="greaterThan">
      <formula>$I$8</formula>
    </cfRule>
  </conditionalFormatting>
  <conditionalFormatting sqref="C9">
    <cfRule type="cellIs" dxfId="13" priority="8" operator="greaterThan">
      <formula>$I$9</formula>
    </cfRule>
  </conditionalFormatting>
  <conditionalFormatting sqref="C10">
    <cfRule type="cellIs" dxfId="12" priority="7" operator="greaterThan">
      <formula>$I$10</formula>
    </cfRule>
  </conditionalFormatting>
  <conditionalFormatting sqref="C11">
    <cfRule type="cellIs" dxfId="11" priority="6" operator="greaterThan">
      <formula>$I$11</formula>
    </cfRule>
  </conditionalFormatting>
  <conditionalFormatting sqref="C12">
    <cfRule type="cellIs" dxfId="10" priority="5" operator="greaterThan">
      <formula>$I$12</formula>
    </cfRule>
  </conditionalFormatting>
  <conditionalFormatting sqref="C13">
    <cfRule type="cellIs" dxfId="9" priority="4" operator="greaterThan">
      <formula>$I$13</formula>
    </cfRule>
  </conditionalFormatting>
  <conditionalFormatting sqref="C14">
    <cfRule type="cellIs" dxfId="8" priority="3" operator="greaterThan">
      <formula>$I$14</formula>
    </cfRule>
  </conditionalFormatting>
  <conditionalFormatting sqref="C3:G3 D4:G14">
    <cfRule type="cellIs" dxfId="7" priority="14" operator="greaterThan">
      <formula>$I$3</formula>
    </cfRule>
  </conditionalFormatting>
  <conditionalFormatting sqref="C16:G16">
    <cfRule type="cellIs" dxfId="6" priority="18" operator="greaterThan">
      <formula>$I$16</formula>
    </cfRule>
  </conditionalFormatting>
  <conditionalFormatting sqref="C17:G17">
    <cfRule type="cellIs" dxfId="5" priority="17" operator="greaterThan">
      <formula>$I$17</formula>
    </cfRule>
  </conditionalFormatting>
  <conditionalFormatting sqref="C18:G18">
    <cfRule type="cellIs" dxfId="4" priority="2" operator="greaterThan">
      <formula>$I$18</formula>
    </cfRule>
  </conditionalFormatting>
  <conditionalFormatting sqref="C19:G19">
    <cfRule type="cellIs" dxfId="3" priority="1" operator="greaterThan">
      <formula>$I$19</formula>
    </cfRule>
  </conditionalFormatting>
  <dataValidations disablePrompts="1" count="1">
    <dataValidation type="whole" operator="lessThan" allowBlank="1" showInputMessage="1" showErrorMessage="1" sqref="H54" xr:uid="{FDCFFBF1-6ECE-4ACF-909C-6CE0F755C5B9}">
      <formula1>-9999</formula1>
    </dataValidation>
  </dataValidations>
  <printOptions horizontalCentered="1"/>
  <pageMargins left="0.59055118110236227" right="0.59055118110236227" top="0.78740157480314965" bottom="0.78740157480314965" header="0.31496062992125984" footer="0.31496062992125984"/>
  <pageSetup paperSize="9" scale="61" fitToHeight="0"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4">
    <pageSetUpPr fitToPage="1"/>
  </sheetPr>
  <dimension ref="A1:BH505"/>
  <sheetViews>
    <sheetView zoomScaleNormal="100" workbookViewId="0">
      <pane xSplit="2" ySplit="3" topLeftCell="C4" activePane="bottomRight" state="frozen"/>
      <selection pane="topRight"/>
      <selection pane="bottomLeft"/>
      <selection pane="bottomRight" activeCell="G4" sqref="G4"/>
    </sheetView>
  </sheetViews>
  <sheetFormatPr baseColWidth="10" defaultColWidth="11" defaultRowHeight="12.75" outlineLevelCol="1" x14ac:dyDescent="0.2"/>
  <cols>
    <col min="1" max="1" width="3.625" style="39" customWidth="1"/>
    <col min="2" max="3" width="19.625" style="39" customWidth="1"/>
    <col min="4" max="5" width="7.625" style="39" customWidth="1"/>
    <col min="6" max="6" width="11.625" style="39" customWidth="1"/>
    <col min="7" max="7" width="14.625" style="39" customWidth="1"/>
    <col min="8" max="8" width="11" style="39" customWidth="1"/>
    <col min="9" max="9" width="13.625" style="39" customWidth="1"/>
    <col min="10" max="10" width="10.375" style="39" hidden="1" customWidth="1" outlineLevel="1"/>
    <col min="11" max="11" width="10.75" style="39" hidden="1" customWidth="1" outlineLevel="1"/>
    <col min="12" max="12" width="11.625" style="39" hidden="1" customWidth="1" outlineLevel="1"/>
    <col min="13" max="13" width="10.375" style="39" hidden="1" customWidth="1" outlineLevel="1"/>
    <col min="14" max="14" width="11.625" style="39" hidden="1" customWidth="1" outlineLevel="1"/>
    <col min="15" max="15" width="7.375" style="39" hidden="1" customWidth="1" outlineLevel="1"/>
    <col min="16" max="16" width="13.625" style="39" customWidth="1" collapsed="1"/>
    <col min="17" max="17" width="3.5" style="39" hidden="1" customWidth="1"/>
    <col min="18" max="18" width="3.5" style="39" customWidth="1"/>
    <col min="19" max="19" width="11.125" style="39" customWidth="1"/>
    <col min="20" max="20" width="6.5" style="39" hidden="1" customWidth="1"/>
    <col min="21" max="21" width="2.625" style="39" customWidth="1"/>
    <col min="22" max="22" width="8.375" style="39" customWidth="1" outlineLevel="1"/>
    <col min="23" max="25" width="11.125" style="39" customWidth="1" outlineLevel="1"/>
    <col min="26" max="26" width="2.5" customWidth="1" outlineLevel="1"/>
    <col min="27" max="27" width="11.125" customWidth="1" outlineLevel="1"/>
    <col min="28" max="29" width="11.125" style="39" customWidth="1" outlineLevel="1"/>
    <col min="30" max="30" width="3.625" style="39" customWidth="1"/>
    <col min="31" max="38" width="11" style="16"/>
    <col min="39" max="16384" width="11" style="39"/>
  </cols>
  <sheetData>
    <row r="1" spans="1:60" s="40" customFormat="1" ht="29.25" customHeight="1" x14ac:dyDescent="0.2">
      <c r="A1" s="533" t="str">
        <f>IF(Stammblatt!L4=1,"DARSTELLER*INNEN","CAST")</f>
        <v>DARSTELLER*INNEN</v>
      </c>
      <c r="B1" s="534"/>
      <c r="C1" s="534"/>
      <c r="D1" s="534"/>
      <c r="E1" s="534"/>
      <c r="F1" s="534"/>
      <c r="G1" s="534"/>
      <c r="H1" s="534"/>
      <c r="I1" s="534"/>
      <c r="J1" s="1494" t="str">
        <f>IF(Stammblatt!$L$4=1,"SV-DGA","social security")</f>
        <v>SV-DGA</v>
      </c>
      <c r="K1" s="1495"/>
      <c r="L1" s="673"/>
      <c r="M1" s="673"/>
      <c r="N1" s="1467" t="str">
        <f>IF(Stammblatt!$L$4=1,"Kommunal-steuer","municipal tax")</f>
        <v>Kommunal-steuer</v>
      </c>
      <c r="O1" s="1467" t="str">
        <f>IF(Stammblatt!$L$4=1,"U-Bahn Abgabe","subway toll")</f>
        <v>U-Bahn Abgabe</v>
      </c>
      <c r="P1" s="1470" t="str">
        <f>IF(Stammblatt!$L$4=1,"SUMME Lohnneben-kosten","T O T A L   non-wage labour costs")</f>
        <v>SUMME Lohnneben-kosten</v>
      </c>
      <c r="Q1" s="1489" t="str">
        <f>IF(Stammblatt!L4=1,"weiblich","female")</f>
        <v>weiblich</v>
      </c>
      <c r="R1" s="534"/>
      <c r="S1" s="538" t="str">
        <f>IF(Stammblatt!$L$4=1,"KOSTÜME","COSTUMES")</f>
        <v>KOSTÜME</v>
      </c>
      <c r="T1" s="534"/>
      <c r="U1" s="534"/>
      <c r="V1" s="1485" t="s">
        <v>847</v>
      </c>
      <c r="W1" s="1485"/>
      <c r="X1" s="1485"/>
      <c r="Y1" s="1485"/>
      <c r="Z1" s="534"/>
      <c r="AA1" s="1486" t="str">
        <f>IF(Stammblatt!$L$4=1,"K O S T Ü M E","C O S T U M E S")</f>
        <v>K O S T Ü M E</v>
      </c>
      <c r="AB1" s="1486"/>
      <c r="AC1" s="1486"/>
      <c r="AD1" s="534"/>
      <c r="AE1" s="569"/>
      <c r="AF1" s="569"/>
      <c r="AG1" s="569"/>
      <c r="AH1" s="569"/>
      <c r="AI1" s="569"/>
      <c r="AJ1" s="569"/>
      <c r="AK1" s="569"/>
      <c r="AL1" s="569"/>
      <c r="AM1" s="534"/>
      <c r="AN1" s="534"/>
      <c r="AO1" s="534"/>
      <c r="AP1" s="534"/>
      <c r="AQ1" s="534"/>
      <c r="AR1" s="534"/>
      <c r="AS1" s="534"/>
      <c r="AT1" s="534"/>
      <c r="AU1" s="534"/>
      <c r="AV1" s="534"/>
      <c r="AW1" s="534"/>
      <c r="AX1" s="534"/>
      <c r="AY1" s="534"/>
      <c r="AZ1" s="534"/>
      <c r="BA1" s="534"/>
      <c r="BB1" s="534"/>
      <c r="BC1" s="534"/>
      <c r="BD1" s="534"/>
      <c r="BE1" s="534"/>
      <c r="BF1" s="534"/>
      <c r="BG1" s="534"/>
      <c r="BH1" s="534"/>
    </row>
    <row r="2" spans="1:60" s="40" customFormat="1" ht="12.75" customHeight="1" x14ac:dyDescent="0.2">
      <c r="A2" s="535"/>
      <c r="B2" s="536"/>
      <c r="C2" s="536"/>
      <c r="D2" s="1483" t="str">
        <f>IF(Stammblatt!L4=1,"Dreh-tage","shooting days")</f>
        <v>Dreh-tage</v>
      </c>
      <c r="E2" s="1483" t="str">
        <f>IF(Stammblatt!L4=1,"Dreh-tage AT","shooting days AT")</f>
        <v>Dreh-tage AT</v>
      </c>
      <c r="F2" s="1483" t="str">
        <f>IF(Stammblatt!L4=1,"Tagesgage","daily rate")</f>
        <v>Tagesgage</v>
      </c>
      <c r="G2" s="1492" t="str">
        <f>IF(Stammblatt!L4=1,"Summe/  Pauschale","Total/     allowance")</f>
        <v>Summe/  Pauschale</v>
      </c>
      <c r="H2" s="1497" t="str">
        <f>IF(Stammblatt!L4=1,"beschränkt EST-pflichtig","subject to limited income tax")</f>
        <v>beschränkt EST-pflichtig</v>
      </c>
      <c r="I2" s="1496" t="s">
        <v>811</v>
      </c>
      <c r="J2" s="673" t="str">
        <f>IF(Stammblatt!L4=1,"laufende","regular")</f>
        <v>laufende</v>
      </c>
      <c r="K2" s="1499" t="str">
        <f>IF(Stammblatt!L4=1,"UEL-laufend","vacational compensation")</f>
        <v>UEL-laufend</v>
      </c>
      <c r="L2" s="673" t="s">
        <v>131</v>
      </c>
      <c r="M2" s="673" t="s">
        <v>132</v>
      </c>
      <c r="N2" s="1468"/>
      <c r="O2" s="1468"/>
      <c r="P2" s="1471"/>
      <c r="Q2" s="1490"/>
      <c r="R2" s="534"/>
      <c r="S2" s="1483" t="str">
        <f>IF(Stammblatt!$L$4=1,"Österreich","Austria")</f>
        <v>Österreich</v>
      </c>
      <c r="T2" s="539"/>
      <c r="U2" s="539"/>
      <c r="V2" s="1483" t="str">
        <f>IF(Stammblatt!L4=1,"Dreh-tage","shooting days")</f>
        <v>Dreh-tage</v>
      </c>
      <c r="W2" s="1483" t="str">
        <f>Stammblatt!B33</f>
        <v>A</v>
      </c>
      <c r="X2" s="1483" t="str">
        <f>Stammblatt!B34</f>
        <v>B</v>
      </c>
      <c r="Y2" s="1483" t="str">
        <f>Stammblatt!B35</f>
        <v>C</v>
      </c>
      <c r="Z2" s="534"/>
      <c r="AA2" s="1487" t="s">
        <v>258</v>
      </c>
      <c r="AB2" s="1487" t="str">
        <f>Stammblatt!B34</f>
        <v>B</v>
      </c>
      <c r="AC2" s="1487" t="str">
        <f>Stammblatt!B35</f>
        <v>C</v>
      </c>
      <c r="AD2" s="534"/>
      <c r="AE2" s="569"/>
      <c r="AF2" s="569"/>
      <c r="AG2" s="569"/>
      <c r="AH2" s="569"/>
      <c r="AI2" s="569"/>
      <c r="AJ2" s="569"/>
      <c r="AK2" s="569"/>
      <c r="AL2" s="569"/>
      <c r="AM2" s="534"/>
      <c r="AN2" s="534"/>
      <c r="AO2" s="534"/>
      <c r="AP2" s="534"/>
      <c r="AQ2" s="534"/>
      <c r="AR2" s="534"/>
      <c r="AS2" s="534"/>
      <c r="AT2" s="534"/>
      <c r="AU2" s="534"/>
      <c r="AV2" s="534"/>
      <c r="AW2" s="534"/>
      <c r="AX2" s="534"/>
      <c r="AY2" s="534"/>
      <c r="AZ2" s="534"/>
      <c r="BA2" s="534"/>
      <c r="BB2" s="534"/>
      <c r="BC2" s="534"/>
      <c r="BD2" s="534"/>
      <c r="BE2" s="534"/>
      <c r="BF2" s="534"/>
      <c r="BG2" s="534"/>
      <c r="BH2" s="534"/>
    </row>
    <row r="3" spans="1:60" s="40" customFormat="1" ht="25.15" customHeight="1" x14ac:dyDescent="0.2">
      <c r="A3" s="537"/>
      <c r="B3" s="721" t="str">
        <f>IF(Stammblatt!L4=1,"Rolle","role")</f>
        <v>Rolle</v>
      </c>
      <c r="C3" s="721" t="s">
        <v>497</v>
      </c>
      <c r="D3" s="1484"/>
      <c r="E3" s="1484"/>
      <c r="F3" s="1484"/>
      <c r="G3" s="1493"/>
      <c r="H3" s="1498" t="s">
        <v>1043</v>
      </c>
      <c r="I3" s="1496"/>
      <c r="J3" s="724" t="str">
        <f>IF(Stammblatt!L4=1,"Bezüge","payments")</f>
        <v>Bezüge</v>
      </c>
      <c r="K3" s="1500"/>
      <c r="L3" s="1182"/>
      <c r="M3" s="1182"/>
      <c r="N3" s="1469" t="s">
        <v>157</v>
      </c>
      <c r="O3" s="1469"/>
      <c r="P3" s="1472"/>
      <c r="Q3" s="1491"/>
      <c r="R3" s="534"/>
      <c r="S3" s="1484"/>
      <c r="T3" s="539"/>
      <c r="U3" s="539"/>
      <c r="V3" s="1484"/>
      <c r="W3" s="1484"/>
      <c r="X3" s="1484"/>
      <c r="Y3" s="1484"/>
      <c r="Z3" s="534"/>
      <c r="AA3" s="1488"/>
      <c r="AB3" s="1488"/>
      <c r="AC3" s="1488"/>
      <c r="AD3" s="534"/>
      <c r="AE3" s="569"/>
      <c r="AF3" s="569"/>
      <c r="AG3" s="569"/>
      <c r="AH3" s="569"/>
      <c r="AI3" s="569"/>
      <c r="AJ3" s="569"/>
      <c r="AK3" s="569"/>
      <c r="AL3" s="569"/>
      <c r="AM3" s="534"/>
      <c r="AN3" s="534"/>
      <c r="AO3" s="534"/>
      <c r="AP3" s="534"/>
      <c r="AQ3" s="534"/>
      <c r="AR3" s="534"/>
      <c r="AS3" s="534"/>
      <c r="AT3" s="534"/>
      <c r="AU3" s="534"/>
      <c r="AV3" s="534"/>
      <c r="AW3" s="534"/>
      <c r="AX3" s="534"/>
      <c r="AY3" s="534"/>
      <c r="AZ3" s="534"/>
      <c r="BA3" s="534"/>
      <c r="BB3" s="534"/>
      <c r="BC3" s="534"/>
      <c r="BD3" s="534"/>
      <c r="BE3" s="534"/>
      <c r="BF3" s="534"/>
      <c r="BG3" s="534"/>
      <c r="BH3" s="534"/>
    </row>
    <row r="4" spans="1:60" s="40" customFormat="1" x14ac:dyDescent="0.2">
      <c r="A4" s="544">
        <v>1</v>
      </c>
      <c r="B4" s="69"/>
      <c r="C4" s="69"/>
      <c r="D4" s="895"/>
      <c r="E4" s="895"/>
      <c r="F4" s="70"/>
      <c r="G4" s="545">
        <f t="shared" ref="G4:G53" si="0">D4*F4</f>
        <v>0</v>
      </c>
      <c r="H4" s="1017"/>
      <c r="I4" s="506"/>
      <c r="J4" s="457">
        <f t="shared" ref="J4:J53" si="1">IF(G4=0,0,IF(G4/D4&gt;SVGrund_lfd_tä,D4*Höchst_Tag,G4*SV_lfd))</f>
        <v>0</v>
      </c>
      <c r="K4" s="457">
        <f>IF((G4-G4/1.1041)&gt;(0.5833*D4/7*SVGrund_lfd_tä),(0.5833*D4/7*Höchst_Tag),(G4-G4/1.1041)*SV_lfd)</f>
        <v>0</v>
      </c>
      <c r="L4" s="457">
        <f>G4*DB</f>
        <v>0</v>
      </c>
      <c r="M4" s="457">
        <f>G4*DZ</f>
        <v>0</v>
      </c>
      <c r="N4" s="457">
        <f>G4*KommSt</f>
        <v>0</v>
      </c>
      <c r="O4" s="457">
        <f>D4/5*U_Bahn</f>
        <v>0</v>
      </c>
      <c r="P4" s="546">
        <f>SUM(J4:O4)</f>
        <v>0</v>
      </c>
      <c r="Q4" s="1029"/>
      <c r="R4" s="534"/>
      <c r="S4" s="1315"/>
      <c r="T4" s="1028" t="b">
        <v>0</v>
      </c>
      <c r="U4" s="720"/>
      <c r="V4" s="69"/>
      <c r="W4" s="1315"/>
      <c r="X4" s="1316"/>
      <c r="Y4" s="1315"/>
      <c r="Z4" s="534"/>
      <c r="AA4" s="1316"/>
      <c r="AB4" s="1316"/>
      <c r="AC4" s="1315"/>
      <c r="AD4" s="534"/>
      <c r="AE4" s="569"/>
      <c r="AF4" s="569"/>
      <c r="AG4" s="569"/>
      <c r="AH4" s="569"/>
      <c r="AI4" s="569"/>
      <c r="AJ4" s="569"/>
      <c r="AK4" s="569"/>
      <c r="AL4" s="569"/>
      <c r="AM4" s="534"/>
      <c r="AN4" s="534"/>
      <c r="AO4" s="534"/>
      <c r="AP4" s="534"/>
      <c r="AQ4" s="534"/>
      <c r="AR4" s="534"/>
      <c r="AS4" s="534"/>
      <c r="AT4" s="534"/>
      <c r="AU4" s="534"/>
      <c r="AV4" s="534"/>
      <c r="AW4" s="534"/>
      <c r="AX4" s="534"/>
      <c r="AY4" s="534"/>
      <c r="AZ4" s="534"/>
      <c r="BA4" s="534"/>
      <c r="BB4" s="534"/>
      <c r="BC4" s="534"/>
      <c r="BD4" s="534"/>
      <c r="BE4" s="534"/>
      <c r="BF4" s="534"/>
      <c r="BG4" s="534"/>
      <c r="BH4" s="534"/>
    </row>
    <row r="5" spans="1:60" s="40" customFormat="1" x14ac:dyDescent="0.2">
      <c r="A5" s="544">
        <v>2</v>
      </c>
      <c r="B5" s="69"/>
      <c r="C5" s="69"/>
      <c r="D5" s="895"/>
      <c r="E5" s="895"/>
      <c r="F5" s="70"/>
      <c r="G5" s="545">
        <f t="shared" si="0"/>
        <v>0</v>
      </c>
      <c r="H5" s="1017"/>
      <c r="I5" s="506"/>
      <c r="J5" s="457">
        <f t="shared" si="1"/>
        <v>0</v>
      </c>
      <c r="K5" s="457">
        <f t="shared" ref="K5:K53" si="2">IF((G5-G5/1.1041)&gt;(0.5833*D5/7*SVGrund_lfd_tä),(0.5833*D5/7*Höchst_Tag),(G5-G5/1.1041)*SV_lfd)</f>
        <v>0</v>
      </c>
      <c r="L5" s="457">
        <f t="shared" ref="L5:L53" si="3">G5*DB</f>
        <v>0</v>
      </c>
      <c r="M5" s="457">
        <f t="shared" ref="M5:M53" si="4">G5*DZ</f>
        <v>0</v>
      </c>
      <c r="N5" s="457">
        <f t="shared" ref="N5:N53" si="5">G5*KommSt</f>
        <v>0</v>
      </c>
      <c r="O5" s="457">
        <f t="shared" ref="O5:O53" si="6">D5/5*U_Bahn</f>
        <v>0</v>
      </c>
      <c r="P5" s="449">
        <f t="shared" ref="P5:P53" si="7">SUM(J5:O5)</f>
        <v>0</v>
      </c>
      <c r="Q5" s="1029"/>
      <c r="R5" s="534"/>
      <c r="S5" s="1315"/>
      <c r="T5" s="1028" t="b">
        <v>0</v>
      </c>
      <c r="U5" s="549"/>
      <c r="V5" s="69"/>
      <c r="W5" s="1315"/>
      <c r="X5" s="1316"/>
      <c r="Y5" s="1315"/>
      <c r="Z5" s="534"/>
      <c r="AA5" s="1316"/>
      <c r="AB5" s="1316"/>
      <c r="AC5" s="1315"/>
      <c r="AD5" s="534"/>
      <c r="AE5" s="569"/>
      <c r="AF5" s="569"/>
      <c r="AG5" s="569"/>
      <c r="AH5" s="569"/>
      <c r="AI5" s="569"/>
      <c r="AJ5" s="569"/>
      <c r="AK5" s="569"/>
      <c r="AL5" s="569"/>
      <c r="AM5" s="534"/>
      <c r="AN5" s="534"/>
      <c r="AO5" s="534"/>
      <c r="AP5" s="534"/>
      <c r="AQ5" s="534"/>
      <c r="AR5" s="534"/>
      <c r="AS5" s="534"/>
      <c r="AT5" s="534"/>
      <c r="AU5" s="534"/>
      <c r="AV5" s="534"/>
      <c r="AW5" s="534"/>
      <c r="AX5" s="534"/>
      <c r="AY5" s="534"/>
      <c r="AZ5" s="534"/>
      <c r="BA5" s="534"/>
      <c r="BB5" s="534"/>
      <c r="BC5" s="534"/>
      <c r="BD5" s="534"/>
      <c r="BE5" s="534"/>
      <c r="BF5" s="534"/>
      <c r="BG5" s="534"/>
      <c r="BH5" s="534"/>
    </row>
    <row r="6" spans="1:60" s="40" customFormat="1" x14ac:dyDescent="0.2">
      <c r="A6" s="544">
        <v>3</v>
      </c>
      <c r="B6" s="69"/>
      <c r="C6" s="69"/>
      <c r="D6" s="895"/>
      <c r="E6" s="895"/>
      <c r="F6" s="70"/>
      <c r="G6" s="545">
        <f t="shared" si="0"/>
        <v>0</v>
      </c>
      <c r="H6" s="1017"/>
      <c r="I6" s="506"/>
      <c r="J6" s="457">
        <f t="shared" si="1"/>
        <v>0</v>
      </c>
      <c r="K6" s="457">
        <f t="shared" si="2"/>
        <v>0</v>
      </c>
      <c r="L6" s="457">
        <f t="shared" si="3"/>
        <v>0</v>
      </c>
      <c r="M6" s="457">
        <f t="shared" si="4"/>
        <v>0</v>
      </c>
      <c r="N6" s="457">
        <f t="shared" si="5"/>
        <v>0</v>
      </c>
      <c r="O6" s="457">
        <f t="shared" si="6"/>
        <v>0</v>
      </c>
      <c r="P6" s="449">
        <f t="shared" si="7"/>
        <v>0</v>
      </c>
      <c r="Q6" s="1029"/>
      <c r="R6" s="534"/>
      <c r="S6" s="1315"/>
      <c r="T6" s="1028" t="b">
        <v>0</v>
      </c>
      <c r="U6" s="549"/>
      <c r="V6" s="69"/>
      <c r="W6" s="1315"/>
      <c r="X6" s="1316"/>
      <c r="Y6" s="1315"/>
      <c r="Z6" s="534"/>
      <c r="AA6" s="1316"/>
      <c r="AB6" s="1316"/>
      <c r="AC6" s="1315"/>
      <c r="AD6" s="534"/>
      <c r="AE6" s="569"/>
      <c r="AF6" s="569"/>
      <c r="AG6" s="569"/>
      <c r="AH6" s="569"/>
      <c r="AI6" s="569"/>
      <c r="AJ6" s="569"/>
      <c r="AK6" s="569"/>
      <c r="AL6" s="569"/>
      <c r="AM6" s="534"/>
      <c r="AN6" s="534"/>
      <c r="AO6" s="534"/>
      <c r="AP6" s="534"/>
      <c r="AQ6" s="534"/>
      <c r="AR6" s="534"/>
      <c r="AS6" s="534"/>
      <c r="AT6" s="534"/>
      <c r="AU6" s="534"/>
      <c r="AV6" s="534"/>
      <c r="AW6" s="534"/>
      <c r="AX6" s="534"/>
      <c r="AY6" s="534"/>
      <c r="AZ6" s="534"/>
      <c r="BA6" s="534"/>
      <c r="BB6" s="534"/>
      <c r="BC6" s="534"/>
      <c r="BD6" s="534"/>
      <c r="BE6" s="534"/>
      <c r="BF6" s="534"/>
      <c r="BG6" s="534"/>
      <c r="BH6" s="534"/>
    </row>
    <row r="7" spans="1:60" s="40" customFormat="1" x14ac:dyDescent="0.2">
      <c r="A7" s="544">
        <v>4</v>
      </c>
      <c r="B7" s="69"/>
      <c r="C7" s="69"/>
      <c r="D7" s="895"/>
      <c r="E7" s="895"/>
      <c r="F7" s="70"/>
      <c r="G7" s="545">
        <f t="shared" si="0"/>
        <v>0</v>
      </c>
      <c r="H7" s="1017"/>
      <c r="I7" s="506"/>
      <c r="J7" s="457">
        <f t="shared" si="1"/>
        <v>0</v>
      </c>
      <c r="K7" s="457">
        <f t="shared" si="2"/>
        <v>0</v>
      </c>
      <c r="L7" s="457">
        <f t="shared" si="3"/>
        <v>0</v>
      </c>
      <c r="M7" s="457">
        <f t="shared" si="4"/>
        <v>0</v>
      </c>
      <c r="N7" s="457">
        <f t="shared" si="5"/>
        <v>0</v>
      </c>
      <c r="O7" s="457">
        <f t="shared" si="6"/>
        <v>0</v>
      </c>
      <c r="P7" s="449">
        <f t="shared" si="7"/>
        <v>0</v>
      </c>
      <c r="Q7" s="1029"/>
      <c r="R7" s="534"/>
      <c r="S7" s="1315"/>
      <c r="T7" s="1028" t="b">
        <v>0</v>
      </c>
      <c r="U7" s="549"/>
      <c r="V7" s="69"/>
      <c r="W7" s="1315"/>
      <c r="X7" s="1316"/>
      <c r="Y7" s="1315"/>
      <c r="Z7" s="534"/>
      <c r="AA7" s="1316"/>
      <c r="AB7" s="1316"/>
      <c r="AC7" s="1315"/>
      <c r="AD7" s="534"/>
      <c r="AE7" s="569"/>
      <c r="AF7" s="569"/>
      <c r="AG7" s="569"/>
      <c r="AH7" s="569"/>
      <c r="AI7" s="569"/>
      <c r="AJ7" s="569"/>
      <c r="AK7" s="569"/>
      <c r="AL7" s="569"/>
      <c r="AM7" s="534"/>
      <c r="AN7" s="534"/>
      <c r="AO7" s="534"/>
      <c r="AP7" s="534"/>
      <c r="AQ7" s="534"/>
      <c r="AR7" s="534"/>
      <c r="AS7" s="534"/>
      <c r="AT7" s="534"/>
      <c r="AU7" s="534"/>
      <c r="AV7" s="534"/>
      <c r="AW7" s="534"/>
      <c r="AX7" s="534"/>
      <c r="AY7" s="534"/>
      <c r="AZ7" s="534"/>
      <c r="BA7" s="534"/>
      <c r="BB7" s="534"/>
      <c r="BC7" s="534"/>
      <c r="BD7" s="534"/>
      <c r="BE7" s="534"/>
      <c r="BF7" s="534"/>
      <c r="BG7" s="534"/>
      <c r="BH7" s="534"/>
    </row>
    <row r="8" spans="1:60" s="40" customFormat="1" x14ac:dyDescent="0.2">
      <c r="A8" s="544">
        <v>5</v>
      </c>
      <c r="B8" s="69"/>
      <c r="C8" s="69"/>
      <c r="D8" s="895"/>
      <c r="E8" s="895"/>
      <c r="F8" s="70"/>
      <c r="G8" s="545">
        <f t="shared" si="0"/>
        <v>0</v>
      </c>
      <c r="H8" s="1017"/>
      <c r="I8" s="506"/>
      <c r="J8" s="457">
        <f t="shared" si="1"/>
        <v>0</v>
      </c>
      <c r="K8" s="457">
        <f t="shared" si="2"/>
        <v>0</v>
      </c>
      <c r="L8" s="457">
        <f t="shared" si="3"/>
        <v>0</v>
      </c>
      <c r="M8" s="457">
        <f t="shared" si="4"/>
        <v>0</v>
      </c>
      <c r="N8" s="457">
        <f t="shared" si="5"/>
        <v>0</v>
      </c>
      <c r="O8" s="457">
        <f t="shared" si="6"/>
        <v>0</v>
      </c>
      <c r="P8" s="449">
        <f t="shared" si="7"/>
        <v>0</v>
      </c>
      <c r="Q8" s="1029"/>
      <c r="R8" s="534"/>
      <c r="S8" s="1315"/>
      <c r="T8" s="1028" t="b">
        <v>0</v>
      </c>
      <c r="U8" s="549"/>
      <c r="V8" s="69"/>
      <c r="W8" s="1315"/>
      <c r="X8" s="1316"/>
      <c r="Y8" s="1315"/>
      <c r="Z8" s="534"/>
      <c r="AA8" s="1316"/>
      <c r="AB8" s="1316"/>
      <c r="AC8" s="1315"/>
      <c r="AD8" s="534"/>
      <c r="AE8" s="569"/>
      <c r="AF8" s="569"/>
      <c r="AG8" s="569"/>
      <c r="AH8" s="569"/>
      <c r="AI8" s="569"/>
      <c r="AJ8" s="569"/>
      <c r="AK8" s="569"/>
      <c r="AL8" s="569"/>
      <c r="AM8" s="534"/>
      <c r="AN8" s="534"/>
      <c r="AO8" s="534"/>
      <c r="AP8" s="534"/>
      <c r="AQ8" s="534"/>
      <c r="AR8" s="534"/>
      <c r="AS8" s="534"/>
      <c r="AT8" s="534"/>
      <c r="AU8" s="534"/>
      <c r="AV8" s="534"/>
      <c r="AW8" s="534"/>
      <c r="AX8" s="534"/>
      <c r="AY8" s="534"/>
      <c r="AZ8" s="534"/>
      <c r="BA8" s="534"/>
      <c r="BB8" s="534"/>
      <c r="BC8" s="534"/>
      <c r="BD8" s="534"/>
      <c r="BE8" s="534"/>
      <c r="BF8" s="534"/>
      <c r="BG8" s="534"/>
      <c r="BH8" s="534"/>
    </row>
    <row r="9" spans="1:60" s="40" customFormat="1" x14ac:dyDescent="0.2">
      <c r="A9" s="544">
        <v>6</v>
      </c>
      <c r="B9" s="69"/>
      <c r="C9" s="69"/>
      <c r="D9" s="895"/>
      <c r="E9" s="895"/>
      <c r="F9" s="70"/>
      <c r="G9" s="545">
        <f t="shared" si="0"/>
        <v>0</v>
      </c>
      <c r="H9" s="1017"/>
      <c r="I9" s="506"/>
      <c r="J9" s="457">
        <f t="shared" si="1"/>
        <v>0</v>
      </c>
      <c r="K9" s="457">
        <f t="shared" si="2"/>
        <v>0</v>
      </c>
      <c r="L9" s="457">
        <f t="shared" si="3"/>
        <v>0</v>
      </c>
      <c r="M9" s="457">
        <f t="shared" si="4"/>
        <v>0</v>
      </c>
      <c r="N9" s="457">
        <f t="shared" si="5"/>
        <v>0</v>
      </c>
      <c r="O9" s="457">
        <f t="shared" si="6"/>
        <v>0</v>
      </c>
      <c r="P9" s="449">
        <f t="shared" si="7"/>
        <v>0</v>
      </c>
      <c r="Q9" s="1029"/>
      <c r="R9" s="534"/>
      <c r="S9" s="1315"/>
      <c r="T9" s="1028" t="b">
        <v>0</v>
      </c>
      <c r="U9" s="549"/>
      <c r="V9" s="69"/>
      <c r="W9" s="1315"/>
      <c r="X9" s="1316"/>
      <c r="Y9" s="1315"/>
      <c r="Z9" s="534"/>
      <c r="AA9" s="1316"/>
      <c r="AB9" s="1316"/>
      <c r="AC9" s="1315"/>
      <c r="AD9" s="534"/>
      <c r="AE9" s="569"/>
      <c r="AF9" s="569"/>
      <c r="AG9" s="569"/>
      <c r="AH9" s="569"/>
      <c r="AI9" s="569"/>
      <c r="AJ9" s="569"/>
      <c r="AK9" s="569"/>
      <c r="AL9" s="569"/>
      <c r="AM9" s="534"/>
      <c r="AN9" s="534"/>
      <c r="AO9" s="534"/>
      <c r="AP9" s="534"/>
      <c r="AQ9" s="534"/>
      <c r="AR9" s="534"/>
      <c r="AS9" s="534"/>
      <c r="AT9" s="534"/>
      <c r="AU9" s="534"/>
      <c r="AV9" s="534"/>
      <c r="AW9" s="534"/>
      <c r="AX9" s="534"/>
      <c r="AY9" s="534"/>
      <c r="AZ9" s="534"/>
      <c r="BA9" s="534"/>
      <c r="BB9" s="534"/>
      <c r="BC9" s="534"/>
      <c r="BD9" s="534"/>
      <c r="BE9" s="534"/>
      <c r="BF9" s="534"/>
      <c r="BG9" s="534"/>
      <c r="BH9" s="534"/>
    </row>
    <row r="10" spans="1:60" s="40" customFormat="1" x14ac:dyDescent="0.2">
      <c r="A10" s="544">
        <v>7</v>
      </c>
      <c r="B10" s="69"/>
      <c r="C10" s="69"/>
      <c r="D10" s="895"/>
      <c r="E10" s="895"/>
      <c r="F10" s="70"/>
      <c r="G10" s="545">
        <f t="shared" si="0"/>
        <v>0</v>
      </c>
      <c r="H10" s="1017"/>
      <c r="I10" s="506"/>
      <c r="J10" s="457">
        <f t="shared" si="1"/>
        <v>0</v>
      </c>
      <c r="K10" s="457">
        <f t="shared" si="2"/>
        <v>0</v>
      </c>
      <c r="L10" s="457">
        <f t="shared" si="3"/>
        <v>0</v>
      </c>
      <c r="M10" s="457">
        <f t="shared" si="4"/>
        <v>0</v>
      </c>
      <c r="N10" s="457">
        <f t="shared" si="5"/>
        <v>0</v>
      </c>
      <c r="O10" s="457">
        <f t="shared" si="6"/>
        <v>0</v>
      </c>
      <c r="P10" s="449">
        <f t="shared" si="7"/>
        <v>0</v>
      </c>
      <c r="Q10" s="1029"/>
      <c r="R10" s="534"/>
      <c r="S10" s="1315"/>
      <c r="T10" s="1028" t="b">
        <v>0</v>
      </c>
      <c r="U10" s="549"/>
      <c r="V10" s="69"/>
      <c r="W10" s="1315"/>
      <c r="X10" s="1316"/>
      <c r="Y10" s="1315"/>
      <c r="Z10" s="534"/>
      <c r="AA10" s="1316"/>
      <c r="AB10" s="1316"/>
      <c r="AC10" s="1315"/>
      <c r="AD10" s="534"/>
      <c r="AE10" s="569"/>
      <c r="AF10" s="569"/>
      <c r="AG10" s="569"/>
      <c r="AH10" s="569"/>
      <c r="AI10" s="569"/>
      <c r="AJ10" s="569"/>
      <c r="AK10" s="569"/>
      <c r="AL10" s="569"/>
      <c r="AM10" s="534"/>
      <c r="AN10" s="534"/>
      <c r="AO10" s="534"/>
      <c r="AP10" s="534"/>
      <c r="AQ10" s="534"/>
      <c r="AR10" s="534"/>
      <c r="AS10" s="534"/>
      <c r="AT10" s="534"/>
      <c r="AU10" s="534"/>
      <c r="AV10" s="534"/>
      <c r="AW10" s="534"/>
      <c r="AX10" s="534"/>
      <c r="AY10" s="534"/>
      <c r="AZ10" s="534"/>
      <c r="BA10" s="534"/>
      <c r="BB10" s="534"/>
      <c r="BC10" s="534"/>
      <c r="BD10" s="534"/>
      <c r="BE10" s="534"/>
      <c r="BF10" s="534"/>
      <c r="BG10" s="534"/>
      <c r="BH10" s="534"/>
    </row>
    <row r="11" spans="1:60" s="40" customFormat="1" x14ac:dyDescent="0.2">
      <c r="A11" s="544">
        <v>8</v>
      </c>
      <c r="B11" s="69"/>
      <c r="C11" s="69"/>
      <c r="D11" s="895"/>
      <c r="E11" s="895"/>
      <c r="F11" s="70"/>
      <c r="G11" s="545">
        <f t="shared" si="0"/>
        <v>0</v>
      </c>
      <c r="H11" s="1017"/>
      <c r="I11" s="506"/>
      <c r="J11" s="457">
        <f t="shared" si="1"/>
        <v>0</v>
      </c>
      <c r="K11" s="457">
        <f t="shared" si="2"/>
        <v>0</v>
      </c>
      <c r="L11" s="457">
        <f t="shared" si="3"/>
        <v>0</v>
      </c>
      <c r="M11" s="457">
        <f t="shared" si="4"/>
        <v>0</v>
      </c>
      <c r="N11" s="457">
        <f t="shared" si="5"/>
        <v>0</v>
      </c>
      <c r="O11" s="457">
        <f t="shared" si="6"/>
        <v>0</v>
      </c>
      <c r="P11" s="449">
        <f t="shared" si="7"/>
        <v>0</v>
      </c>
      <c r="Q11" s="1029"/>
      <c r="R11" s="534"/>
      <c r="S11" s="1315"/>
      <c r="T11" s="1028" t="b">
        <v>0</v>
      </c>
      <c r="U11" s="549"/>
      <c r="V11" s="69"/>
      <c r="W11" s="1315"/>
      <c r="X11" s="1316"/>
      <c r="Y11" s="1315"/>
      <c r="Z11" s="534"/>
      <c r="AA11" s="1316"/>
      <c r="AB11" s="1316"/>
      <c r="AC11" s="1315"/>
      <c r="AD11" s="534"/>
      <c r="AE11" s="569"/>
      <c r="AF11" s="569"/>
      <c r="AG11" s="569"/>
      <c r="AH11" s="569"/>
      <c r="AI11" s="569"/>
      <c r="AJ11" s="569"/>
      <c r="AK11" s="569"/>
      <c r="AL11" s="569"/>
      <c r="AM11" s="534"/>
      <c r="AN11" s="534"/>
      <c r="AO11" s="534"/>
      <c r="AP11" s="534"/>
      <c r="AQ11" s="534"/>
      <c r="AR11" s="534"/>
      <c r="AS11" s="534"/>
      <c r="AT11" s="534"/>
      <c r="AU11" s="534"/>
      <c r="AV11" s="534"/>
      <c r="AW11" s="534"/>
      <c r="AX11" s="534"/>
      <c r="AY11" s="534"/>
      <c r="AZ11" s="534"/>
      <c r="BA11" s="534"/>
      <c r="BB11" s="534"/>
      <c r="BC11" s="534"/>
      <c r="BD11" s="534"/>
      <c r="BE11" s="534"/>
      <c r="BF11" s="534"/>
      <c r="BG11" s="534"/>
      <c r="BH11" s="534"/>
    </row>
    <row r="12" spans="1:60" s="40" customFormat="1" x14ac:dyDescent="0.2">
      <c r="A12" s="544">
        <v>9</v>
      </c>
      <c r="B12" s="69"/>
      <c r="C12" s="69"/>
      <c r="D12" s="895"/>
      <c r="E12" s="895"/>
      <c r="F12" s="70"/>
      <c r="G12" s="545">
        <f t="shared" si="0"/>
        <v>0</v>
      </c>
      <c r="H12" s="1017"/>
      <c r="I12" s="506"/>
      <c r="J12" s="457">
        <f t="shared" si="1"/>
        <v>0</v>
      </c>
      <c r="K12" s="457">
        <f t="shared" si="2"/>
        <v>0</v>
      </c>
      <c r="L12" s="457">
        <f t="shared" si="3"/>
        <v>0</v>
      </c>
      <c r="M12" s="457">
        <f t="shared" si="4"/>
        <v>0</v>
      </c>
      <c r="N12" s="457">
        <f t="shared" si="5"/>
        <v>0</v>
      </c>
      <c r="O12" s="457">
        <f t="shared" si="6"/>
        <v>0</v>
      </c>
      <c r="P12" s="449">
        <f t="shared" si="7"/>
        <v>0</v>
      </c>
      <c r="Q12" s="1029"/>
      <c r="R12" s="534"/>
      <c r="S12" s="1315"/>
      <c r="T12" s="1028" t="b">
        <v>0</v>
      </c>
      <c r="U12" s="549"/>
      <c r="V12" s="69"/>
      <c r="W12" s="1315"/>
      <c r="X12" s="1316"/>
      <c r="Y12" s="1315"/>
      <c r="Z12" s="534"/>
      <c r="AA12" s="1316"/>
      <c r="AB12" s="1316"/>
      <c r="AC12" s="1315"/>
      <c r="AD12" s="534"/>
      <c r="AE12" s="569"/>
      <c r="AF12" s="324"/>
      <c r="AG12" s="569"/>
      <c r="AH12" s="569"/>
      <c r="AI12" s="569"/>
      <c r="AJ12" s="569"/>
      <c r="AK12" s="569"/>
      <c r="AL12" s="569"/>
      <c r="AM12" s="534"/>
      <c r="AN12" s="534"/>
      <c r="AO12" s="534"/>
      <c r="AP12" s="534"/>
      <c r="AQ12" s="534"/>
      <c r="AR12" s="534"/>
      <c r="AS12" s="534"/>
      <c r="AT12" s="534"/>
      <c r="AU12" s="534"/>
      <c r="AV12" s="534"/>
      <c r="AW12" s="534"/>
      <c r="AX12" s="534"/>
      <c r="AY12" s="534"/>
      <c r="AZ12" s="534"/>
      <c r="BA12" s="534"/>
      <c r="BB12" s="534"/>
      <c r="BC12" s="534"/>
      <c r="BD12" s="534"/>
      <c r="BE12" s="534"/>
      <c r="BF12" s="534"/>
      <c r="BG12" s="534"/>
      <c r="BH12" s="534"/>
    </row>
    <row r="13" spans="1:60" s="40" customFormat="1" x14ac:dyDescent="0.2">
      <c r="A13" s="544">
        <v>10</v>
      </c>
      <c r="B13" s="69"/>
      <c r="C13" s="69"/>
      <c r="D13" s="895"/>
      <c r="E13" s="895"/>
      <c r="F13" s="70"/>
      <c r="G13" s="545">
        <f t="shared" si="0"/>
        <v>0</v>
      </c>
      <c r="H13" s="1017"/>
      <c r="I13" s="506"/>
      <c r="J13" s="457">
        <f t="shared" si="1"/>
        <v>0</v>
      </c>
      <c r="K13" s="457">
        <f t="shared" si="2"/>
        <v>0</v>
      </c>
      <c r="L13" s="457">
        <f t="shared" si="3"/>
        <v>0</v>
      </c>
      <c r="M13" s="457">
        <f t="shared" si="4"/>
        <v>0</v>
      </c>
      <c r="N13" s="457">
        <f t="shared" si="5"/>
        <v>0</v>
      </c>
      <c r="O13" s="457">
        <f t="shared" si="6"/>
        <v>0</v>
      </c>
      <c r="P13" s="449">
        <f t="shared" si="7"/>
        <v>0</v>
      </c>
      <c r="Q13" s="1029"/>
      <c r="R13" s="534"/>
      <c r="S13" s="1315"/>
      <c r="T13" s="1028" t="b">
        <v>0</v>
      </c>
      <c r="U13" s="549"/>
      <c r="V13" s="69"/>
      <c r="W13" s="1315"/>
      <c r="X13" s="1316"/>
      <c r="Y13" s="1315"/>
      <c r="Z13" s="534"/>
      <c r="AA13" s="1316"/>
      <c r="AB13" s="1316"/>
      <c r="AC13" s="1315"/>
      <c r="AD13" s="534"/>
      <c r="AE13" s="569"/>
      <c r="AF13" s="569"/>
      <c r="AG13" s="569"/>
      <c r="AH13" s="569"/>
      <c r="AI13" s="569"/>
      <c r="AJ13" s="569"/>
      <c r="AK13" s="569"/>
      <c r="AL13" s="569"/>
      <c r="AM13" s="534"/>
      <c r="AN13" s="534"/>
      <c r="AO13" s="534"/>
      <c r="AP13" s="534"/>
      <c r="AQ13" s="534"/>
      <c r="AR13" s="534"/>
      <c r="AS13" s="534"/>
      <c r="AT13" s="534"/>
      <c r="AU13" s="534"/>
      <c r="AV13" s="534"/>
      <c r="AW13" s="534"/>
      <c r="AX13" s="534"/>
      <c r="AY13" s="534"/>
      <c r="AZ13" s="534"/>
      <c r="BA13" s="534"/>
      <c r="BB13" s="534"/>
      <c r="BC13" s="534"/>
      <c r="BD13" s="534"/>
      <c r="BE13" s="534"/>
      <c r="BF13" s="534"/>
      <c r="BG13" s="534"/>
      <c r="BH13" s="534"/>
    </row>
    <row r="14" spans="1:60" s="40" customFormat="1" x14ac:dyDescent="0.2">
      <c r="A14" s="544">
        <v>11</v>
      </c>
      <c r="B14" s="69"/>
      <c r="C14" s="69"/>
      <c r="D14" s="895"/>
      <c r="E14" s="895"/>
      <c r="F14" s="70"/>
      <c r="G14" s="545">
        <f t="shared" si="0"/>
        <v>0</v>
      </c>
      <c r="H14" s="1017"/>
      <c r="I14" s="506"/>
      <c r="J14" s="457">
        <f t="shared" si="1"/>
        <v>0</v>
      </c>
      <c r="K14" s="457">
        <f t="shared" si="2"/>
        <v>0</v>
      </c>
      <c r="L14" s="457">
        <f t="shared" si="3"/>
        <v>0</v>
      </c>
      <c r="M14" s="457">
        <f t="shared" si="4"/>
        <v>0</v>
      </c>
      <c r="N14" s="457">
        <f t="shared" si="5"/>
        <v>0</v>
      </c>
      <c r="O14" s="457">
        <f t="shared" si="6"/>
        <v>0</v>
      </c>
      <c r="P14" s="449">
        <f t="shared" si="7"/>
        <v>0</v>
      </c>
      <c r="Q14" s="1029"/>
      <c r="R14" s="534"/>
      <c r="S14" s="1315"/>
      <c r="T14" s="1028" t="b">
        <v>0</v>
      </c>
      <c r="U14" s="549"/>
      <c r="V14" s="69"/>
      <c r="W14" s="1315"/>
      <c r="X14" s="1316"/>
      <c r="Y14" s="1315"/>
      <c r="Z14" s="534"/>
      <c r="AA14" s="1316"/>
      <c r="AB14" s="1316"/>
      <c r="AC14" s="1315"/>
      <c r="AD14" s="534"/>
      <c r="AE14" s="569"/>
      <c r="AF14" s="569"/>
      <c r="AG14" s="569"/>
      <c r="AH14" s="569"/>
      <c r="AI14" s="569"/>
      <c r="AJ14" s="569"/>
      <c r="AK14" s="569"/>
      <c r="AL14" s="569"/>
      <c r="AM14" s="534"/>
      <c r="AN14" s="534"/>
      <c r="AO14" s="534"/>
      <c r="AP14" s="534"/>
      <c r="AQ14" s="534"/>
      <c r="AR14" s="534"/>
      <c r="AS14" s="534"/>
      <c r="AT14" s="534"/>
      <c r="AU14" s="534"/>
      <c r="AV14" s="534"/>
      <c r="AW14" s="534"/>
      <c r="AX14" s="534"/>
      <c r="AY14" s="534"/>
      <c r="AZ14" s="534"/>
      <c r="BA14" s="534"/>
      <c r="BB14" s="534"/>
      <c r="BC14" s="534"/>
      <c r="BD14" s="534"/>
      <c r="BE14" s="534"/>
      <c r="BF14" s="534"/>
      <c r="BG14" s="534"/>
      <c r="BH14" s="534"/>
    </row>
    <row r="15" spans="1:60" s="40" customFormat="1" x14ac:dyDescent="0.2">
      <c r="A15" s="544">
        <v>12</v>
      </c>
      <c r="B15" s="69"/>
      <c r="C15" s="69"/>
      <c r="D15" s="895"/>
      <c r="E15" s="895"/>
      <c r="F15" s="70"/>
      <c r="G15" s="545">
        <f t="shared" si="0"/>
        <v>0</v>
      </c>
      <c r="H15" s="1017"/>
      <c r="I15" s="506"/>
      <c r="J15" s="457">
        <f t="shared" si="1"/>
        <v>0</v>
      </c>
      <c r="K15" s="457">
        <f t="shared" si="2"/>
        <v>0</v>
      </c>
      <c r="L15" s="457">
        <f t="shared" si="3"/>
        <v>0</v>
      </c>
      <c r="M15" s="457">
        <f t="shared" si="4"/>
        <v>0</v>
      </c>
      <c r="N15" s="457">
        <f t="shared" si="5"/>
        <v>0</v>
      </c>
      <c r="O15" s="457">
        <f t="shared" si="6"/>
        <v>0</v>
      </c>
      <c r="P15" s="449">
        <f t="shared" si="7"/>
        <v>0</v>
      </c>
      <c r="Q15" s="1029"/>
      <c r="R15" s="534"/>
      <c r="S15" s="1315"/>
      <c r="T15" s="1028" t="b">
        <v>0</v>
      </c>
      <c r="U15" s="549"/>
      <c r="V15" s="69"/>
      <c r="W15" s="1315"/>
      <c r="X15" s="1316"/>
      <c r="Y15" s="1315"/>
      <c r="Z15" s="534"/>
      <c r="AA15" s="1316"/>
      <c r="AB15" s="1316"/>
      <c r="AC15" s="1315"/>
      <c r="AD15" s="534"/>
      <c r="AE15" s="569"/>
      <c r="AF15" s="569"/>
      <c r="AG15" s="569"/>
      <c r="AH15" s="569"/>
      <c r="AI15" s="569"/>
      <c r="AJ15" s="569"/>
      <c r="AK15" s="569"/>
      <c r="AL15" s="569"/>
      <c r="AM15" s="534"/>
      <c r="AN15" s="534"/>
      <c r="AO15" s="534"/>
      <c r="AP15" s="534"/>
      <c r="AQ15" s="534"/>
      <c r="AR15" s="534"/>
      <c r="AS15" s="534"/>
      <c r="AT15" s="534"/>
      <c r="AU15" s="534"/>
      <c r="AV15" s="534"/>
      <c r="AW15" s="534"/>
      <c r="AX15" s="534"/>
      <c r="AY15" s="534"/>
      <c r="AZ15" s="534"/>
      <c r="BA15" s="534"/>
      <c r="BB15" s="534"/>
      <c r="BC15" s="534"/>
      <c r="BD15" s="534"/>
      <c r="BE15" s="534"/>
      <c r="BF15" s="534"/>
      <c r="BG15" s="534"/>
      <c r="BH15" s="534"/>
    </row>
    <row r="16" spans="1:60" s="40" customFormat="1" x14ac:dyDescent="0.2">
      <c r="A16" s="544">
        <v>13</v>
      </c>
      <c r="B16" s="69"/>
      <c r="C16" s="69"/>
      <c r="D16" s="895"/>
      <c r="E16" s="895"/>
      <c r="F16" s="70"/>
      <c r="G16" s="545">
        <f t="shared" si="0"/>
        <v>0</v>
      </c>
      <c r="H16" s="1017"/>
      <c r="I16" s="506"/>
      <c r="J16" s="457">
        <f t="shared" si="1"/>
        <v>0</v>
      </c>
      <c r="K16" s="457">
        <f t="shared" si="2"/>
        <v>0</v>
      </c>
      <c r="L16" s="457">
        <f t="shared" si="3"/>
        <v>0</v>
      </c>
      <c r="M16" s="457">
        <f t="shared" si="4"/>
        <v>0</v>
      </c>
      <c r="N16" s="457">
        <f t="shared" si="5"/>
        <v>0</v>
      </c>
      <c r="O16" s="457">
        <f t="shared" si="6"/>
        <v>0</v>
      </c>
      <c r="P16" s="449">
        <f t="shared" si="7"/>
        <v>0</v>
      </c>
      <c r="Q16" s="1029"/>
      <c r="R16" s="534"/>
      <c r="S16" s="1315"/>
      <c r="T16" s="1028" t="b">
        <v>0</v>
      </c>
      <c r="U16" s="549"/>
      <c r="V16" s="69"/>
      <c r="W16" s="1315"/>
      <c r="X16" s="1316"/>
      <c r="Y16" s="1315"/>
      <c r="Z16" s="534"/>
      <c r="AA16" s="1316"/>
      <c r="AB16" s="1316"/>
      <c r="AC16" s="1315"/>
      <c r="AD16" s="534"/>
      <c r="AE16" s="569"/>
      <c r="AF16" s="569"/>
      <c r="AG16" s="569"/>
      <c r="AH16" s="569"/>
      <c r="AI16" s="569"/>
      <c r="AJ16" s="569"/>
      <c r="AK16" s="569"/>
      <c r="AL16" s="569"/>
      <c r="AM16" s="534"/>
      <c r="AN16" s="534"/>
      <c r="AO16" s="534"/>
      <c r="AP16" s="534"/>
      <c r="AQ16" s="534"/>
      <c r="AR16" s="534"/>
      <c r="AS16" s="534"/>
      <c r="AT16" s="534"/>
      <c r="AU16" s="534"/>
      <c r="AV16" s="534"/>
      <c r="AW16" s="534"/>
      <c r="AX16" s="534"/>
      <c r="AY16" s="534"/>
      <c r="AZ16" s="534"/>
      <c r="BA16" s="534"/>
      <c r="BB16" s="534"/>
      <c r="BC16" s="534"/>
      <c r="BD16" s="534"/>
      <c r="BE16" s="534"/>
      <c r="BF16" s="534"/>
      <c r="BG16" s="534"/>
      <c r="BH16" s="534"/>
    </row>
    <row r="17" spans="1:60" s="40" customFormat="1" x14ac:dyDescent="0.2">
      <c r="A17" s="544">
        <v>14</v>
      </c>
      <c r="B17" s="69"/>
      <c r="C17" s="69"/>
      <c r="D17" s="895"/>
      <c r="E17" s="895"/>
      <c r="F17" s="70"/>
      <c r="G17" s="545">
        <f t="shared" si="0"/>
        <v>0</v>
      </c>
      <c r="H17" s="1017"/>
      <c r="I17" s="506"/>
      <c r="J17" s="457">
        <f t="shared" si="1"/>
        <v>0</v>
      </c>
      <c r="K17" s="457">
        <f t="shared" si="2"/>
        <v>0</v>
      </c>
      <c r="L17" s="457">
        <f t="shared" si="3"/>
        <v>0</v>
      </c>
      <c r="M17" s="457">
        <f t="shared" si="4"/>
        <v>0</v>
      </c>
      <c r="N17" s="457">
        <f t="shared" si="5"/>
        <v>0</v>
      </c>
      <c r="O17" s="457">
        <f t="shared" si="6"/>
        <v>0</v>
      </c>
      <c r="P17" s="449">
        <f t="shared" si="7"/>
        <v>0</v>
      </c>
      <c r="Q17" s="1029"/>
      <c r="R17" s="534"/>
      <c r="S17" s="1315"/>
      <c r="T17" s="1028" t="b">
        <v>0</v>
      </c>
      <c r="U17" s="549"/>
      <c r="V17" s="69"/>
      <c r="W17" s="1315"/>
      <c r="X17" s="1316"/>
      <c r="Y17" s="1315"/>
      <c r="Z17" s="534"/>
      <c r="AA17" s="1316"/>
      <c r="AB17" s="1316"/>
      <c r="AC17" s="1315"/>
      <c r="AD17" s="534"/>
      <c r="AE17" s="569"/>
      <c r="AF17" s="569"/>
      <c r="AG17" s="569"/>
      <c r="AH17" s="569"/>
      <c r="AI17" s="569"/>
      <c r="AJ17" s="569"/>
      <c r="AK17" s="569"/>
      <c r="AL17" s="569"/>
      <c r="AM17" s="534"/>
      <c r="AN17" s="534"/>
      <c r="AO17" s="534"/>
      <c r="AP17" s="534"/>
      <c r="AQ17" s="534"/>
      <c r="AR17" s="534"/>
      <c r="AS17" s="534"/>
      <c r="AT17" s="534"/>
      <c r="AU17" s="534"/>
      <c r="AV17" s="534"/>
      <c r="AW17" s="534"/>
      <c r="AX17" s="534"/>
      <c r="AY17" s="534"/>
      <c r="AZ17" s="534"/>
      <c r="BA17" s="534"/>
      <c r="BB17" s="534"/>
      <c r="BC17" s="534"/>
      <c r="BD17" s="534"/>
      <c r="BE17" s="534"/>
      <c r="BF17" s="534"/>
      <c r="BG17" s="534"/>
      <c r="BH17" s="534"/>
    </row>
    <row r="18" spans="1:60" s="40" customFormat="1" x14ac:dyDescent="0.2">
      <c r="A18" s="544">
        <v>15</v>
      </c>
      <c r="B18" s="69"/>
      <c r="C18" s="69"/>
      <c r="D18" s="895"/>
      <c r="E18" s="895"/>
      <c r="F18" s="70"/>
      <c r="G18" s="545">
        <f t="shared" si="0"/>
        <v>0</v>
      </c>
      <c r="H18" s="1017"/>
      <c r="I18" s="506"/>
      <c r="J18" s="457">
        <f t="shared" si="1"/>
        <v>0</v>
      </c>
      <c r="K18" s="457">
        <f t="shared" si="2"/>
        <v>0</v>
      </c>
      <c r="L18" s="457">
        <f t="shared" si="3"/>
        <v>0</v>
      </c>
      <c r="M18" s="457">
        <f t="shared" si="4"/>
        <v>0</v>
      </c>
      <c r="N18" s="457">
        <f t="shared" si="5"/>
        <v>0</v>
      </c>
      <c r="O18" s="457">
        <f t="shared" si="6"/>
        <v>0</v>
      </c>
      <c r="P18" s="449">
        <f t="shared" si="7"/>
        <v>0</v>
      </c>
      <c r="Q18" s="1029"/>
      <c r="R18" s="534"/>
      <c r="S18" s="1315"/>
      <c r="T18" s="1028" t="b">
        <v>0</v>
      </c>
      <c r="U18" s="549"/>
      <c r="V18" s="69"/>
      <c r="W18" s="1315"/>
      <c r="X18" s="1316"/>
      <c r="Y18" s="1315"/>
      <c r="Z18" s="534"/>
      <c r="AA18" s="1316"/>
      <c r="AB18" s="1316"/>
      <c r="AC18" s="1315"/>
      <c r="AD18" s="534"/>
      <c r="AE18" s="569"/>
      <c r="AF18" s="569"/>
      <c r="AG18" s="569"/>
      <c r="AH18" s="569"/>
      <c r="AI18" s="569"/>
      <c r="AJ18" s="569"/>
      <c r="AK18" s="569"/>
      <c r="AL18" s="569"/>
      <c r="AM18" s="534"/>
      <c r="AN18" s="534"/>
      <c r="AO18" s="534"/>
      <c r="AP18" s="534"/>
      <c r="AQ18" s="534"/>
      <c r="AR18" s="534"/>
      <c r="AS18" s="534"/>
      <c r="AT18" s="534"/>
      <c r="AU18" s="534"/>
      <c r="AV18" s="534"/>
      <c r="AW18" s="534"/>
      <c r="AX18" s="534"/>
      <c r="AY18" s="534"/>
      <c r="AZ18" s="534"/>
      <c r="BA18" s="534"/>
      <c r="BB18" s="534"/>
      <c r="BC18" s="534"/>
      <c r="BD18" s="534"/>
      <c r="BE18" s="534"/>
      <c r="BF18" s="534"/>
      <c r="BG18" s="534"/>
      <c r="BH18" s="534"/>
    </row>
    <row r="19" spans="1:60" s="40" customFormat="1" x14ac:dyDescent="0.2">
      <c r="A19" s="544">
        <v>16</v>
      </c>
      <c r="B19" s="69"/>
      <c r="C19" s="69"/>
      <c r="D19" s="895"/>
      <c r="E19" s="895"/>
      <c r="F19" s="70"/>
      <c r="G19" s="545">
        <f t="shared" si="0"/>
        <v>0</v>
      </c>
      <c r="H19" s="1017"/>
      <c r="I19" s="506"/>
      <c r="J19" s="457">
        <f t="shared" si="1"/>
        <v>0</v>
      </c>
      <c r="K19" s="457">
        <f t="shared" si="2"/>
        <v>0</v>
      </c>
      <c r="L19" s="457">
        <f t="shared" si="3"/>
        <v>0</v>
      </c>
      <c r="M19" s="457">
        <f t="shared" si="4"/>
        <v>0</v>
      </c>
      <c r="N19" s="457">
        <f t="shared" si="5"/>
        <v>0</v>
      </c>
      <c r="O19" s="457">
        <f t="shared" si="6"/>
        <v>0</v>
      </c>
      <c r="P19" s="449">
        <f t="shared" si="7"/>
        <v>0</v>
      </c>
      <c r="Q19" s="1029"/>
      <c r="R19" s="534"/>
      <c r="S19" s="1315"/>
      <c r="T19" s="1028" t="b">
        <v>0</v>
      </c>
      <c r="U19" s="549"/>
      <c r="V19" s="69"/>
      <c r="W19" s="1315"/>
      <c r="X19" s="1316"/>
      <c r="Y19" s="1315"/>
      <c r="Z19" s="534"/>
      <c r="AA19" s="1316"/>
      <c r="AB19" s="1316"/>
      <c r="AC19" s="1315"/>
      <c r="AD19" s="534"/>
      <c r="AE19" s="569"/>
      <c r="AF19" s="569"/>
      <c r="AG19" s="569"/>
      <c r="AH19" s="569"/>
      <c r="AI19" s="569"/>
      <c r="AJ19" s="569"/>
      <c r="AK19" s="569"/>
      <c r="AL19" s="569"/>
      <c r="AM19" s="534"/>
      <c r="AN19" s="534"/>
      <c r="AO19" s="534"/>
      <c r="AP19" s="534"/>
      <c r="AQ19" s="534"/>
      <c r="AR19" s="534"/>
      <c r="AS19" s="534"/>
      <c r="AT19" s="534"/>
      <c r="AU19" s="534"/>
      <c r="AV19" s="534"/>
      <c r="AW19" s="534"/>
      <c r="AX19" s="534"/>
      <c r="AY19" s="534"/>
      <c r="AZ19" s="534"/>
      <c r="BA19" s="534"/>
      <c r="BB19" s="534"/>
      <c r="BC19" s="534"/>
      <c r="BD19" s="534"/>
      <c r="BE19" s="534"/>
      <c r="BF19" s="534"/>
      <c r="BG19" s="534"/>
      <c r="BH19" s="534"/>
    </row>
    <row r="20" spans="1:60" s="40" customFormat="1" x14ac:dyDescent="0.2">
      <c r="A20" s="544">
        <v>17</v>
      </c>
      <c r="B20" s="69"/>
      <c r="C20" s="69"/>
      <c r="D20" s="895"/>
      <c r="E20" s="895"/>
      <c r="F20" s="70"/>
      <c r="G20" s="545">
        <f t="shared" si="0"/>
        <v>0</v>
      </c>
      <c r="H20" s="1017"/>
      <c r="I20" s="506"/>
      <c r="J20" s="457">
        <f t="shared" si="1"/>
        <v>0</v>
      </c>
      <c r="K20" s="457">
        <f t="shared" si="2"/>
        <v>0</v>
      </c>
      <c r="L20" s="457">
        <f t="shared" si="3"/>
        <v>0</v>
      </c>
      <c r="M20" s="457">
        <f t="shared" si="4"/>
        <v>0</v>
      </c>
      <c r="N20" s="457">
        <f t="shared" si="5"/>
        <v>0</v>
      </c>
      <c r="O20" s="457">
        <f t="shared" si="6"/>
        <v>0</v>
      </c>
      <c r="P20" s="449">
        <f t="shared" si="7"/>
        <v>0</v>
      </c>
      <c r="Q20" s="1029"/>
      <c r="R20" s="534"/>
      <c r="S20" s="1315"/>
      <c r="T20" s="1028" t="b">
        <v>0</v>
      </c>
      <c r="U20" s="549"/>
      <c r="V20" s="69"/>
      <c r="W20" s="1315"/>
      <c r="X20" s="1316"/>
      <c r="Y20" s="1315"/>
      <c r="Z20" s="534"/>
      <c r="AA20" s="1316"/>
      <c r="AB20" s="1316"/>
      <c r="AC20" s="1315"/>
      <c r="AD20" s="534"/>
      <c r="AE20" s="569"/>
      <c r="AF20" s="569"/>
      <c r="AG20" s="569"/>
      <c r="AH20" s="569"/>
      <c r="AI20" s="569"/>
      <c r="AJ20" s="569"/>
      <c r="AK20" s="569"/>
      <c r="AL20" s="569"/>
      <c r="AM20" s="534"/>
      <c r="AN20" s="534"/>
      <c r="AO20" s="534"/>
      <c r="AP20" s="534"/>
      <c r="AQ20" s="534"/>
      <c r="AR20" s="534"/>
      <c r="AS20" s="534"/>
      <c r="AT20" s="534"/>
      <c r="AU20" s="534"/>
      <c r="AV20" s="534"/>
      <c r="AW20" s="534"/>
      <c r="AX20" s="534"/>
      <c r="AY20" s="534"/>
      <c r="AZ20" s="534"/>
      <c r="BA20" s="534"/>
      <c r="BB20" s="534"/>
      <c r="BC20" s="534"/>
      <c r="BD20" s="534"/>
      <c r="BE20" s="534"/>
      <c r="BF20" s="534"/>
      <c r="BG20" s="534"/>
      <c r="BH20" s="534"/>
    </row>
    <row r="21" spans="1:60" s="40" customFormat="1" x14ac:dyDescent="0.2">
      <c r="A21" s="544">
        <v>18</v>
      </c>
      <c r="B21" s="69"/>
      <c r="C21" s="69"/>
      <c r="D21" s="895"/>
      <c r="E21" s="895"/>
      <c r="F21" s="70"/>
      <c r="G21" s="545">
        <f t="shared" si="0"/>
        <v>0</v>
      </c>
      <c r="H21" s="1017"/>
      <c r="I21" s="506"/>
      <c r="J21" s="457">
        <f t="shared" si="1"/>
        <v>0</v>
      </c>
      <c r="K21" s="457">
        <f t="shared" si="2"/>
        <v>0</v>
      </c>
      <c r="L21" s="457">
        <f t="shared" si="3"/>
        <v>0</v>
      </c>
      <c r="M21" s="457">
        <f t="shared" si="4"/>
        <v>0</v>
      </c>
      <c r="N21" s="457">
        <f t="shared" si="5"/>
        <v>0</v>
      </c>
      <c r="O21" s="457">
        <f t="shared" si="6"/>
        <v>0</v>
      </c>
      <c r="P21" s="449">
        <f t="shared" si="7"/>
        <v>0</v>
      </c>
      <c r="Q21" s="1029"/>
      <c r="R21" s="534"/>
      <c r="S21" s="1315"/>
      <c r="T21" s="1028" t="b">
        <v>0</v>
      </c>
      <c r="U21" s="549"/>
      <c r="V21" s="69"/>
      <c r="W21" s="1315"/>
      <c r="X21" s="1316"/>
      <c r="Y21" s="1315"/>
      <c r="Z21" s="534"/>
      <c r="AA21" s="1316"/>
      <c r="AB21" s="1316"/>
      <c r="AC21" s="1315"/>
      <c r="AD21" s="534"/>
      <c r="AE21" s="569"/>
      <c r="AF21" s="569"/>
      <c r="AG21" s="569"/>
      <c r="AH21" s="569"/>
      <c r="AI21" s="569"/>
      <c r="AJ21" s="569"/>
      <c r="AK21" s="569"/>
      <c r="AL21" s="569"/>
      <c r="AM21" s="534"/>
      <c r="AN21" s="534"/>
      <c r="AO21" s="534"/>
      <c r="AP21" s="534"/>
      <c r="AQ21" s="534"/>
      <c r="AR21" s="534"/>
      <c r="AS21" s="534"/>
      <c r="AT21" s="534"/>
      <c r="AU21" s="534"/>
      <c r="AV21" s="534"/>
      <c r="AW21" s="534"/>
      <c r="AX21" s="534"/>
      <c r="AY21" s="534"/>
      <c r="AZ21" s="534"/>
      <c r="BA21" s="534"/>
      <c r="BB21" s="534"/>
      <c r="BC21" s="534"/>
      <c r="BD21" s="534"/>
      <c r="BE21" s="534"/>
      <c r="BF21" s="534"/>
      <c r="BG21" s="534"/>
      <c r="BH21" s="534"/>
    </row>
    <row r="22" spans="1:60" s="40" customFormat="1" x14ac:dyDescent="0.2">
      <c r="A22" s="544">
        <v>19</v>
      </c>
      <c r="B22" s="69"/>
      <c r="C22" s="69"/>
      <c r="D22" s="895"/>
      <c r="E22" s="895"/>
      <c r="F22" s="70"/>
      <c r="G22" s="545">
        <f t="shared" si="0"/>
        <v>0</v>
      </c>
      <c r="H22" s="1017"/>
      <c r="I22" s="506"/>
      <c r="J22" s="457">
        <f t="shared" si="1"/>
        <v>0</v>
      </c>
      <c r="K22" s="457">
        <f t="shared" si="2"/>
        <v>0</v>
      </c>
      <c r="L22" s="457">
        <f t="shared" si="3"/>
        <v>0</v>
      </c>
      <c r="M22" s="457">
        <f t="shared" si="4"/>
        <v>0</v>
      </c>
      <c r="N22" s="457">
        <f t="shared" si="5"/>
        <v>0</v>
      </c>
      <c r="O22" s="457">
        <f t="shared" si="6"/>
        <v>0</v>
      </c>
      <c r="P22" s="449">
        <f t="shared" si="7"/>
        <v>0</v>
      </c>
      <c r="Q22" s="1029"/>
      <c r="R22" s="534"/>
      <c r="S22" s="1315"/>
      <c r="T22" s="1028" t="b">
        <v>0</v>
      </c>
      <c r="U22" s="549"/>
      <c r="V22" s="69"/>
      <c r="W22" s="1315"/>
      <c r="X22" s="1316"/>
      <c r="Y22" s="1315"/>
      <c r="Z22" s="534"/>
      <c r="AA22" s="1316"/>
      <c r="AB22" s="1316"/>
      <c r="AC22" s="1315"/>
      <c r="AD22" s="534"/>
      <c r="AE22" s="569"/>
      <c r="AF22" s="569"/>
      <c r="AG22" s="569"/>
      <c r="AH22" s="569"/>
      <c r="AI22" s="569"/>
      <c r="AJ22" s="569"/>
      <c r="AK22" s="569"/>
      <c r="AL22" s="569"/>
      <c r="AM22" s="534"/>
      <c r="AN22" s="534"/>
      <c r="AO22" s="534"/>
      <c r="AP22" s="534"/>
      <c r="AQ22" s="534"/>
      <c r="AR22" s="534"/>
      <c r="AS22" s="534"/>
      <c r="AT22" s="534"/>
      <c r="AU22" s="534"/>
      <c r="AV22" s="534"/>
      <c r="AW22" s="534"/>
      <c r="AX22" s="534"/>
      <c r="AY22" s="534"/>
      <c r="AZ22" s="534"/>
      <c r="BA22" s="534"/>
      <c r="BB22" s="534"/>
      <c r="BC22" s="534"/>
      <c r="BD22" s="534"/>
      <c r="BE22" s="534"/>
      <c r="BF22" s="534"/>
      <c r="BG22" s="534"/>
      <c r="BH22" s="534"/>
    </row>
    <row r="23" spans="1:60" s="40" customFormat="1" x14ac:dyDescent="0.2">
      <c r="A23" s="544">
        <v>20</v>
      </c>
      <c r="B23" s="69"/>
      <c r="C23" s="69"/>
      <c r="D23" s="895"/>
      <c r="E23" s="895"/>
      <c r="F23" s="70"/>
      <c r="G23" s="545">
        <f t="shared" si="0"/>
        <v>0</v>
      </c>
      <c r="H23" s="1017"/>
      <c r="I23" s="506"/>
      <c r="J23" s="457">
        <f t="shared" si="1"/>
        <v>0</v>
      </c>
      <c r="K23" s="457">
        <f t="shared" si="2"/>
        <v>0</v>
      </c>
      <c r="L23" s="457">
        <f t="shared" si="3"/>
        <v>0</v>
      </c>
      <c r="M23" s="457">
        <f t="shared" si="4"/>
        <v>0</v>
      </c>
      <c r="N23" s="457">
        <f t="shared" si="5"/>
        <v>0</v>
      </c>
      <c r="O23" s="457">
        <f t="shared" si="6"/>
        <v>0</v>
      </c>
      <c r="P23" s="449">
        <f t="shared" si="7"/>
        <v>0</v>
      </c>
      <c r="Q23" s="1029"/>
      <c r="R23" s="534"/>
      <c r="S23" s="1315"/>
      <c r="T23" s="1028" t="b">
        <v>0</v>
      </c>
      <c r="U23" s="549"/>
      <c r="V23" s="69"/>
      <c r="W23" s="1315"/>
      <c r="X23" s="1316"/>
      <c r="Y23" s="1315"/>
      <c r="Z23" s="534"/>
      <c r="AA23" s="1316"/>
      <c r="AB23" s="1316"/>
      <c r="AC23" s="1315"/>
      <c r="AD23" s="534"/>
      <c r="AE23" s="569"/>
      <c r="AF23" s="569"/>
      <c r="AG23" s="569"/>
      <c r="AH23" s="569"/>
      <c r="AI23" s="569"/>
      <c r="AJ23" s="569"/>
      <c r="AK23" s="569"/>
      <c r="AL23" s="569"/>
      <c r="AM23" s="534"/>
      <c r="AN23" s="534"/>
      <c r="AO23" s="534"/>
      <c r="AP23" s="534"/>
      <c r="AQ23" s="534"/>
      <c r="AR23" s="534"/>
      <c r="AS23" s="534"/>
      <c r="AT23" s="534"/>
      <c r="AU23" s="534"/>
      <c r="AV23" s="534"/>
      <c r="AW23" s="534"/>
      <c r="AX23" s="534"/>
      <c r="AY23" s="534"/>
      <c r="AZ23" s="534"/>
      <c r="BA23" s="534"/>
      <c r="BB23" s="534"/>
      <c r="BC23" s="534"/>
      <c r="BD23" s="534"/>
      <c r="BE23" s="534"/>
      <c r="BF23" s="534"/>
      <c r="BG23" s="534"/>
      <c r="BH23" s="534"/>
    </row>
    <row r="24" spans="1:60" s="40" customFormat="1" x14ac:dyDescent="0.2">
      <c r="A24" s="544">
        <v>21</v>
      </c>
      <c r="B24" s="69"/>
      <c r="C24" s="69"/>
      <c r="D24" s="895"/>
      <c r="E24" s="895"/>
      <c r="F24" s="70"/>
      <c r="G24" s="545">
        <f t="shared" si="0"/>
        <v>0</v>
      </c>
      <c r="H24" s="1017"/>
      <c r="I24" s="506"/>
      <c r="J24" s="457">
        <f t="shared" si="1"/>
        <v>0</v>
      </c>
      <c r="K24" s="457">
        <f t="shared" si="2"/>
        <v>0</v>
      </c>
      <c r="L24" s="457">
        <f t="shared" si="3"/>
        <v>0</v>
      </c>
      <c r="M24" s="457">
        <f t="shared" si="4"/>
        <v>0</v>
      </c>
      <c r="N24" s="457">
        <f t="shared" si="5"/>
        <v>0</v>
      </c>
      <c r="O24" s="457">
        <f t="shared" si="6"/>
        <v>0</v>
      </c>
      <c r="P24" s="449">
        <f t="shared" si="7"/>
        <v>0</v>
      </c>
      <c r="Q24" s="1029"/>
      <c r="R24" s="534"/>
      <c r="S24" s="1315"/>
      <c r="T24" s="1028" t="b">
        <v>0</v>
      </c>
      <c r="U24" s="549"/>
      <c r="V24" s="69"/>
      <c r="W24" s="1315"/>
      <c r="X24" s="1316"/>
      <c r="Y24" s="1315"/>
      <c r="Z24" s="534"/>
      <c r="AA24" s="1316"/>
      <c r="AB24" s="1316"/>
      <c r="AC24" s="1315"/>
      <c r="AD24" s="534"/>
      <c r="AE24" s="569"/>
      <c r="AF24" s="569"/>
      <c r="AG24" s="569"/>
      <c r="AH24" s="569"/>
      <c r="AI24" s="569"/>
      <c r="AJ24" s="569"/>
      <c r="AK24" s="569"/>
      <c r="AL24" s="569"/>
      <c r="AM24" s="534"/>
      <c r="AN24" s="534"/>
      <c r="AO24" s="534"/>
      <c r="AP24" s="534"/>
      <c r="AQ24" s="534"/>
      <c r="AR24" s="534"/>
      <c r="AS24" s="534"/>
      <c r="AT24" s="534"/>
      <c r="AU24" s="534"/>
      <c r="AV24" s="534"/>
      <c r="AW24" s="534"/>
      <c r="AX24" s="534"/>
      <c r="AY24" s="534"/>
      <c r="AZ24" s="534"/>
      <c r="BA24" s="534"/>
      <c r="BB24" s="534"/>
      <c r="BC24" s="534"/>
      <c r="BD24" s="534"/>
      <c r="BE24" s="534"/>
      <c r="BF24" s="534"/>
      <c r="BG24" s="534"/>
      <c r="BH24" s="534"/>
    </row>
    <row r="25" spans="1:60" s="40" customFormat="1" x14ac:dyDescent="0.2">
      <c r="A25" s="544">
        <v>22</v>
      </c>
      <c r="B25" s="69"/>
      <c r="C25" s="69"/>
      <c r="D25" s="895"/>
      <c r="E25" s="895"/>
      <c r="F25" s="70"/>
      <c r="G25" s="545">
        <f t="shared" si="0"/>
        <v>0</v>
      </c>
      <c r="H25" s="1017"/>
      <c r="I25" s="506"/>
      <c r="J25" s="457">
        <f t="shared" si="1"/>
        <v>0</v>
      </c>
      <c r="K25" s="457">
        <f t="shared" si="2"/>
        <v>0</v>
      </c>
      <c r="L25" s="457">
        <f t="shared" si="3"/>
        <v>0</v>
      </c>
      <c r="M25" s="457">
        <f t="shared" si="4"/>
        <v>0</v>
      </c>
      <c r="N25" s="457">
        <f t="shared" si="5"/>
        <v>0</v>
      </c>
      <c r="O25" s="457">
        <f t="shared" si="6"/>
        <v>0</v>
      </c>
      <c r="P25" s="449">
        <f t="shared" si="7"/>
        <v>0</v>
      </c>
      <c r="Q25" s="1029"/>
      <c r="R25" s="534"/>
      <c r="S25" s="1315"/>
      <c r="T25" s="1028" t="b">
        <v>0</v>
      </c>
      <c r="U25" s="549"/>
      <c r="V25" s="69"/>
      <c r="W25" s="1315"/>
      <c r="X25" s="1316"/>
      <c r="Y25" s="1315"/>
      <c r="Z25" s="534"/>
      <c r="AA25" s="1316"/>
      <c r="AB25" s="1316"/>
      <c r="AC25" s="1315"/>
      <c r="AD25" s="534"/>
      <c r="AE25" s="569"/>
      <c r="AF25" s="569"/>
      <c r="AG25" s="569"/>
      <c r="AH25" s="569"/>
      <c r="AI25" s="569"/>
      <c r="AJ25" s="569"/>
      <c r="AK25" s="569"/>
      <c r="AL25" s="569"/>
      <c r="AM25" s="534"/>
      <c r="AN25" s="534"/>
      <c r="AO25" s="534"/>
      <c r="AP25" s="534"/>
      <c r="AQ25" s="534"/>
      <c r="AR25" s="534"/>
      <c r="AS25" s="534"/>
      <c r="AT25" s="534"/>
      <c r="AU25" s="534"/>
      <c r="AV25" s="534"/>
      <c r="AW25" s="534"/>
      <c r="AX25" s="534"/>
      <c r="AY25" s="534"/>
      <c r="AZ25" s="534"/>
      <c r="BA25" s="534"/>
      <c r="BB25" s="534"/>
      <c r="BC25" s="534"/>
      <c r="BD25" s="534"/>
      <c r="BE25" s="534"/>
      <c r="BF25" s="534"/>
      <c r="BG25" s="534"/>
      <c r="BH25" s="534"/>
    </row>
    <row r="26" spans="1:60" s="40" customFormat="1" x14ac:dyDescent="0.2">
      <c r="A26" s="544">
        <v>23</v>
      </c>
      <c r="B26" s="69"/>
      <c r="C26" s="69"/>
      <c r="D26" s="895"/>
      <c r="E26" s="895"/>
      <c r="F26" s="70"/>
      <c r="G26" s="545">
        <f t="shared" si="0"/>
        <v>0</v>
      </c>
      <c r="H26" s="1017"/>
      <c r="I26" s="506"/>
      <c r="J26" s="457">
        <f t="shared" si="1"/>
        <v>0</v>
      </c>
      <c r="K26" s="457">
        <f t="shared" si="2"/>
        <v>0</v>
      </c>
      <c r="L26" s="457">
        <f t="shared" si="3"/>
        <v>0</v>
      </c>
      <c r="M26" s="457">
        <f t="shared" si="4"/>
        <v>0</v>
      </c>
      <c r="N26" s="457">
        <f t="shared" si="5"/>
        <v>0</v>
      </c>
      <c r="O26" s="457">
        <f t="shared" si="6"/>
        <v>0</v>
      </c>
      <c r="P26" s="449">
        <f t="shared" si="7"/>
        <v>0</v>
      </c>
      <c r="Q26" s="1029"/>
      <c r="R26" s="534"/>
      <c r="S26" s="1315"/>
      <c r="T26" s="1028" t="b">
        <v>0</v>
      </c>
      <c r="U26" s="549"/>
      <c r="V26" s="69"/>
      <c r="W26" s="1315"/>
      <c r="X26" s="1316"/>
      <c r="Y26" s="1315"/>
      <c r="Z26" s="534"/>
      <c r="AA26" s="1316"/>
      <c r="AB26" s="1316"/>
      <c r="AC26" s="1315"/>
      <c r="AD26" s="534"/>
      <c r="AE26" s="569"/>
      <c r="AF26" s="569"/>
      <c r="AG26" s="569"/>
      <c r="AH26" s="569"/>
      <c r="AI26" s="569"/>
      <c r="AJ26" s="569"/>
      <c r="AK26" s="569"/>
      <c r="AL26" s="569"/>
      <c r="AM26" s="534"/>
      <c r="AN26" s="534"/>
      <c r="AO26" s="534"/>
      <c r="AP26" s="534"/>
      <c r="AQ26" s="534"/>
      <c r="AR26" s="534"/>
      <c r="AS26" s="534"/>
      <c r="AT26" s="534"/>
      <c r="AU26" s="534"/>
      <c r="AV26" s="534"/>
      <c r="AW26" s="534"/>
      <c r="AX26" s="534"/>
      <c r="AY26" s="534"/>
      <c r="AZ26" s="534"/>
      <c r="BA26" s="534"/>
      <c r="BB26" s="534"/>
      <c r="BC26" s="534"/>
      <c r="BD26" s="534"/>
      <c r="BE26" s="534"/>
      <c r="BF26" s="534"/>
      <c r="BG26" s="534"/>
      <c r="BH26" s="534"/>
    </row>
    <row r="27" spans="1:60" s="40" customFormat="1" x14ac:dyDescent="0.2">
      <c r="A27" s="544">
        <v>24</v>
      </c>
      <c r="B27" s="69"/>
      <c r="C27" s="69"/>
      <c r="D27" s="895"/>
      <c r="E27" s="895"/>
      <c r="F27" s="70"/>
      <c r="G27" s="545">
        <f t="shared" si="0"/>
        <v>0</v>
      </c>
      <c r="H27" s="1017"/>
      <c r="I27" s="506"/>
      <c r="J27" s="457">
        <f t="shared" si="1"/>
        <v>0</v>
      </c>
      <c r="K27" s="457">
        <f t="shared" si="2"/>
        <v>0</v>
      </c>
      <c r="L27" s="457">
        <f t="shared" si="3"/>
        <v>0</v>
      </c>
      <c r="M27" s="457">
        <f t="shared" si="4"/>
        <v>0</v>
      </c>
      <c r="N27" s="457">
        <f t="shared" si="5"/>
        <v>0</v>
      </c>
      <c r="O27" s="457">
        <f t="shared" si="6"/>
        <v>0</v>
      </c>
      <c r="P27" s="449">
        <f t="shared" si="7"/>
        <v>0</v>
      </c>
      <c r="Q27" s="1029"/>
      <c r="R27" s="534"/>
      <c r="S27" s="1315"/>
      <c r="T27" s="1028" t="b">
        <v>0</v>
      </c>
      <c r="U27" s="549"/>
      <c r="V27" s="69"/>
      <c r="W27" s="1315"/>
      <c r="X27" s="1316"/>
      <c r="Y27" s="1315"/>
      <c r="Z27" s="534"/>
      <c r="AA27" s="1316"/>
      <c r="AB27" s="1316"/>
      <c r="AC27" s="1315"/>
      <c r="AD27" s="534"/>
      <c r="AE27" s="569"/>
      <c r="AF27" s="569"/>
      <c r="AG27" s="569"/>
      <c r="AH27" s="569"/>
      <c r="AI27" s="569"/>
      <c r="AJ27" s="569"/>
      <c r="AK27" s="569"/>
      <c r="AL27" s="569"/>
      <c r="AM27" s="534"/>
      <c r="AN27" s="534"/>
      <c r="AO27" s="534"/>
      <c r="AP27" s="534"/>
      <c r="AQ27" s="534"/>
      <c r="AR27" s="534"/>
      <c r="AS27" s="534"/>
      <c r="AT27" s="534"/>
      <c r="AU27" s="534"/>
      <c r="AV27" s="534"/>
      <c r="AW27" s="534"/>
      <c r="AX27" s="534"/>
      <c r="AY27" s="534"/>
      <c r="AZ27" s="534"/>
      <c r="BA27" s="534"/>
      <c r="BB27" s="534"/>
      <c r="BC27" s="534"/>
      <c r="BD27" s="534"/>
      <c r="BE27" s="534"/>
      <c r="BF27" s="534"/>
      <c r="BG27" s="534"/>
      <c r="BH27" s="534"/>
    </row>
    <row r="28" spans="1:60" s="40" customFormat="1" x14ac:dyDescent="0.2">
      <c r="A28" s="544">
        <v>25</v>
      </c>
      <c r="B28" s="69"/>
      <c r="C28" s="69"/>
      <c r="D28" s="895"/>
      <c r="E28" s="895"/>
      <c r="F28" s="70"/>
      <c r="G28" s="545">
        <f t="shared" si="0"/>
        <v>0</v>
      </c>
      <c r="H28" s="1017"/>
      <c r="I28" s="506"/>
      <c r="J28" s="457">
        <f t="shared" si="1"/>
        <v>0</v>
      </c>
      <c r="K28" s="457">
        <f t="shared" si="2"/>
        <v>0</v>
      </c>
      <c r="L28" s="457">
        <f t="shared" si="3"/>
        <v>0</v>
      </c>
      <c r="M28" s="457">
        <f t="shared" si="4"/>
        <v>0</v>
      </c>
      <c r="N28" s="457">
        <f t="shared" si="5"/>
        <v>0</v>
      </c>
      <c r="O28" s="457">
        <f t="shared" si="6"/>
        <v>0</v>
      </c>
      <c r="P28" s="449">
        <f t="shared" si="7"/>
        <v>0</v>
      </c>
      <c r="Q28" s="1029"/>
      <c r="R28" s="534"/>
      <c r="S28" s="1315"/>
      <c r="T28" s="1028" t="b">
        <v>0</v>
      </c>
      <c r="U28" s="549"/>
      <c r="V28" s="69"/>
      <c r="W28" s="1315"/>
      <c r="X28" s="1316"/>
      <c r="Y28" s="1315"/>
      <c r="Z28" s="534"/>
      <c r="AA28" s="1316"/>
      <c r="AB28" s="1316"/>
      <c r="AC28" s="1315"/>
      <c r="AD28" s="534"/>
      <c r="AE28" s="569"/>
      <c r="AF28" s="569"/>
      <c r="AG28" s="569"/>
      <c r="AH28" s="569"/>
      <c r="AI28" s="569"/>
      <c r="AJ28" s="569"/>
      <c r="AK28" s="569"/>
      <c r="AL28" s="569"/>
      <c r="AM28" s="534"/>
      <c r="AN28" s="534"/>
      <c r="AO28" s="534"/>
      <c r="AP28" s="534"/>
      <c r="AQ28" s="534"/>
      <c r="AR28" s="534"/>
      <c r="AS28" s="534"/>
      <c r="AT28" s="534"/>
      <c r="AU28" s="534"/>
      <c r="AV28" s="534"/>
      <c r="AW28" s="534"/>
      <c r="AX28" s="534"/>
      <c r="AY28" s="534"/>
      <c r="AZ28" s="534"/>
      <c r="BA28" s="534"/>
      <c r="BB28" s="534"/>
      <c r="BC28" s="534"/>
      <c r="BD28" s="534"/>
      <c r="BE28" s="534"/>
      <c r="BF28" s="534"/>
      <c r="BG28" s="534"/>
      <c r="BH28" s="534"/>
    </row>
    <row r="29" spans="1:60" s="40" customFormat="1" x14ac:dyDescent="0.2">
      <c r="A29" s="544">
        <v>26</v>
      </c>
      <c r="B29" s="69"/>
      <c r="C29" s="69"/>
      <c r="D29" s="895"/>
      <c r="E29" s="895"/>
      <c r="F29" s="70"/>
      <c r="G29" s="545">
        <f t="shared" si="0"/>
        <v>0</v>
      </c>
      <c r="H29" s="1017"/>
      <c r="I29" s="506"/>
      <c r="J29" s="457">
        <f t="shared" si="1"/>
        <v>0</v>
      </c>
      <c r="K29" s="457">
        <f t="shared" si="2"/>
        <v>0</v>
      </c>
      <c r="L29" s="457">
        <f t="shared" si="3"/>
        <v>0</v>
      </c>
      <c r="M29" s="457">
        <f t="shared" si="4"/>
        <v>0</v>
      </c>
      <c r="N29" s="457">
        <f t="shared" si="5"/>
        <v>0</v>
      </c>
      <c r="O29" s="457">
        <f t="shared" si="6"/>
        <v>0</v>
      </c>
      <c r="P29" s="449">
        <f t="shared" si="7"/>
        <v>0</v>
      </c>
      <c r="Q29" s="1029"/>
      <c r="R29" s="534"/>
      <c r="S29" s="1315"/>
      <c r="T29" s="1028" t="b">
        <v>0</v>
      </c>
      <c r="U29" s="549"/>
      <c r="V29" s="69"/>
      <c r="W29" s="1315"/>
      <c r="X29" s="1316"/>
      <c r="Y29" s="1315"/>
      <c r="Z29" s="534"/>
      <c r="AA29" s="1316"/>
      <c r="AB29" s="1316"/>
      <c r="AC29" s="1315"/>
      <c r="AD29" s="534"/>
      <c r="AE29" s="569"/>
      <c r="AF29" s="569"/>
      <c r="AG29" s="569"/>
      <c r="AH29" s="569"/>
      <c r="AI29" s="569"/>
      <c r="AJ29" s="569"/>
      <c r="AK29" s="569"/>
      <c r="AL29" s="569"/>
      <c r="AM29" s="534"/>
      <c r="AN29" s="534"/>
      <c r="AO29" s="534"/>
      <c r="AP29" s="534"/>
      <c r="AQ29" s="534"/>
      <c r="AR29" s="534"/>
      <c r="AS29" s="534"/>
      <c r="AT29" s="534"/>
      <c r="AU29" s="534"/>
      <c r="AV29" s="534"/>
      <c r="AW29" s="534"/>
      <c r="AX29" s="534"/>
      <c r="AY29" s="534"/>
      <c r="AZ29" s="534"/>
      <c r="BA29" s="534"/>
      <c r="BB29" s="534"/>
      <c r="BC29" s="534"/>
      <c r="BD29" s="534"/>
      <c r="BE29" s="534"/>
      <c r="BF29" s="534"/>
      <c r="BG29" s="534"/>
      <c r="BH29" s="534"/>
    </row>
    <row r="30" spans="1:60" s="40" customFormat="1" x14ac:dyDescent="0.2">
      <c r="A30" s="544">
        <v>27</v>
      </c>
      <c r="B30" s="69"/>
      <c r="C30" s="69"/>
      <c r="D30" s="895"/>
      <c r="E30" s="895"/>
      <c r="F30" s="70"/>
      <c r="G30" s="545">
        <f t="shared" ref="G30:G49" si="8">D30*F30</f>
        <v>0</v>
      </c>
      <c r="H30" s="1017"/>
      <c r="I30" s="506"/>
      <c r="J30" s="457">
        <f t="shared" ref="J30:J49" si="9">IF(G30=0,0,IF(G30/D30&gt;SVGrund_lfd_tä,D30*Höchst_Tag,G30*SV_lfd))</f>
        <v>0</v>
      </c>
      <c r="K30" s="457">
        <f t="shared" ref="K30:K49" si="10">IF((G30-G30/1.1041)&gt;(0.5833*D30/7*SVGrund_lfd_tä),(0.5833*D30/7*Höchst_Tag),(G30-G30/1.1041)*SV_lfd)</f>
        <v>0</v>
      </c>
      <c r="L30" s="457">
        <f t="shared" ref="L30:L49" si="11">G30*DB</f>
        <v>0</v>
      </c>
      <c r="M30" s="457">
        <f t="shared" ref="M30:M49" si="12">G30*DZ</f>
        <v>0</v>
      </c>
      <c r="N30" s="457">
        <f t="shared" ref="N30:N49" si="13">G30*KommSt</f>
        <v>0</v>
      </c>
      <c r="O30" s="457">
        <f t="shared" ref="O30:O49" si="14">D30/5*U_Bahn</f>
        <v>0</v>
      </c>
      <c r="P30" s="449">
        <f t="shared" ref="P30:P49" si="15">SUM(J30:O30)</f>
        <v>0</v>
      </c>
      <c r="Q30" s="1029"/>
      <c r="R30" s="534"/>
      <c r="S30" s="1315"/>
      <c r="T30" s="1028" t="b">
        <v>0</v>
      </c>
      <c r="U30" s="549"/>
      <c r="V30" s="69"/>
      <c r="W30" s="1315"/>
      <c r="X30" s="1316"/>
      <c r="Y30" s="1315"/>
      <c r="Z30" s="534"/>
      <c r="AA30" s="1316"/>
      <c r="AB30" s="1316"/>
      <c r="AC30" s="1315"/>
      <c r="AD30" s="534"/>
      <c r="AE30" s="569"/>
      <c r="AF30" s="569"/>
      <c r="AG30" s="569"/>
      <c r="AH30" s="569"/>
      <c r="AI30" s="569"/>
      <c r="AJ30" s="569"/>
      <c r="AK30" s="569"/>
      <c r="AL30" s="569"/>
      <c r="AM30" s="534"/>
      <c r="AN30" s="534"/>
      <c r="AO30" s="534"/>
      <c r="AP30" s="534"/>
      <c r="AQ30" s="534"/>
      <c r="AR30" s="534"/>
      <c r="AS30" s="534"/>
      <c r="AT30" s="534"/>
      <c r="AU30" s="534"/>
      <c r="AV30" s="534"/>
      <c r="AW30" s="534"/>
      <c r="AX30" s="534"/>
      <c r="AY30" s="534"/>
      <c r="AZ30" s="534"/>
      <c r="BA30" s="534"/>
      <c r="BB30" s="534"/>
      <c r="BC30" s="534"/>
      <c r="BD30" s="534"/>
      <c r="BE30" s="534"/>
      <c r="BF30" s="534"/>
      <c r="BG30" s="534"/>
      <c r="BH30" s="534"/>
    </row>
    <row r="31" spans="1:60" s="40" customFormat="1" x14ac:dyDescent="0.2">
      <c r="A31" s="544">
        <v>28</v>
      </c>
      <c r="B31" s="69"/>
      <c r="C31" s="69"/>
      <c r="D31" s="895"/>
      <c r="E31" s="895"/>
      <c r="F31" s="70"/>
      <c r="G31" s="545">
        <f t="shared" si="8"/>
        <v>0</v>
      </c>
      <c r="H31" s="1017"/>
      <c r="I31" s="506"/>
      <c r="J31" s="457">
        <f t="shared" si="9"/>
        <v>0</v>
      </c>
      <c r="K31" s="457">
        <f t="shared" si="10"/>
        <v>0</v>
      </c>
      <c r="L31" s="457">
        <f t="shared" si="11"/>
        <v>0</v>
      </c>
      <c r="M31" s="457">
        <f t="shared" si="12"/>
        <v>0</v>
      </c>
      <c r="N31" s="457">
        <f t="shared" si="13"/>
        <v>0</v>
      </c>
      <c r="O31" s="457">
        <f t="shared" si="14"/>
        <v>0</v>
      </c>
      <c r="P31" s="449">
        <f t="shared" si="15"/>
        <v>0</v>
      </c>
      <c r="Q31" s="1029"/>
      <c r="R31" s="534"/>
      <c r="S31" s="1315"/>
      <c r="T31" s="1028" t="b">
        <v>0</v>
      </c>
      <c r="U31" s="549"/>
      <c r="V31" s="69"/>
      <c r="W31" s="1315"/>
      <c r="X31" s="1316"/>
      <c r="Y31" s="1315"/>
      <c r="Z31" s="534"/>
      <c r="AA31" s="1316"/>
      <c r="AB31" s="1316"/>
      <c r="AC31" s="1315"/>
      <c r="AD31" s="534"/>
      <c r="AE31" s="569"/>
      <c r="AF31" s="569"/>
      <c r="AG31" s="569"/>
      <c r="AH31" s="569"/>
      <c r="AI31" s="569"/>
      <c r="AJ31" s="569"/>
      <c r="AK31" s="569"/>
      <c r="AL31" s="569"/>
      <c r="AM31" s="534"/>
      <c r="AN31" s="534"/>
      <c r="AO31" s="534"/>
      <c r="AP31" s="534"/>
      <c r="AQ31" s="534"/>
      <c r="AR31" s="534"/>
      <c r="AS31" s="534"/>
      <c r="AT31" s="534"/>
      <c r="AU31" s="534"/>
      <c r="AV31" s="534"/>
      <c r="AW31" s="534"/>
      <c r="AX31" s="534"/>
      <c r="AY31" s="534"/>
      <c r="AZ31" s="534"/>
      <c r="BA31" s="534"/>
      <c r="BB31" s="534"/>
      <c r="BC31" s="534"/>
      <c r="BD31" s="534"/>
      <c r="BE31" s="534"/>
      <c r="BF31" s="534"/>
      <c r="BG31" s="534"/>
      <c r="BH31" s="534"/>
    </row>
    <row r="32" spans="1:60" s="40" customFormat="1" x14ac:dyDescent="0.2">
      <c r="A32" s="544">
        <v>29</v>
      </c>
      <c r="B32" s="69"/>
      <c r="C32" s="69"/>
      <c r="D32" s="895"/>
      <c r="E32" s="895"/>
      <c r="F32" s="70"/>
      <c r="G32" s="545">
        <f t="shared" si="8"/>
        <v>0</v>
      </c>
      <c r="H32" s="1017"/>
      <c r="I32" s="506"/>
      <c r="J32" s="457">
        <f t="shared" si="9"/>
        <v>0</v>
      </c>
      <c r="K32" s="457">
        <f t="shared" si="10"/>
        <v>0</v>
      </c>
      <c r="L32" s="457">
        <f t="shared" si="11"/>
        <v>0</v>
      </c>
      <c r="M32" s="457">
        <f t="shared" si="12"/>
        <v>0</v>
      </c>
      <c r="N32" s="457">
        <f t="shared" si="13"/>
        <v>0</v>
      </c>
      <c r="O32" s="457">
        <f t="shared" si="14"/>
        <v>0</v>
      </c>
      <c r="P32" s="449">
        <f t="shared" si="15"/>
        <v>0</v>
      </c>
      <c r="Q32" s="1029"/>
      <c r="R32" s="534"/>
      <c r="S32" s="1315"/>
      <c r="T32" s="1028" t="b">
        <v>0</v>
      </c>
      <c r="U32" s="549"/>
      <c r="V32" s="69"/>
      <c r="W32" s="1315"/>
      <c r="X32" s="1316"/>
      <c r="Y32" s="1315"/>
      <c r="Z32" s="534"/>
      <c r="AA32" s="1316"/>
      <c r="AB32" s="1316"/>
      <c r="AC32" s="1315"/>
      <c r="AD32" s="534"/>
      <c r="AE32" s="569"/>
      <c r="AF32" s="569"/>
      <c r="AG32" s="569"/>
      <c r="AH32" s="569"/>
      <c r="AI32" s="569"/>
      <c r="AJ32" s="569"/>
      <c r="AK32" s="569"/>
      <c r="AL32" s="569"/>
      <c r="AM32" s="534"/>
      <c r="AN32" s="534"/>
      <c r="AO32" s="534"/>
      <c r="AP32" s="534"/>
      <c r="AQ32" s="534"/>
      <c r="AR32" s="534"/>
      <c r="AS32" s="534"/>
      <c r="AT32" s="534"/>
      <c r="AU32" s="534"/>
      <c r="AV32" s="534"/>
      <c r="AW32" s="534"/>
      <c r="AX32" s="534"/>
      <c r="AY32" s="534"/>
      <c r="AZ32" s="534"/>
      <c r="BA32" s="534"/>
      <c r="BB32" s="534"/>
      <c r="BC32" s="534"/>
      <c r="BD32" s="534"/>
      <c r="BE32" s="534"/>
      <c r="BF32" s="534"/>
      <c r="BG32" s="534"/>
      <c r="BH32" s="534"/>
    </row>
    <row r="33" spans="1:60" s="40" customFormat="1" x14ac:dyDescent="0.2">
      <c r="A33" s="544">
        <v>30</v>
      </c>
      <c r="B33" s="69"/>
      <c r="C33" s="69"/>
      <c r="D33" s="895"/>
      <c r="E33" s="895"/>
      <c r="F33" s="70"/>
      <c r="G33" s="545">
        <f t="shared" si="8"/>
        <v>0</v>
      </c>
      <c r="H33" s="1017"/>
      <c r="I33" s="506"/>
      <c r="J33" s="457">
        <f t="shared" si="9"/>
        <v>0</v>
      </c>
      <c r="K33" s="457">
        <f t="shared" si="10"/>
        <v>0</v>
      </c>
      <c r="L33" s="457">
        <f t="shared" si="11"/>
        <v>0</v>
      </c>
      <c r="M33" s="457">
        <f t="shared" si="12"/>
        <v>0</v>
      </c>
      <c r="N33" s="457">
        <f t="shared" si="13"/>
        <v>0</v>
      </c>
      <c r="O33" s="457">
        <f t="shared" si="14"/>
        <v>0</v>
      </c>
      <c r="P33" s="449">
        <f t="shared" si="15"/>
        <v>0</v>
      </c>
      <c r="Q33" s="1029"/>
      <c r="R33" s="534"/>
      <c r="S33" s="1315"/>
      <c r="T33" s="1028" t="b">
        <v>0</v>
      </c>
      <c r="U33" s="549"/>
      <c r="V33" s="69"/>
      <c r="W33" s="1315"/>
      <c r="X33" s="1316"/>
      <c r="Y33" s="1315"/>
      <c r="Z33" s="534"/>
      <c r="AA33" s="1316"/>
      <c r="AB33" s="1316"/>
      <c r="AC33" s="1315"/>
      <c r="AD33" s="534"/>
      <c r="AE33" s="569"/>
      <c r="AF33" s="569"/>
      <c r="AG33" s="569"/>
      <c r="AH33" s="569"/>
      <c r="AI33" s="569"/>
      <c r="AJ33" s="569"/>
      <c r="AK33" s="569"/>
      <c r="AL33" s="569"/>
      <c r="AM33" s="534"/>
      <c r="AN33" s="534"/>
      <c r="AO33" s="534"/>
      <c r="AP33" s="534"/>
      <c r="AQ33" s="534"/>
      <c r="AR33" s="534"/>
      <c r="AS33" s="534"/>
      <c r="AT33" s="534"/>
      <c r="AU33" s="534"/>
      <c r="AV33" s="534"/>
      <c r="AW33" s="534"/>
      <c r="AX33" s="534"/>
      <c r="AY33" s="534"/>
      <c r="AZ33" s="534"/>
      <c r="BA33" s="534"/>
      <c r="BB33" s="534"/>
      <c r="BC33" s="534"/>
      <c r="BD33" s="534"/>
      <c r="BE33" s="534"/>
      <c r="BF33" s="534"/>
      <c r="BG33" s="534"/>
      <c r="BH33" s="534"/>
    </row>
    <row r="34" spans="1:60" s="40" customFormat="1" x14ac:dyDescent="0.2">
      <c r="A34" s="544">
        <v>31</v>
      </c>
      <c r="B34" s="69"/>
      <c r="C34" s="69"/>
      <c r="D34" s="895"/>
      <c r="E34" s="895"/>
      <c r="F34" s="70"/>
      <c r="G34" s="545">
        <f t="shared" si="8"/>
        <v>0</v>
      </c>
      <c r="H34" s="1017"/>
      <c r="I34" s="506"/>
      <c r="J34" s="457">
        <f t="shared" si="9"/>
        <v>0</v>
      </c>
      <c r="K34" s="457">
        <f t="shared" si="10"/>
        <v>0</v>
      </c>
      <c r="L34" s="457">
        <f t="shared" si="11"/>
        <v>0</v>
      </c>
      <c r="M34" s="457">
        <f t="shared" si="12"/>
        <v>0</v>
      </c>
      <c r="N34" s="457">
        <f t="shared" si="13"/>
        <v>0</v>
      </c>
      <c r="O34" s="457">
        <f t="shared" si="14"/>
        <v>0</v>
      </c>
      <c r="P34" s="449">
        <f t="shared" si="15"/>
        <v>0</v>
      </c>
      <c r="Q34" s="1029"/>
      <c r="R34" s="534"/>
      <c r="S34" s="1315"/>
      <c r="T34" s="1028" t="b">
        <v>0</v>
      </c>
      <c r="U34" s="549"/>
      <c r="V34" s="69"/>
      <c r="W34" s="1315"/>
      <c r="X34" s="1316"/>
      <c r="Y34" s="1315"/>
      <c r="Z34" s="534"/>
      <c r="AA34" s="1316"/>
      <c r="AB34" s="1316"/>
      <c r="AC34" s="1315"/>
      <c r="AD34" s="534"/>
      <c r="AE34" s="569"/>
      <c r="AF34" s="569"/>
      <c r="AG34" s="569"/>
      <c r="AH34" s="569"/>
      <c r="AI34" s="569"/>
      <c r="AJ34" s="569"/>
      <c r="AK34" s="569"/>
      <c r="AL34" s="569"/>
      <c r="AM34" s="534"/>
      <c r="AN34" s="534"/>
      <c r="AO34" s="534"/>
      <c r="AP34" s="534"/>
      <c r="AQ34" s="534"/>
      <c r="AR34" s="534"/>
      <c r="AS34" s="534"/>
      <c r="AT34" s="534"/>
      <c r="AU34" s="534"/>
      <c r="AV34" s="534"/>
      <c r="AW34" s="534"/>
      <c r="AX34" s="534"/>
      <c r="AY34" s="534"/>
      <c r="AZ34" s="534"/>
      <c r="BA34" s="534"/>
      <c r="BB34" s="534"/>
      <c r="BC34" s="534"/>
      <c r="BD34" s="534"/>
      <c r="BE34" s="534"/>
      <c r="BF34" s="534"/>
      <c r="BG34" s="534"/>
      <c r="BH34" s="534"/>
    </row>
    <row r="35" spans="1:60" s="40" customFormat="1" x14ac:dyDescent="0.2">
      <c r="A35" s="544">
        <v>32</v>
      </c>
      <c r="B35" s="69"/>
      <c r="C35" s="69"/>
      <c r="D35" s="895"/>
      <c r="E35" s="895"/>
      <c r="F35" s="70"/>
      <c r="G35" s="545">
        <f t="shared" si="8"/>
        <v>0</v>
      </c>
      <c r="H35" s="1017"/>
      <c r="I35" s="506"/>
      <c r="J35" s="457">
        <f t="shared" si="9"/>
        <v>0</v>
      </c>
      <c r="K35" s="457">
        <f t="shared" si="10"/>
        <v>0</v>
      </c>
      <c r="L35" s="457">
        <f t="shared" si="11"/>
        <v>0</v>
      </c>
      <c r="M35" s="457">
        <f t="shared" si="12"/>
        <v>0</v>
      </c>
      <c r="N35" s="457">
        <f t="shared" si="13"/>
        <v>0</v>
      </c>
      <c r="O35" s="457">
        <f t="shared" si="14"/>
        <v>0</v>
      </c>
      <c r="P35" s="449">
        <f t="shared" si="15"/>
        <v>0</v>
      </c>
      <c r="Q35" s="1029"/>
      <c r="R35" s="534"/>
      <c r="S35" s="1315"/>
      <c r="T35" s="1028" t="b">
        <v>0</v>
      </c>
      <c r="U35" s="549"/>
      <c r="V35" s="69"/>
      <c r="W35" s="1315"/>
      <c r="X35" s="1316"/>
      <c r="Y35" s="1315"/>
      <c r="Z35" s="534"/>
      <c r="AA35" s="1316"/>
      <c r="AB35" s="1316"/>
      <c r="AC35" s="1315"/>
      <c r="AD35" s="534"/>
      <c r="AE35" s="569"/>
      <c r="AF35" s="569"/>
      <c r="AG35" s="569"/>
      <c r="AH35" s="569"/>
      <c r="AI35" s="569"/>
      <c r="AJ35" s="569"/>
      <c r="AK35" s="569"/>
      <c r="AL35" s="569"/>
      <c r="AM35" s="534"/>
      <c r="AN35" s="534"/>
      <c r="AO35" s="534"/>
      <c r="AP35" s="534"/>
      <c r="AQ35" s="534"/>
      <c r="AR35" s="534"/>
      <c r="AS35" s="534"/>
      <c r="AT35" s="534"/>
      <c r="AU35" s="534"/>
      <c r="AV35" s="534"/>
      <c r="AW35" s="534"/>
      <c r="AX35" s="534"/>
      <c r="AY35" s="534"/>
      <c r="AZ35" s="534"/>
      <c r="BA35" s="534"/>
      <c r="BB35" s="534"/>
      <c r="BC35" s="534"/>
      <c r="BD35" s="534"/>
      <c r="BE35" s="534"/>
      <c r="BF35" s="534"/>
      <c r="BG35" s="534"/>
      <c r="BH35" s="534"/>
    </row>
    <row r="36" spans="1:60" s="40" customFormat="1" x14ac:dyDescent="0.2">
      <c r="A36" s="544">
        <v>33</v>
      </c>
      <c r="B36" s="69"/>
      <c r="C36" s="69"/>
      <c r="D36" s="895"/>
      <c r="E36" s="895"/>
      <c r="F36" s="70"/>
      <c r="G36" s="545">
        <f t="shared" si="8"/>
        <v>0</v>
      </c>
      <c r="H36" s="1017"/>
      <c r="I36" s="506"/>
      <c r="J36" s="457">
        <f t="shared" si="9"/>
        <v>0</v>
      </c>
      <c r="K36" s="457">
        <f t="shared" si="10"/>
        <v>0</v>
      </c>
      <c r="L36" s="457">
        <f t="shared" si="11"/>
        <v>0</v>
      </c>
      <c r="M36" s="457">
        <f t="shared" si="12"/>
        <v>0</v>
      </c>
      <c r="N36" s="457">
        <f t="shared" si="13"/>
        <v>0</v>
      </c>
      <c r="O36" s="457">
        <f t="shared" si="14"/>
        <v>0</v>
      </c>
      <c r="P36" s="449">
        <f t="shared" si="15"/>
        <v>0</v>
      </c>
      <c r="Q36" s="1029"/>
      <c r="R36" s="534"/>
      <c r="S36" s="1315"/>
      <c r="T36" s="1028" t="b">
        <v>0</v>
      </c>
      <c r="U36" s="549"/>
      <c r="V36" s="69"/>
      <c r="W36" s="1315"/>
      <c r="X36" s="1316"/>
      <c r="Y36" s="1315"/>
      <c r="Z36" s="534"/>
      <c r="AA36" s="1316"/>
      <c r="AB36" s="1316"/>
      <c r="AC36" s="1315"/>
      <c r="AD36" s="534"/>
      <c r="AE36" s="569"/>
      <c r="AF36" s="569"/>
      <c r="AG36" s="569"/>
      <c r="AH36" s="569"/>
      <c r="AI36" s="569"/>
      <c r="AJ36" s="569"/>
      <c r="AK36" s="569"/>
      <c r="AL36" s="569"/>
      <c r="AM36" s="534"/>
      <c r="AN36" s="534"/>
      <c r="AO36" s="534"/>
      <c r="AP36" s="534"/>
      <c r="AQ36" s="534"/>
      <c r="AR36" s="534"/>
      <c r="AS36" s="534"/>
      <c r="AT36" s="534"/>
      <c r="AU36" s="534"/>
      <c r="AV36" s="534"/>
      <c r="AW36" s="534"/>
      <c r="AX36" s="534"/>
      <c r="AY36" s="534"/>
      <c r="AZ36" s="534"/>
      <c r="BA36" s="534"/>
      <c r="BB36" s="534"/>
      <c r="BC36" s="534"/>
      <c r="BD36" s="534"/>
      <c r="BE36" s="534"/>
      <c r="BF36" s="534"/>
      <c r="BG36" s="534"/>
      <c r="BH36" s="534"/>
    </row>
    <row r="37" spans="1:60" s="40" customFormat="1" x14ac:dyDescent="0.2">
      <c r="A37" s="544">
        <v>34</v>
      </c>
      <c r="B37" s="69"/>
      <c r="C37" s="69"/>
      <c r="D37" s="895"/>
      <c r="E37" s="895"/>
      <c r="F37" s="70"/>
      <c r="G37" s="545">
        <f t="shared" si="8"/>
        <v>0</v>
      </c>
      <c r="H37" s="1017"/>
      <c r="I37" s="506"/>
      <c r="J37" s="457">
        <f t="shared" si="9"/>
        <v>0</v>
      </c>
      <c r="K37" s="457">
        <f t="shared" si="10"/>
        <v>0</v>
      </c>
      <c r="L37" s="457">
        <f t="shared" si="11"/>
        <v>0</v>
      </c>
      <c r="M37" s="457">
        <f t="shared" si="12"/>
        <v>0</v>
      </c>
      <c r="N37" s="457">
        <f t="shared" si="13"/>
        <v>0</v>
      </c>
      <c r="O37" s="457">
        <f t="shared" si="14"/>
        <v>0</v>
      </c>
      <c r="P37" s="449">
        <f t="shared" si="15"/>
        <v>0</v>
      </c>
      <c r="Q37" s="1029"/>
      <c r="R37" s="534"/>
      <c r="S37" s="1315"/>
      <c r="T37" s="1028" t="b">
        <v>0</v>
      </c>
      <c r="U37" s="549"/>
      <c r="V37" s="69"/>
      <c r="W37" s="1315"/>
      <c r="X37" s="1316"/>
      <c r="Y37" s="1315"/>
      <c r="Z37" s="534"/>
      <c r="AA37" s="1316"/>
      <c r="AB37" s="1316"/>
      <c r="AC37" s="1315"/>
      <c r="AD37" s="534"/>
      <c r="AE37" s="569"/>
      <c r="AF37" s="569"/>
      <c r="AG37" s="569"/>
      <c r="AH37" s="569"/>
      <c r="AI37" s="569"/>
      <c r="AJ37" s="569"/>
      <c r="AK37" s="569"/>
      <c r="AL37" s="569"/>
      <c r="AM37" s="534"/>
      <c r="AN37" s="534"/>
      <c r="AO37" s="534"/>
      <c r="AP37" s="534"/>
      <c r="AQ37" s="534"/>
      <c r="AR37" s="534"/>
      <c r="AS37" s="534"/>
      <c r="AT37" s="534"/>
      <c r="AU37" s="534"/>
      <c r="AV37" s="534"/>
      <c r="AW37" s="534"/>
      <c r="AX37" s="534"/>
      <c r="AY37" s="534"/>
      <c r="AZ37" s="534"/>
      <c r="BA37" s="534"/>
      <c r="BB37" s="534"/>
      <c r="BC37" s="534"/>
      <c r="BD37" s="534"/>
      <c r="BE37" s="534"/>
      <c r="BF37" s="534"/>
      <c r="BG37" s="534"/>
      <c r="BH37" s="534"/>
    </row>
    <row r="38" spans="1:60" s="40" customFormat="1" x14ac:dyDescent="0.2">
      <c r="A38" s="544">
        <v>35</v>
      </c>
      <c r="B38" s="69"/>
      <c r="C38" s="69"/>
      <c r="D38" s="895"/>
      <c r="E38" s="895"/>
      <c r="F38" s="70"/>
      <c r="G38" s="545">
        <f t="shared" si="8"/>
        <v>0</v>
      </c>
      <c r="H38" s="1017"/>
      <c r="I38" s="506"/>
      <c r="J38" s="457">
        <f t="shared" si="9"/>
        <v>0</v>
      </c>
      <c r="K38" s="457">
        <f t="shared" si="10"/>
        <v>0</v>
      </c>
      <c r="L38" s="457">
        <f t="shared" si="11"/>
        <v>0</v>
      </c>
      <c r="M38" s="457">
        <f t="shared" si="12"/>
        <v>0</v>
      </c>
      <c r="N38" s="457">
        <f t="shared" si="13"/>
        <v>0</v>
      </c>
      <c r="O38" s="457">
        <f t="shared" si="14"/>
        <v>0</v>
      </c>
      <c r="P38" s="449">
        <f t="shared" si="15"/>
        <v>0</v>
      </c>
      <c r="Q38" s="1029"/>
      <c r="R38" s="534"/>
      <c r="S38" s="1315"/>
      <c r="T38" s="1028" t="b">
        <v>0</v>
      </c>
      <c r="U38" s="549"/>
      <c r="V38" s="69"/>
      <c r="W38" s="1315"/>
      <c r="X38" s="1316"/>
      <c r="Y38" s="1315"/>
      <c r="Z38" s="534"/>
      <c r="AA38" s="1316"/>
      <c r="AB38" s="1316"/>
      <c r="AC38" s="1315"/>
      <c r="AD38" s="534"/>
      <c r="AE38" s="569"/>
      <c r="AF38" s="569"/>
      <c r="AG38" s="569"/>
      <c r="AH38" s="569"/>
      <c r="AI38" s="569"/>
      <c r="AJ38" s="569"/>
      <c r="AK38" s="569"/>
      <c r="AL38" s="569"/>
      <c r="AM38" s="534"/>
      <c r="AN38" s="534"/>
      <c r="AO38" s="534"/>
      <c r="AP38" s="534"/>
      <c r="AQ38" s="534"/>
      <c r="AR38" s="534"/>
      <c r="AS38" s="534"/>
      <c r="AT38" s="534"/>
      <c r="AU38" s="534"/>
      <c r="AV38" s="534"/>
      <c r="AW38" s="534"/>
      <c r="AX38" s="534"/>
      <c r="AY38" s="534"/>
      <c r="AZ38" s="534"/>
      <c r="BA38" s="534"/>
      <c r="BB38" s="534"/>
      <c r="BC38" s="534"/>
      <c r="BD38" s="534"/>
      <c r="BE38" s="534"/>
      <c r="BF38" s="534"/>
      <c r="BG38" s="534"/>
      <c r="BH38" s="534"/>
    </row>
    <row r="39" spans="1:60" s="40" customFormat="1" x14ac:dyDescent="0.2">
      <c r="A39" s="544">
        <v>36</v>
      </c>
      <c r="B39" s="69"/>
      <c r="C39" s="69"/>
      <c r="D39" s="895"/>
      <c r="E39" s="895"/>
      <c r="F39" s="70"/>
      <c r="G39" s="545">
        <f t="shared" si="8"/>
        <v>0</v>
      </c>
      <c r="H39" s="1017"/>
      <c r="I39" s="506"/>
      <c r="J39" s="457">
        <f t="shared" si="9"/>
        <v>0</v>
      </c>
      <c r="K39" s="457">
        <f t="shared" si="10"/>
        <v>0</v>
      </c>
      <c r="L39" s="457">
        <f t="shared" si="11"/>
        <v>0</v>
      </c>
      <c r="M39" s="457">
        <f t="shared" si="12"/>
        <v>0</v>
      </c>
      <c r="N39" s="457">
        <f t="shared" si="13"/>
        <v>0</v>
      </c>
      <c r="O39" s="457">
        <f t="shared" si="14"/>
        <v>0</v>
      </c>
      <c r="P39" s="449">
        <f t="shared" si="15"/>
        <v>0</v>
      </c>
      <c r="Q39" s="1029"/>
      <c r="R39" s="534"/>
      <c r="S39" s="1315"/>
      <c r="T39" s="1028" t="b">
        <v>0</v>
      </c>
      <c r="U39" s="549"/>
      <c r="V39" s="69"/>
      <c r="W39" s="1315"/>
      <c r="X39" s="1316"/>
      <c r="Y39" s="1315"/>
      <c r="Z39" s="534"/>
      <c r="AA39" s="1316"/>
      <c r="AB39" s="1316"/>
      <c r="AC39" s="1315"/>
      <c r="AD39" s="534"/>
      <c r="AE39" s="569"/>
      <c r="AF39" s="569"/>
      <c r="AG39" s="569"/>
      <c r="AH39" s="569"/>
      <c r="AI39" s="569"/>
      <c r="AJ39" s="569"/>
      <c r="AK39" s="569"/>
      <c r="AL39" s="569"/>
      <c r="AM39" s="534"/>
      <c r="AN39" s="534"/>
      <c r="AO39" s="534"/>
      <c r="AP39" s="534"/>
      <c r="AQ39" s="534"/>
      <c r="AR39" s="534"/>
      <c r="AS39" s="534"/>
      <c r="AT39" s="534"/>
      <c r="AU39" s="534"/>
      <c r="AV39" s="534"/>
      <c r="AW39" s="534"/>
      <c r="AX39" s="534"/>
      <c r="AY39" s="534"/>
      <c r="AZ39" s="534"/>
      <c r="BA39" s="534"/>
      <c r="BB39" s="534"/>
      <c r="BC39" s="534"/>
      <c r="BD39" s="534"/>
      <c r="BE39" s="534"/>
      <c r="BF39" s="534"/>
      <c r="BG39" s="534"/>
      <c r="BH39" s="534"/>
    </row>
    <row r="40" spans="1:60" s="40" customFormat="1" x14ac:dyDescent="0.2">
      <c r="A40" s="544">
        <v>37</v>
      </c>
      <c r="B40" s="69"/>
      <c r="C40" s="69"/>
      <c r="D40" s="895"/>
      <c r="E40" s="895"/>
      <c r="F40" s="70"/>
      <c r="G40" s="545">
        <f t="shared" si="8"/>
        <v>0</v>
      </c>
      <c r="H40" s="1017"/>
      <c r="I40" s="506"/>
      <c r="J40" s="457">
        <f t="shared" si="9"/>
        <v>0</v>
      </c>
      <c r="K40" s="457">
        <f t="shared" si="10"/>
        <v>0</v>
      </c>
      <c r="L40" s="457">
        <f t="shared" si="11"/>
        <v>0</v>
      </c>
      <c r="M40" s="457">
        <f t="shared" si="12"/>
        <v>0</v>
      </c>
      <c r="N40" s="457">
        <f t="shared" si="13"/>
        <v>0</v>
      </c>
      <c r="O40" s="457">
        <f t="shared" si="14"/>
        <v>0</v>
      </c>
      <c r="P40" s="449">
        <f t="shared" si="15"/>
        <v>0</v>
      </c>
      <c r="Q40" s="1029"/>
      <c r="R40" s="534"/>
      <c r="S40" s="1315"/>
      <c r="T40" s="1028" t="b">
        <v>0</v>
      </c>
      <c r="U40" s="549"/>
      <c r="V40" s="69"/>
      <c r="W40" s="1315"/>
      <c r="X40" s="1316"/>
      <c r="Y40" s="1315"/>
      <c r="Z40" s="534"/>
      <c r="AA40" s="1316"/>
      <c r="AB40" s="1316"/>
      <c r="AC40" s="1315"/>
      <c r="AD40" s="534"/>
      <c r="AE40" s="569"/>
      <c r="AF40" s="569"/>
      <c r="AG40" s="569"/>
      <c r="AH40" s="569"/>
      <c r="AI40" s="569"/>
      <c r="AJ40" s="569"/>
      <c r="AK40" s="569"/>
      <c r="AL40" s="569"/>
      <c r="AM40" s="534"/>
      <c r="AN40" s="534"/>
      <c r="AO40" s="534"/>
      <c r="AP40" s="534"/>
      <c r="AQ40" s="534"/>
      <c r="AR40" s="534"/>
      <c r="AS40" s="534"/>
      <c r="AT40" s="534"/>
      <c r="AU40" s="534"/>
      <c r="AV40" s="534"/>
      <c r="AW40" s="534"/>
      <c r="AX40" s="534"/>
      <c r="AY40" s="534"/>
      <c r="AZ40" s="534"/>
      <c r="BA40" s="534"/>
      <c r="BB40" s="534"/>
      <c r="BC40" s="534"/>
      <c r="BD40" s="534"/>
      <c r="BE40" s="534"/>
      <c r="BF40" s="534"/>
      <c r="BG40" s="534"/>
      <c r="BH40" s="534"/>
    </row>
    <row r="41" spans="1:60" s="40" customFormat="1" x14ac:dyDescent="0.2">
      <c r="A41" s="544">
        <v>38</v>
      </c>
      <c r="B41" s="69"/>
      <c r="C41" s="69"/>
      <c r="D41" s="895"/>
      <c r="E41" s="895"/>
      <c r="F41" s="70"/>
      <c r="G41" s="545">
        <f t="shared" si="8"/>
        <v>0</v>
      </c>
      <c r="H41" s="1017"/>
      <c r="I41" s="506"/>
      <c r="J41" s="457">
        <f t="shared" si="9"/>
        <v>0</v>
      </c>
      <c r="K41" s="457">
        <f t="shared" si="10"/>
        <v>0</v>
      </c>
      <c r="L41" s="457">
        <f t="shared" si="11"/>
        <v>0</v>
      </c>
      <c r="M41" s="457">
        <f t="shared" si="12"/>
        <v>0</v>
      </c>
      <c r="N41" s="457">
        <f t="shared" si="13"/>
        <v>0</v>
      </c>
      <c r="O41" s="457">
        <f t="shared" si="14"/>
        <v>0</v>
      </c>
      <c r="P41" s="449">
        <f t="shared" si="15"/>
        <v>0</v>
      </c>
      <c r="Q41" s="1029"/>
      <c r="R41" s="534"/>
      <c r="S41" s="1315"/>
      <c r="T41" s="1028" t="b">
        <v>0</v>
      </c>
      <c r="U41" s="549"/>
      <c r="V41" s="69"/>
      <c r="W41" s="1315"/>
      <c r="X41" s="1316"/>
      <c r="Y41" s="1315"/>
      <c r="Z41" s="534"/>
      <c r="AA41" s="1316"/>
      <c r="AB41" s="1316"/>
      <c r="AC41" s="1315"/>
      <c r="AD41" s="534"/>
      <c r="AE41" s="569"/>
      <c r="AF41" s="569"/>
      <c r="AG41" s="569"/>
      <c r="AH41" s="569"/>
      <c r="AI41" s="569"/>
      <c r="AJ41" s="569"/>
      <c r="AK41" s="569"/>
      <c r="AL41" s="569"/>
      <c r="AM41" s="534"/>
      <c r="AN41" s="534"/>
      <c r="AO41" s="534"/>
      <c r="AP41" s="534"/>
      <c r="AQ41" s="534"/>
      <c r="AR41" s="534"/>
      <c r="AS41" s="534"/>
      <c r="AT41" s="534"/>
      <c r="AU41" s="534"/>
      <c r="AV41" s="534"/>
      <c r="AW41" s="534"/>
      <c r="AX41" s="534"/>
      <c r="AY41" s="534"/>
      <c r="AZ41" s="534"/>
      <c r="BA41" s="534"/>
      <c r="BB41" s="534"/>
      <c r="BC41" s="534"/>
      <c r="BD41" s="534"/>
      <c r="BE41" s="534"/>
      <c r="BF41" s="534"/>
      <c r="BG41" s="534"/>
      <c r="BH41" s="534"/>
    </row>
    <row r="42" spans="1:60" s="40" customFormat="1" x14ac:dyDescent="0.2">
      <c r="A42" s="544">
        <v>39</v>
      </c>
      <c r="B42" s="69"/>
      <c r="C42" s="69"/>
      <c r="D42" s="895"/>
      <c r="E42" s="895"/>
      <c r="F42" s="70"/>
      <c r="G42" s="545">
        <f t="shared" si="8"/>
        <v>0</v>
      </c>
      <c r="H42" s="1017"/>
      <c r="I42" s="506"/>
      <c r="J42" s="457">
        <f t="shared" si="9"/>
        <v>0</v>
      </c>
      <c r="K42" s="457">
        <f t="shared" si="10"/>
        <v>0</v>
      </c>
      <c r="L42" s="457">
        <f t="shared" si="11"/>
        <v>0</v>
      </c>
      <c r="M42" s="457">
        <f t="shared" si="12"/>
        <v>0</v>
      </c>
      <c r="N42" s="457">
        <f t="shared" si="13"/>
        <v>0</v>
      </c>
      <c r="O42" s="457">
        <f t="shared" si="14"/>
        <v>0</v>
      </c>
      <c r="P42" s="449">
        <f t="shared" si="15"/>
        <v>0</v>
      </c>
      <c r="Q42" s="1029"/>
      <c r="R42" s="534"/>
      <c r="S42" s="1315"/>
      <c r="T42" s="1028" t="b">
        <v>0</v>
      </c>
      <c r="U42" s="549"/>
      <c r="V42" s="69"/>
      <c r="W42" s="1315"/>
      <c r="X42" s="1316"/>
      <c r="Y42" s="1315"/>
      <c r="Z42" s="534"/>
      <c r="AA42" s="1316"/>
      <c r="AB42" s="1316"/>
      <c r="AC42" s="1315"/>
      <c r="AD42" s="534"/>
      <c r="AE42" s="569"/>
      <c r="AF42" s="569"/>
      <c r="AG42" s="569"/>
      <c r="AH42" s="569"/>
      <c r="AI42" s="569"/>
      <c r="AJ42" s="569"/>
      <c r="AK42" s="569"/>
      <c r="AL42" s="569"/>
      <c r="AM42" s="534"/>
      <c r="AN42" s="534"/>
      <c r="AO42" s="534"/>
      <c r="AP42" s="534"/>
      <c r="AQ42" s="534"/>
      <c r="AR42" s="534"/>
      <c r="AS42" s="534"/>
      <c r="AT42" s="534"/>
      <c r="AU42" s="534"/>
      <c r="AV42" s="534"/>
      <c r="AW42" s="534"/>
      <c r="AX42" s="534"/>
      <c r="AY42" s="534"/>
      <c r="AZ42" s="534"/>
      <c r="BA42" s="534"/>
      <c r="BB42" s="534"/>
      <c r="BC42" s="534"/>
      <c r="BD42" s="534"/>
      <c r="BE42" s="534"/>
      <c r="BF42" s="534"/>
      <c r="BG42" s="534"/>
      <c r="BH42" s="534"/>
    </row>
    <row r="43" spans="1:60" s="40" customFormat="1" x14ac:dyDescent="0.2">
      <c r="A43" s="544">
        <v>40</v>
      </c>
      <c r="B43" s="69"/>
      <c r="C43" s="69"/>
      <c r="D43" s="895"/>
      <c r="E43" s="895"/>
      <c r="F43" s="70"/>
      <c r="G43" s="545">
        <f t="shared" si="8"/>
        <v>0</v>
      </c>
      <c r="H43" s="1017"/>
      <c r="I43" s="506"/>
      <c r="J43" s="457">
        <f t="shared" si="9"/>
        <v>0</v>
      </c>
      <c r="K43" s="457">
        <f t="shared" si="10"/>
        <v>0</v>
      </c>
      <c r="L43" s="457">
        <f t="shared" si="11"/>
        <v>0</v>
      </c>
      <c r="M43" s="457">
        <f t="shared" si="12"/>
        <v>0</v>
      </c>
      <c r="N43" s="457">
        <f t="shared" si="13"/>
        <v>0</v>
      </c>
      <c r="O43" s="457">
        <f t="shared" si="14"/>
        <v>0</v>
      </c>
      <c r="P43" s="449">
        <f t="shared" si="15"/>
        <v>0</v>
      </c>
      <c r="Q43" s="1029"/>
      <c r="R43" s="534"/>
      <c r="S43" s="1315"/>
      <c r="T43" s="1028" t="b">
        <v>0</v>
      </c>
      <c r="U43" s="549"/>
      <c r="V43" s="69"/>
      <c r="W43" s="1315"/>
      <c r="X43" s="1316"/>
      <c r="Y43" s="1315"/>
      <c r="Z43" s="534"/>
      <c r="AA43" s="1316"/>
      <c r="AB43" s="1316"/>
      <c r="AC43" s="1315"/>
      <c r="AD43" s="534"/>
      <c r="AE43" s="569"/>
      <c r="AF43" s="569"/>
      <c r="AG43" s="569"/>
      <c r="AH43" s="569"/>
      <c r="AI43" s="569"/>
      <c r="AJ43" s="569"/>
      <c r="AK43" s="569"/>
      <c r="AL43" s="569"/>
      <c r="AM43" s="534"/>
      <c r="AN43" s="534"/>
      <c r="AO43" s="534"/>
      <c r="AP43" s="534"/>
      <c r="AQ43" s="534"/>
      <c r="AR43" s="534"/>
      <c r="AS43" s="534"/>
      <c r="AT43" s="534"/>
      <c r="AU43" s="534"/>
      <c r="AV43" s="534"/>
      <c r="AW43" s="534"/>
      <c r="AX43" s="534"/>
      <c r="AY43" s="534"/>
      <c r="AZ43" s="534"/>
      <c r="BA43" s="534"/>
      <c r="BB43" s="534"/>
      <c r="BC43" s="534"/>
      <c r="BD43" s="534"/>
      <c r="BE43" s="534"/>
      <c r="BF43" s="534"/>
      <c r="BG43" s="534"/>
      <c r="BH43" s="534"/>
    </row>
    <row r="44" spans="1:60" s="40" customFormat="1" x14ac:dyDescent="0.2">
      <c r="A44" s="544">
        <v>41</v>
      </c>
      <c r="B44" s="69"/>
      <c r="C44" s="69"/>
      <c r="D44" s="895"/>
      <c r="E44" s="895"/>
      <c r="F44" s="70"/>
      <c r="G44" s="545">
        <f t="shared" si="8"/>
        <v>0</v>
      </c>
      <c r="H44" s="1017"/>
      <c r="I44" s="506"/>
      <c r="J44" s="457">
        <f t="shared" si="9"/>
        <v>0</v>
      </c>
      <c r="K44" s="457">
        <f t="shared" si="10"/>
        <v>0</v>
      </c>
      <c r="L44" s="457">
        <f t="shared" si="11"/>
        <v>0</v>
      </c>
      <c r="M44" s="457">
        <f t="shared" si="12"/>
        <v>0</v>
      </c>
      <c r="N44" s="457">
        <f t="shared" si="13"/>
        <v>0</v>
      </c>
      <c r="O44" s="457">
        <f t="shared" si="14"/>
        <v>0</v>
      </c>
      <c r="P44" s="449">
        <f t="shared" si="15"/>
        <v>0</v>
      </c>
      <c r="Q44" s="1029"/>
      <c r="R44" s="534"/>
      <c r="S44" s="1315"/>
      <c r="T44" s="1028" t="b">
        <v>0</v>
      </c>
      <c r="U44" s="549"/>
      <c r="V44" s="69"/>
      <c r="W44" s="1315"/>
      <c r="X44" s="1316"/>
      <c r="Y44" s="1315"/>
      <c r="Z44" s="534"/>
      <c r="AA44" s="1316"/>
      <c r="AB44" s="1316"/>
      <c r="AC44" s="1315"/>
      <c r="AD44" s="534"/>
      <c r="AE44" s="569"/>
      <c r="AF44" s="569"/>
      <c r="AG44" s="569"/>
      <c r="AH44" s="569"/>
      <c r="AI44" s="569"/>
      <c r="AJ44" s="569"/>
      <c r="AK44" s="569"/>
      <c r="AL44" s="569"/>
      <c r="AM44" s="534"/>
      <c r="AN44" s="534"/>
      <c r="AO44" s="534"/>
      <c r="AP44" s="534"/>
      <c r="AQ44" s="534"/>
      <c r="AR44" s="534"/>
      <c r="AS44" s="534"/>
      <c r="AT44" s="534"/>
      <c r="AU44" s="534"/>
      <c r="AV44" s="534"/>
      <c r="AW44" s="534"/>
      <c r="AX44" s="534"/>
      <c r="AY44" s="534"/>
      <c r="AZ44" s="534"/>
      <c r="BA44" s="534"/>
      <c r="BB44" s="534"/>
      <c r="BC44" s="534"/>
      <c r="BD44" s="534"/>
      <c r="BE44" s="534"/>
      <c r="BF44" s="534"/>
      <c r="BG44" s="534"/>
      <c r="BH44" s="534"/>
    </row>
    <row r="45" spans="1:60" s="40" customFormat="1" x14ac:dyDescent="0.2">
      <c r="A45" s="544">
        <v>42</v>
      </c>
      <c r="B45" s="69"/>
      <c r="C45" s="69"/>
      <c r="D45" s="895"/>
      <c r="E45" s="895"/>
      <c r="F45" s="70"/>
      <c r="G45" s="545">
        <f t="shared" si="8"/>
        <v>0</v>
      </c>
      <c r="H45" s="1017"/>
      <c r="I45" s="506"/>
      <c r="J45" s="457">
        <f t="shared" si="9"/>
        <v>0</v>
      </c>
      <c r="K45" s="457">
        <f t="shared" si="10"/>
        <v>0</v>
      </c>
      <c r="L45" s="457">
        <f t="shared" si="11"/>
        <v>0</v>
      </c>
      <c r="M45" s="457">
        <f t="shared" si="12"/>
        <v>0</v>
      </c>
      <c r="N45" s="457">
        <f t="shared" si="13"/>
        <v>0</v>
      </c>
      <c r="O45" s="457">
        <f t="shared" si="14"/>
        <v>0</v>
      </c>
      <c r="P45" s="449">
        <f t="shared" si="15"/>
        <v>0</v>
      </c>
      <c r="Q45" s="1029"/>
      <c r="R45" s="534"/>
      <c r="S45" s="1315"/>
      <c r="T45" s="1028" t="b">
        <v>0</v>
      </c>
      <c r="U45" s="549"/>
      <c r="V45" s="69"/>
      <c r="W45" s="1315"/>
      <c r="X45" s="1316"/>
      <c r="Y45" s="1315"/>
      <c r="Z45" s="534"/>
      <c r="AA45" s="1316"/>
      <c r="AB45" s="1316"/>
      <c r="AC45" s="1315"/>
      <c r="AD45" s="534"/>
      <c r="AE45" s="569"/>
      <c r="AF45" s="569"/>
      <c r="AG45" s="569"/>
      <c r="AH45" s="569"/>
      <c r="AI45" s="569"/>
      <c r="AJ45" s="569"/>
      <c r="AK45" s="569"/>
      <c r="AL45" s="569"/>
      <c r="AM45" s="534"/>
      <c r="AN45" s="534"/>
      <c r="AO45" s="534"/>
      <c r="AP45" s="534"/>
      <c r="AQ45" s="534"/>
      <c r="AR45" s="534"/>
      <c r="AS45" s="534"/>
      <c r="AT45" s="534"/>
      <c r="AU45" s="534"/>
      <c r="AV45" s="534"/>
      <c r="AW45" s="534"/>
      <c r="AX45" s="534"/>
      <c r="AY45" s="534"/>
      <c r="AZ45" s="534"/>
      <c r="BA45" s="534"/>
      <c r="BB45" s="534"/>
      <c r="BC45" s="534"/>
      <c r="BD45" s="534"/>
      <c r="BE45" s="534"/>
      <c r="BF45" s="534"/>
      <c r="BG45" s="534"/>
      <c r="BH45" s="534"/>
    </row>
    <row r="46" spans="1:60" s="40" customFormat="1" x14ac:dyDescent="0.2">
      <c r="A46" s="544">
        <v>43</v>
      </c>
      <c r="B46" s="69"/>
      <c r="C46" s="69"/>
      <c r="D46" s="895"/>
      <c r="E46" s="895"/>
      <c r="F46" s="70"/>
      <c r="G46" s="545">
        <f t="shared" si="8"/>
        <v>0</v>
      </c>
      <c r="H46" s="1017"/>
      <c r="I46" s="506"/>
      <c r="J46" s="457">
        <f t="shared" si="9"/>
        <v>0</v>
      </c>
      <c r="K46" s="457">
        <f t="shared" si="10"/>
        <v>0</v>
      </c>
      <c r="L46" s="457">
        <f t="shared" si="11"/>
        <v>0</v>
      </c>
      <c r="M46" s="457">
        <f t="shared" si="12"/>
        <v>0</v>
      </c>
      <c r="N46" s="457">
        <f t="shared" si="13"/>
        <v>0</v>
      </c>
      <c r="O46" s="457">
        <f t="shared" si="14"/>
        <v>0</v>
      </c>
      <c r="P46" s="449">
        <f t="shared" si="15"/>
        <v>0</v>
      </c>
      <c r="Q46" s="1029"/>
      <c r="R46" s="534"/>
      <c r="S46" s="1315"/>
      <c r="T46" s="1028" t="b">
        <v>0</v>
      </c>
      <c r="U46" s="549"/>
      <c r="V46" s="69"/>
      <c r="W46" s="1315"/>
      <c r="X46" s="1316"/>
      <c r="Y46" s="1315"/>
      <c r="Z46" s="534"/>
      <c r="AA46" s="1316"/>
      <c r="AB46" s="1316"/>
      <c r="AC46" s="1315"/>
      <c r="AD46" s="534"/>
      <c r="AE46" s="569"/>
      <c r="AF46" s="569"/>
      <c r="AG46" s="569"/>
      <c r="AH46" s="569"/>
      <c r="AI46" s="569"/>
      <c r="AJ46" s="569"/>
      <c r="AK46" s="569"/>
      <c r="AL46" s="569"/>
      <c r="AM46" s="534"/>
      <c r="AN46" s="534"/>
      <c r="AO46" s="534"/>
      <c r="AP46" s="534"/>
      <c r="AQ46" s="534"/>
      <c r="AR46" s="534"/>
      <c r="AS46" s="534"/>
      <c r="AT46" s="534"/>
      <c r="AU46" s="534"/>
      <c r="AV46" s="534"/>
      <c r="AW46" s="534"/>
      <c r="AX46" s="534"/>
      <c r="AY46" s="534"/>
      <c r="AZ46" s="534"/>
      <c r="BA46" s="534"/>
      <c r="BB46" s="534"/>
      <c r="BC46" s="534"/>
      <c r="BD46" s="534"/>
      <c r="BE46" s="534"/>
      <c r="BF46" s="534"/>
      <c r="BG46" s="534"/>
      <c r="BH46" s="534"/>
    </row>
    <row r="47" spans="1:60" s="40" customFormat="1" x14ac:dyDescent="0.2">
      <c r="A47" s="544">
        <v>44</v>
      </c>
      <c r="B47" s="69"/>
      <c r="C47" s="69"/>
      <c r="D47" s="895"/>
      <c r="E47" s="895"/>
      <c r="F47" s="70"/>
      <c r="G47" s="545">
        <f t="shared" si="8"/>
        <v>0</v>
      </c>
      <c r="H47" s="1017"/>
      <c r="I47" s="506"/>
      <c r="J47" s="457">
        <f t="shared" si="9"/>
        <v>0</v>
      </c>
      <c r="K47" s="457">
        <f t="shared" si="10"/>
        <v>0</v>
      </c>
      <c r="L47" s="457">
        <f t="shared" si="11"/>
        <v>0</v>
      </c>
      <c r="M47" s="457">
        <f t="shared" si="12"/>
        <v>0</v>
      </c>
      <c r="N47" s="457">
        <f t="shared" si="13"/>
        <v>0</v>
      </c>
      <c r="O47" s="457">
        <f t="shared" si="14"/>
        <v>0</v>
      </c>
      <c r="P47" s="449">
        <f t="shared" si="15"/>
        <v>0</v>
      </c>
      <c r="Q47" s="1029"/>
      <c r="R47" s="534"/>
      <c r="S47" s="1315"/>
      <c r="T47" s="1028" t="b">
        <v>0</v>
      </c>
      <c r="U47" s="549"/>
      <c r="V47" s="69"/>
      <c r="W47" s="1315"/>
      <c r="X47" s="1316"/>
      <c r="Y47" s="1315"/>
      <c r="Z47" s="534"/>
      <c r="AA47" s="1316"/>
      <c r="AB47" s="1316"/>
      <c r="AC47" s="1315"/>
      <c r="AD47" s="534"/>
      <c r="AE47" s="569"/>
      <c r="AF47" s="569"/>
      <c r="AG47" s="569"/>
      <c r="AH47" s="569"/>
      <c r="AI47" s="569"/>
      <c r="AJ47" s="569"/>
      <c r="AK47" s="569"/>
      <c r="AL47" s="569"/>
      <c r="AM47" s="534"/>
      <c r="AN47" s="534"/>
      <c r="AO47" s="534"/>
      <c r="AP47" s="534"/>
      <c r="AQ47" s="534"/>
      <c r="AR47" s="534"/>
      <c r="AS47" s="534"/>
      <c r="AT47" s="534"/>
      <c r="AU47" s="534"/>
      <c r="AV47" s="534"/>
      <c r="AW47" s="534"/>
      <c r="AX47" s="534"/>
      <c r="AY47" s="534"/>
      <c r="AZ47" s="534"/>
      <c r="BA47" s="534"/>
      <c r="BB47" s="534"/>
      <c r="BC47" s="534"/>
      <c r="BD47" s="534"/>
      <c r="BE47" s="534"/>
      <c r="BF47" s="534"/>
      <c r="BG47" s="534"/>
      <c r="BH47" s="534"/>
    </row>
    <row r="48" spans="1:60" s="40" customFormat="1" x14ac:dyDescent="0.2">
      <c r="A48" s="544">
        <v>45</v>
      </c>
      <c r="B48" s="69"/>
      <c r="C48" s="69"/>
      <c r="D48" s="895"/>
      <c r="E48" s="895"/>
      <c r="F48" s="70"/>
      <c r="G48" s="545">
        <f t="shared" si="8"/>
        <v>0</v>
      </c>
      <c r="H48" s="1017"/>
      <c r="I48" s="506"/>
      <c r="J48" s="457">
        <f t="shared" si="9"/>
        <v>0</v>
      </c>
      <c r="K48" s="457">
        <f t="shared" si="10"/>
        <v>0</v>
      </c>
      <c r="L48" s="457">
        <f t="shared" si="11"/>
        <v>0</v>
      </c>
      <c r="M48" s="457">
        <f t="shared" si="12"/>
        <v>0</v>
      </c>
      <c r="N48" s="457">
        <f t="shared" si="13"/>
        <v>0</v>
      </c>
      <c r="O48" s="457">
        <f t="shared" si="14"/>
        <v>0</v>
      </c>
      <c r="P48" s="449">
        <f t="shared" si="15"/>
        <v>0</v>
      </c>
      <c r="Q48" s="1029"/>
      <c r="R48" s="534"/>
      <c r="S48" s="1315"/>
      <c r="T48" s="1028" t="b">
        <v>0</v>
      </c>
      <c r="U48" s="549"/>
      <c r="V48" s="69"/>
      <c r="W48" s="1315"/>
      <c r="X48" s="1316"/>
      <c r="Y48" s="1315"/>
      <c r="Z48" s="534"/>
      <c r="AA48" s="1316"/>
      <c r="AB48" s="1316"/>
      <c r="AC48" s="1315"/>
      <c r="AD48" s="534"/>
      <c r="AE48" s="569"/>
      <c r="AF48" s="569"/>
      <c r="AG48" s="569"/>
      <c r="AH48" s="569"/>
      <c r="AI48" s="569"/>
      <c r="AJ48" s="569"/>
      <c r="AK48" s="569"/>
      <c r="AL48" s="569"/>
      <c r="AM48" s="534"/>
      <c r="AN48" s="534"/>
      <c r="AO48" s="534"/>
      <c r="AP48" s="534"/>
      <c r="AQ48" s="534"/>
      <c r="AR48" s="534"/>
      <c r="AS48" s="534"/>
      <c r="AT48" s="534"/>
      <c r="AU48" s="534"/>
      <c r="AV48" s="534"/>
      <c r="AW48" s="534"/>
      <c r="AX48" s="534"/>
      <c r="AY48" s="534"/>
      <c r="AZ48" s="534"/>
      <c r="BA48" s="534"/>
      <c r="BB48" s="534"/>
      <c r="BC48" s="534"/>
      <c r="BD48" s="534"/>
      <c r="BE48" s="534"/>
      <c r="BF48" s="534"/>
      <c r="BG48" s="534"/>
      <c r="BH48" s="534"/>
    </row>
    <row r="49" spans="1:60" s="40" customFormat="1" x14ac:dyDescent="0.2">
      <c r="A49" s="544">
        <v>46</v>
      </c>
      <c r="B49" s="69"/>
      <c r="C49" s="69"/>
      <c r="D49" s="895"/>
      <c r="E49" s="895"/>
      <c r="F49" s="70"/>
      <c r="G49" s="545">
        <f t="shared" si="8"/>
        <v>0</v>
      </c>
      <c r="H49" s="1017"/>
      <c r="I49" s="506"/>
      <c r="J49" s="457">
        <f t="shared" si="9"/>
        <v>0</v>
      </c>
      <c r="K49" s="457">
        <f t="shared" si="10"/>
        <v>0</v>
      </c>
      <c r="L49" s="457">
        <f t="shared" si="11"/>
        <v>0</v>
      </c>
      <c r="M49" s="457">
        <f t="shared" si="12"/>
        <v>0</v>
      </c>
      <c r="N49" s="457">
        <f t="shared" si="13"/>
        <v>0</v>
      </c>
      <c r="O49" s="457">
        <f t="shared" si="14"/>
        <v>0</v>
      </c>
      <c r="P49" s="449">
        <f t="shared" si="15"/>
        <v>0</v>
      </c>
      <c r="Q49" s="1029"/>
      <c r="R49" s="534"/>
      <c r="S49" s="1315"/>
      <c r="T49" s="1028" t="b">
        <v>0</v>
      </c>
      <c r="U49" s="549"/>
      <c r="V49" s="69"/>
      <c r="W49" s="1315"/>
      <c r="X49" s="1316"/>
      <c r="Y49" s="1315"/>
      <c r="Z49" s="534"/>
      <c r="AA49" s="1316"/>
      <c r="AB49" s="1316"/>
      <c r="AC49" s="1315"/>
      <c r="AD49" s="534"/>
      <c r="AE49" s="569"/>
      <c r="AF49" s="569"/>
      <c r="AG49" s="569"/>
      <c r="AH49" s="569"/>
      <c r="AI49" s="569"/>
      <c r="AJ49" s="569"/>
      <c r="AK49" s="569"/>
      <c r="AL49" s="569"/>
      <c r="AM49" s="534"/>
      <c r="AN49" s="534"/>
      <c r="AO49" s="534"/>
      <c r="AP49" s="534"/>
      <c r="AQ49" s="534"/>
      <c r="AR49" s="534"/>
      <c r="AS49" s="534"/>
      <c r="AT49" s="534"/>
      <c r="AU49" s="534"/>
      <c r="AV49" s="534"/>
      <c r="AW49" s="534"/>
      <c r="AX49" s="534"/>
      <c r="AY49" s="534"/>
      <c r="AZ49" s="534"/>
      <c r="BA49" s="534"/>
      <c r="BB49" s="534"/>
      <c r="BC49" s="534"/>
      <c r="BD49" s="534"/>
      <c r="BE49" s="534"/>
      <c r="BF49" s="534"/>
      <c r="BG49" s="534"/>
      <c r="BH49" s="534"/>
    </row>
    <row r="50" spans="1:60" s="40" customFormat="1" x14ac:dyDescent="0.2">
      <c r="A50" s="544">
        <v>47</v>
      </c>
      <c r="B50" s="69"/>
      <c r="C50" s="69"/>
      <c r="D50" s="895"/>
      <c r="E50" s="895"/>
      <c r="F50" s="70"/>
      <c r="G50" s="545">
        <f t="shared" si="0"/>
        <v>0</v>
      </c>
      <c r="H50" s="1017"/>
      <c r="I50" s="506"/>
      <c r="J50" s="457">
        <f t="shared" si="1"/>
        <v>0</v>
      </c>
      <c r="K50" s="457">
        <f t="shared" si="2"/>
        <v>0</v>
      </c>
      <c r="L50" s="457">
        <f t="shared" si="3"/>
        <v>0</v>
      </c>
      <c r="M50" s="457">
        <f t="shared" si="4"/>
        <v>0</v>
      </c>
      <c r="N50" s="457">
        <f t="shared" si="5"/>
        <v>0</v>
      </c>
      <c r="O50" s="457">
        <f t="shared" si="6"/>
        <v>0</v>
      </c>
      <c r="P50" s="449">
        <f t="shared" si="7"/>
        <v>0</v>
      </c>
      <c r="Q50" s="1029"/>
      <c r="R50" s="534"/>
      <c r="S50" s="1315"/>
      <c r="T50" s="1028" t="b">
        <v>0</v>
      </c>
      <c r="U50" s="549"/>
      <c r="V50" s="69"/>
      <c r="W50" s="1315"/>
      <c r="X50" s="1316"/>
      <c r="Y50" s="1315"/>
      <c r="Z50" s="534"/>
      <c r="AA50" s="1316"/>
      <c r="AB50" s="1316"/>
      <c r="AC50" s="1315"/>
      <c r="AD50" s="534"/>
      <c r="AE50" s="569"/>
      <c r="AF50" s="569"/>
      <c r="AG50" s="569"/>
      <c r="AH50" s="569"/>
      <c r="AI50" s="569"/>
      <c r="AJ50" s="569"/>
      <c r="AK50" s="569"/>
      <c r="AL50" s="569"/>
      <c r="AM50" s="534"/>
      <c r="AN50" s="534"/>
      <c r="AO50" s="534"/>
      <c r="AP50" s="534"/>
      <c r="AQ50" s="534"/>
      <c r="AR50" s="534"/>
      <c r="AS50" s="534"/>
      <c r="AT50" s="534"/>
      <c r="AU50" s="534"/>
      <c r="AV50" s="534"/>
      <c r="AW50" s="534"/>
      <c r="AX50" s="534"/>
      <c r="AY50" s="534"/>
      <c r="AZ50" s="534"/>
      <c r="BA50" s="534"/>
      <c r="BB50" s="534"/>
      <c r="BC50" s="534"/>
      <c r="BD50" s="534"/>
      <c r="BE50" s="534"/>
      <c r="BF50" s="534"/>
      <c r="BG50" s="534"/>
      <c r="BH50" s="534"/>
    </row>
    <row r="51" spans="1:60" s="40" customFormat="1" x14ac:dyDescent="0.2">
      <c r="A51" s="544">
        <v>48</v>
      </c>
      <c r="B51" s="69"/>
      <c r="C51" s="69"/>
      <c r="D51" s="895"/>
      <c r="E51" s="895"/>
      <c r="F51" s="70"/>
      <c r="G51" s="545">
        <f t="shared" si="0"/>
        <v>0</v>
      </c>
      <c r="H51" s="1017"/>
      <c r="I51" s="506"/>
      <c r="J51" s="457">
        <f t="shared" si="1"/>
        <v>0</v>
      </c>
      <c r="K51" s="457">
        <f t="shared" si="2"/>
        <v>0</v>
      </c>
      <c r="L51" s="457">
        <f t="shared" si="3"/>
        <v>0</v>
      </c>
      <c r="M51" s="457">
        <f t="shared" si="4"/>
        <v>0</v>
      </c>
      <c r="N51" s="457">
        <f t="shared" si="5"/>
        <v>0</v>
      </c>
      <c r="O51" s="457">
        <f t="shared" si="6"/>
        <v>0</v>
      </c>
      <c r="P51" s="449">
        <f t="shared" si="7"/>
        <v>0</v>
      </c>
      <c r="Q51" s="1029"/>
      <c r="R51" s="534"/>
      <c r="S51" s="1315"/>
      <c r="T51" s="1028" t="b">
        <v>0</v>
      </c>
      <c r="U51" s="549"/>
      <c r="V51" s="69"/>
      <c r="W51" s="1315"/>
      <c r="X51" s="1316"/>
      <c r="Y51" s="1315"/>
      <c r="Z51" s="534"/>
      <c r="AA51" s="1316"/>
      <c r="AB51" s="1316"/>
      <c r="AC51" s="1315"/>
      <c r="AD51" s="534"/>
      <c r="AE51" s="569"/>
      <c r="AF51" s="569"/>
      <c r="AG51" s="569"/>
      <c r="AH51" s="569"/>
      <c r="AI51" s="569"/>
      <c r="AJ51" s="569"/>
      <c r="AK51" s="569"/>
      <c r="AL51" s="569"/>
      <c r="AM51" s="534"/>
      <c r="AN51" s="534"/>
      <c r="AO51" s="534"/>
      <c r="AP51" s="534"/>
      <c r="AQ51" s="534"/>
      <c r="AR51" s="534"/>
      <c r="AS51" s="534"/>
      <c r="AT51" s="534"/>
      <c r="AU51" s="534"/>
      <c r="AV51" s="534"/>
      <c r="AW51" s="534"/>
      <c r="AX51" s="534"/>
      <c r="AY51" s="534"/>
      <c r="AZ51" s="534"/>
      <c r="BA51" s="534"/>
      <c r="BB51" s="534"/>
      <c r="BC51" s="534"/>
      <c r="BD51" s="534"/>
      <c r="BE51" s="534"/>
      <c r="BF51" s="534"/>
      <c r="BG51" s="534"/>
      <c r="BH51" s="534"/>
    </row>
    <row r="52" spans="1:60" s="40" customFormat="1" x14ac:dyDescent="0.2">
      <c r="A52" s="544">
        <v>49</v>
      </c>
      <c r="B52" s="69"/>
      <c r="C52" s="69"/>
      <c r="D52" s="895"/>
      <c r="E52" s="895"/>
      <c r="F52" s="70"/>
      <c r="G52" s="545">
        <f t="shared" si="0"/>
        <v>0</v>
      </c>
      <c r="H52" s="1017"/>
      <c r="I52" s="506"/>
      <c r="J52" s="457">
        <f t="shared" si="1"/>
        <v>0</v>
      </c>
      <c r="K52" s="457">
        <f t="shared" si="2"/>
        <v>0</v>
      </c>
      <c r="L52" s="457">
        <f t="shared" si="3"/>
        <v>0</v>
      </c>
      <c r="M52" s="457">
        <f t="shared" si="4"/>
        <v>0</v>
      </c>
      <c r="N52" s="457">
        <f t="shared" si="5"/>
        <v>0</v>
      </c>
      <c r="O52" s="457">
        <f t="shared" si="6"/>
        <v>0</v>
      </c>
      <c r="P52" s="449">
        <f t="shared" si="7"/>
        <v>0</v>
      </c>
      <c r="Q52" s="1029"/>
      <c r="R52" s="534"/>
      <c r="S52" s="1315"/>
      <c r="T52" s="1028" t="b">
        <v>0</v>
      </c>
      <c r="U52" s="549"/>
      <c r="V52" s="69"/>
      <c r="W52" s="1315"/>
      <c r="X52" s="1316"/>
      <c r="Y52" s="1315"/>
      <c r="Z52" s="534"/>
      <c r="AA52" s="1316"/>
      <c r="AB52" s="1316"/>
      <c r="AC52" s="1315"/>
      <c r="AD52" s="534"/>
      <c r="AE52" s="569"/>
      <c r="AF52" s="569"/>
      <c r="AG52" s="569"/>
      <c r="AH52" s="569"/>
      <c r="AI52" s="569"/>
      <c r="AJ52" s="569"/>
      <c r="AK52" s="569"/>
      <c r="AL52" s="569"/>
      <c r="AM52" s="534"/>
      <c r="AN52" s="534"/>
      <c r="AO52" s="534"/>
      <c r="AP52" s="534"/>
      <c r="AQ52" s="534"/>
      <c r="AR52" s="534"/>
      <c r="AS52" s="534"/>
      <c r="AT52" s="534"/>
      <c r="AU52" s="534"/>
      <c r="AV52" s="534"/>
      <c r="AW52" s="534"/>
      <c r="AX52" s="534"/>
      <c r="AY52" s="534"/>
      <c r="AZ52" s="534"/>
      <c r="BA52" s="534"/>
      <c r="BB52" s="534"/>
      <c r="BC52" s="534"/>
      <c r="BD52" s="534"/>
      <c r="BE52" s="534"/>
      <c r="BF52" s="534"/>
      <c r="BG52" s="534"/>
      <c r="BH52" s="534"/>
    </row>
    <row r="53" spans="1:60" s="40" customFormat="1" x14ac:dyDescent="0.2">
      <c r="A53" s="544">
        <v>50</v>
      </c>
      <c r="B53" s="69"/>
      <c r="C53" s="69"/>
      <c r="D53" s="895"/>
      <c r="E53" s="895"/>
      <c r="F53" s="70"/>
      <c r="G53" s="545">
        <f t="shared" si="0"/>
        <v>0</v>
      </c>
      <c r="H53" s="1017"/>
      <c r="I53" s="506"/>
      <c r="J53" s="457">
        <f t="shared" si="1"/>
        <v>0</v>
      </c>
      <c r="K53" s="457">
        <f t="shared" si="2"/>
        <v>0</v>
      </c>
      <c r="L53" s="457">
        <f t="shared" si="3"/>
        <v>0</v>
      </c>
      <c r="M53" s="457">
        <f t="shared" si="4"/>
        <v>0</v>
      </c>
      <c r="N53" s="457">
        <f t="shared" si="5"/>
        <v>0</v>
      </c>
      <c r="O53" s="457">
        <f t="shared" si="6"/>
        <v>0</v>
      </c>
      <c r="P53" s="449">
        <f t="shared" si="7"/>
        <v>0</v>
      </c>
      <c r="Q53" s="1029"/>
      <c r="R53" s="534"/>
      <c r="S53" s="1315"/>
      <c r="T53" s="1028" t="b">
        <v>0</v>
      </c>
      <c r="U53" s="549"/>
      <c r="V53" s="69"/>
      <c r="W53" s="1315"/>
      <c r="X53" s="1316"/>
      <c r="Y53" s="1315"/>
      <c r="Z53" s="534"/>
      <c r="AA53" s="1316"/>
      <c r="AB53" s="1316"/>
      <c r="AC53" s="1315"/>
      <c r="AD53" s="534"/>
      <c r="AE53" s="569"/>
      <c r="AF53" s="569"/>
      <c r="AG53" s="569"/>
      <c r="AH53" s="569"/>
      <c r="AI53" s="569"/>
      <c r="AJ53" s="569"/>
      <c r="AK53" s="569"/>
      <c r="AL53" s="569"/>
      <c r="AM53" s="534"/>
      <c r="AN53" s="534"/>
      <c r="AO53" s="534"/>
      <c r="AP53" s="534"/>
      <c r="AQ53" s="534"/>
      <c r="AR53" s="534"/>
      <c r="AS53" s="534"/>
      <c r="AT53" s="534"/>
      <c r="AU53" s="534"/>
      <c r="AV53" s="534"/>
      <c r="AW53" s="534"/>
      <c r="AX53" s="534"/>
      <c r="AY53" s="534"/>
      <c r="AZ53" s="534"/>
      <c r="BA53" s="534"/>
      <c r="BB53" s="534"/>
      <c r="BC53" s="534"/>
      <c r="BD53" s="534"/>
      <c r="BE53" s="534"/>
      <c r="BF53" s="534"/>
      <c r="BG53" s="534"/>
      <c r="BH53" s="534"/>
    </row>
    <row r="54" spans="1:60" s="40" customFormat="1" x14ac:dyDescent="0.2">
      <c r="A54" s="547"/>
      <c r="B54" s="547"/>
      <c r="C54" s="547"/>
      <c r="D54" s="548"/>
      <c r="E54" s="548"/>
      <c r="F54" s="549"/>
      <c r="G54" s="550"/>
      <c r="H54" s="718"/>
      <c r="I54" s="718"/>
      <c r="J54" s="534"/>
      <c r="K54" s="534"/>
      <c r="L54" s="534"/>
      <c r="M54" s="534"/>
      <c r="N54" s="534"/>
      <c r="O54" s="534"/>
      <c r="P54" s="534"/>
      <c r="Q54" s="534"/>
      <c r="R54" s="534"/>
      <c r="S54" s="534"/>
      <c r="T54" s="534"/>
      <c r="U54" s="534"/>
      <c r="V54" s="534"/>
      <c r="W54" s="534"/>
      <c r="X54" s="534"/>
      <c r="Y54" s="534"/>
      <c r="Z54" s="534"/>
      <c r="AA54" s="534"/>
      <c r="AB54" s="534"/>
      <c r="AC54" s="534"/>
      <c r="AD54" s="534"/>
      <c r="AE54" s="569"/>
      <c r="AF54" s="569"/>
      <c r="AG54" s="569"/>
      <c r="AH54" s="569"/>
      <c r="AI54" s="569"/>
      <c r="AJ54" s="569"/>
      <c r="AK54" s="569"/>
      <c r="AL54" s="569"/>
      <c r="AM54" s="534"/>
      <c r="AN54" s="534"/>
      <c r="AO54" s="534"/>
      <c r="AP54" s="534"/>
      <c r="AQ54" s="534"/>
      <c r="AR54" s="534"/>
      <c r="AS54" s="534"/>
      <c r="AT54" s="534"/>
      <c r="AU54" s="534"/>
      <c r="AV54" s="534"/>
      <c r="AW54" s="534"/>
      <c r="AX54" s="534"/>
      <c r="AY54" s="534"/>
      <c r="AZ54" s="534"/>
      <c r="BA54" s="534"/>
      <c r="BB54" s="534"/>
      <c r="BC54" s="534"/>
      <c r="BD54" s="534"/>
      <c r="BE54" s="534"/>
      <c r="BF54" s="534"/>
      <c r="BG54" s="534"/>
      <c r="BH54" s="534"/>
    </row>
    <row r="55" spans="1:60" s="40" customFormat="1" x14ac:dyDescent="0.2">
      <c r="A55" s="586"/>
      <c r="B55" s="586" t="str">
        <f>IF(Stammblatt!L4=1,"Σ Darsteller","TOTAL Cast")</f>
        <v>Σ Darsteller</v>
      </c>
      <c r="C55" s="586"/>
      <c r="D55" s="1181">
        <f>SUM(D4:D54)</f>
        <v>0</v>
      </c>
      <c r="E55" s="1181">
        <f>SUM(E4:E54)</f>
        <v>0</v>
      </c>
      <c r="F55" s="586"/>
      <c r="G55" s="586">
        <f>SUM(G4:G54)</f>
        <v>0</v>
      </c>
      <c r="H55" s="586"/>
      <c r="I55" s="692">
        <f t="shared" ref="I55:P55" si="16">SUM(I4:I54)</f>
        <v>0</v>
      </c>
      <c r="J55" s="586">
        <f t="shared" si="16"/>
        <v>0</v>
      </c>
      <c r="K55" s="586">
        <f t="shared" si="16"/>
        <v>0</v>
      </c>
      <c r="L55" s="586">
        <f t="shared" si="16"/>
        <v>0</v>
      </c>
      <c r="M55" s="586">
        <f t="shared" si="16"/>
        <v>0</v>
      </c>
      <c r="N55" s="586">
        <f t="shared" si="16"/>
        <v>0</v>
      </c>
      <c r="O55" s="586">
        <f t="shared" si="16"/>
        <v>0</v>
      </c>
      <c r="P55" s="586">
        <f t="shared" si="16"/>
        <v>0</v>
      </c>
      <c r="Q55" s="534"/>
      <c r="R55" s="534"/>
      <c r="S55" s="586">
        <f>SUM(S4:S54)</f>
        <v>0</v>
      </c>
      <c r="T55" s="534"/>
      <c r="U55" s="534"/>
      <c r="V55" s="534"/>
      <c r="W55" s="586">
        <f>SUM(W4:W54)</f>
        <v>0</v>
      </c>
      <c r="X55" s="586">
        <f>SUM(X4:X54)</f>
        <v>0</v>
      </c>
      <c r="Y55" s="586">
        <f>SUM(Y4:Y54)</f>
        <v>0</v>
      </c>
      <c r="Z55" s="534"/>
      <c r="AA55" s="586">
        <f>SUM(AA4:AA54)</f>
        <v>0</v>
      </c>
      <c r="AB55" s="586">
        <f>SUM(AB4:AB54)</f>
        <v>0</v>
      </c>
      <c r="AC55" s="586">
        <f>SUM(AC4:AC54)</f>
        <v>0</v>
      </c>
      <c r="AD55" s="534"/>
      <c r="AE55" s="569"/>
      <c r="AF55" s="569"/>
      <c r="AG55" s="569"/>
      <c r="AH55" s="569"/>
      <c r="AI55" s="569"/>
      <c r="AJ55" s="569"/>
      <c r="AK55" s="569"/>
      <c r="AL55" s="569"/>
      <c r="AM55" s="534"/>
      <c r="AN55" s="534"/>
      <c r="AO55" s="534"/>
      <c r="AP55" s="534"/>
      <c r="AQ55" s="534"/>
      <c r="AR55" s="534"/>
      <c r="AS55" s="534"/>
      <c r="AT55" s="534"/>
      <c r="AU55" s="534"/>
      <c r="AV55" s="534"/>
      <c r="AW55" s="534"/>
      <c r="AX55" s="534"/>
      <c r="AY55" s="534"/>
      <c r="AZ55" s="534"/>
      <c r="BA55" s="534"/>
      <c r="BB55" s="534"/>
      <c r="BC55" s="534"/>
      <c r="BD55" s="534"/>
      <c r="BE55" s="534"/>
      <c r="BF55" s="534"/>
      <c r="BG55" s="534"/>
      <c r="BH55" s="534"/>
    </row>
    <row r="56" spans="1:60" s="40" customFormat="1" x14ac:dyDescent="0.2">
      <c r="A56" s="534"/>
      <c r="B56" s="534"/>
      <c r="C56" s="534"/>
      <c r="D56" s="548"/>
      <c r="E56" s="548"/>
      <c r="F56" s="534"/>
      <c r="G56" s="534"/>
      <c r="H56" s="534"/>
      <c r="I56" s="534"/>
      <c r="J56" s="534"/>
      <c r="K56" s="534"/>
      <c r="L56" s="534"/>
      <c r="M56" s="534"/>
      <c r="N56" s="534"/>
      <c r="O56" s="534"/>
      <c r="P56" s="534"/>
      <c r="Q56" s="534"/>
      <c r="R56" s="534"/>
      <c r="S56" s="534"/>
      <c r="T56" s="534"/>
      <c r="U56" s="534"/>
      <c r="V56" s="534"/>
      <c r="W56" s="534"/>
      <c r="X56" s="534"/>
      <c r="Y56" s="534"/>
      <c r="Z56" s="534"/>
      <c r="AA56" s="534"/>
      <c r="AB56" s="534"/>
      <c r="AC56" s="534"/>
      <c r="AD56" s="534"/>
      <c r="AE56" s="569"/>
      <c r="AF56" s="569"/>
      <c r="AG56" s="569"/>
      <c r="AH56" s="569"/>
      <c r="AI56" s="569"/>
      <c r="AJ56" s="569"/>
      <c r="AK56" s="569"/>
      <c r="AL56" s="569"/>
      <c r="AM56" s="534"/>
      <c r="AN56" s="534"/>
      <c r="AO56" s="534"/>
      <c r="AP56" s="534"/>
      <c r="AQ56" s="534"/>
      <c r="AR56" s="534"/>
      <c r="AS56" s="534"/>
      <c r="AT56" s="534"/>
      <c r="AU56" s="534"/>
      <c r="AV56" s="534"/>
      <c r="AW56" s="534"/>
      <c r="AX56" s="534"/>
      <c r="AY56" s="534"/>
      <c r="AZ56" s="534"/>
      <c r="BA56" s="534"/>
      <c r="BB56" s="534"/>
      <c r="BC56" s="534"/>
      <c r="BD56" s="534"/>
      <c r="BE56" s="534"/>
      <c r="BF56" s="534"/>
      <c r="BG56" s="534"/>
      <c r="BH56" s="534"/>
    </row>
    <row r="57" spans="1:60" s="40" customFormat="1" x14ac:dyDescent="0.2">
      <c r="A57" s="534"/>
      <c r="B57" s="534"/>
      <c r="C57" s="534"/>
      <c r="D57" s="548"/>
      <c r="E57" s="548"/>
      <c r="F57" s="534"/>
      <c r="G57" s="534"/>
      <c r="H57" s="534"/>
      <c r="I57" s="534"/>
      <c r="J57" s="534"/>
      <c r="K57" s="534"/>
      <c r="L57" s="534"/>
      <c r="M57" s="534"/>
      <c r="N57" s="534"/>
      <c r="O57" s="534"/>
      <c r="P57" s="534"/>
      <c r="Q57" s="534"/>
      <c r="R57" s="534"/>
      <c r="S57" s="534"/>
      <c r="T57" s="534"/>
      <c r="U57" s="534"/>
      <c r="V57" s="534"/>
      <c r="W57" s="534"/>
      <c r="X57" s="534"/>
      <c r="Y57" s="534"/>
      <c r="Z57" s="534"/>
      <c r="AA57" s="534"/>
      <c r="AB57" s="534"/>
      <c r="AC57" s="534"/>
      <c r="AD57" s="534"/>
      <c r="AE57" s="569"/>
      <c r="AF57" s="569"/>
      <c r="AG57" s="569"/>
      <c r="AH57" s="569"/>
      <c r="AI57" s="569"/>
      <c r="AJ57" s="569"/>
      <c r="AK57" s="569"/>
      <c r="AL57" s="569"/>
      <c r="AM57" s="534"/>
      <c r="AN57" s="534"/>
      <c r="AO57" s="534"/>
      <c r="AP57" s="534"/>
      <c r="AQ57" s="534"/>
      <c r="AR57" s="534"/>
      <c r="AS57" s="534"/>
      <c r="AT57" s="534"/>
      <c r="AU57" s="534"/>
      <c r="AV57" s="534"/>
      <c r="AW57" s="534"/>
      <c r="AX57" s="534"/>
      <c r="AY57" s="534"/>
      <c r="AZ57" s="534"/>
      <c r="BA57" s="534"/>
      <c r="BB57" s="534"/>
      <c r="BC57" s="534"/>
      <c r="BD57" s="534"/>
      <c r="BE57" s="534"/>
      <c r="BF57" s="534"/>
      <c r="BG57" s="534"/>
      <c r="BH57" s="534"/>
    </row>
    <row r="58" spans="1:60" s="40" customFormat="1" x14ac:dyDescent="0.2">
      <c r="A58" s="534"/>
      <c r="B58" s="534"/>
      <c r="C58" s="534"/>
      <c r="D58" s="554" t="s">
        <v>44</v>
      </c>
      <c r="E58" s="554"/>
      <c r="F58" s="539" t="s">
        <v>206</v>
      </c>
      <c r="G58" s="539" t="s">
        <v>196</v>
      </c>
      <c r="H58" s="539"/>
      <c r="I58" s="539"/>
      <c r="J58" s="534"/>
      <c r="K58" s="534"/>
      <c r="L58" s="534"/>
      <c r="M58" s="534"/>
      <c r="N58" s="534"/>
      <c r="O58" s="534"/>
      <c r="P58" s="534"/>
      <c r="Q58" s="534"/>
      <c r="R58" s="534"/>
      <c r="S58" s="534"/>
      <c r="T58" s="534"/>
      <c r="U58" s="534"/>
      <c r="V58" s="534"/>
      <c r="W58" s="534"/>
      <c r="X58" s="534"/>
      <c r="Y58" s="534"/>
      <c r="Z58" s="534"/>
      <c r="AA58" s="534"/>
      <c r="AB58" s="534"/>
      <c r="AC58" s="534"/>
      <c r="AD58" s="534"/>
      <c r="AE58" s="569"/>
      <c r="AF58" s="569"/>
      <c r="AG58" s="569"/>
      <c r="AH58" s="569"/>
      <c r="AI58" s="569"/>
      <c r="AJ58" s="569"/>
      <c r="AK58" s="569"/>
      <c r="AL58" s="569"/>
      <c r="AM58" s="534"/>
      <c r="AN58" s="534"/>
      <c r="AO58" s="534"/>
      <c r="AP58" s="534"/>
      <c r="AQ58" s="534"/>
      <c r="AR58" s="534"/>
      <c r="AS58" s="534"/>
      <c r="AT58" s="534"/>
      <c r="AU58" s="534"/>
      <c r="AV58" s="534"/>
      <c r="AW58" s="534"/>
      <c r="AX58" s="534"/>
      <c r="AY58" s="534"/>
      <c r="AZ58" s="534"/>
      <c r="BA58" s="534"/>
      <c r="BB58" s="534"/>
      <c r="BC58" s="534"/>
      <c r="BD58" s="534"/>
      <c r="BE58" s="534"/>
      <c r="BF58" s="534"/>
      <c r="BG58" s="534"/>
      <c r="BH58" s="534"/>
    </row>
    <row r="59" spans="1:60" s="40" customFormat="1" x14ac:dyDescent="0.2">
      <c r="A59" s="551"/>
      <c r="B59" s="552" t="str">
        <f>IF(Stammblatt!$L$4=1,"Kleindarsteller","Bit players")</f>
        <v>Kleindarsteller</v>
      </c>
      <c r="C59" s="553"/>
      <c r="D59" s="896"/>
      <c r="E59" s="896"/>
      <c r="F59" s="69"/>
      <c r="G59" s="555">
        <f>D59*F59</f>
        <v>0</v>
      </c>
      <c r="H59" s="549"/>
      <c r="I59" s="506"/>
      <c r="J59" s="534"/>
      <c r="K59" s="534"/>
      <c r="L59" s="534"/>
      <c r="M59" s="534"/>
      <c r="N59" s="534"/>
      <c r="O59" s="534"/>
      <c r="P59" s="534"/>
      <c r="Q59" s="534"/>
      <c r="R59" s="534"/>
      <c r="S59" s="1315"/>
      <c r="T59" s="549"/>
      <c r="U59" s="549"/>
      <c r="V59" s="70"/>
      <c r="W59" s="1315"/>
      <c r="X59" s="1315"/>
      <c r="Y59" s="1315"/>
      <c r="Z59" s="534"/>
      <c r="AA59" s="1315"/>
      <c r="AB59" s="1315"/>
      <c r="AC59" s="1315"/>
      <c r="AD59" s="534"/>
      <c r="AE59" s="569"/>
      <c r="AF59" s="569"/>
      <c r="AG59" s="569"/>
      <c r="AH59" s="569"/>
      <c r="AI59" s="569"/>
      <c r="AJ59" s="569"/>
      <c r="AK59" s="569"/>
      <c r="AL59" s="569"/>
      <c r="AM59" s="534"/>
      <c r="AN59" s="534"/>
      <c r="AO59" s="534"/>
      <c r="AP59" s="534"/>
      <c r="AQ59" s="534"/>
      <c r="AR59" s="534"/>
      <c r="AS59" s="534"/>
      <c r="AT59" s="534"/>
      <c r="AU59" s="534"/>
      <c r="AV59" s="534"/>
      <c r="AW59" s="534"/>
      <c r="AX59" s="534"/>
      <c r="AY59" s="534"/>
      <c r="AZ59" s="534"/>
      <c r="BA59" s="534"/>
      <c r="BB59" s="534"/>
      <c r="BC59" s="534"/>
      <c r="BD59" s="534"/>
      <c r="BE59" s="534"/>
      <c r="BF59" s="534"/>
      <c r="BG59" s="534"/>
      <c r="BH59" s="534"/>
    </row>
    <row r="60" spans="1:60" s="40" customFormat="1" x14ac:dyDescent="0.2">
      <c r="A60" s="551"/>
      <c r="B60" s="552" t="str">
        <f>IF(Stammblatt!$L$4=1,"Komparsen","Extras")</f>
        <v>Komparsen</v>
      </c>
      <c r="C60" s="553"/>
      <c r="D60" s="896"/>
      <c r="E60" s="896"/>
      <c r="F60" s="32"/>
      <c r="G60" s="555">
        <f>D60*F60</f>
        <v>0</v>
      </c>
      <c r="H60" s="549"/>
      <c r="I60" s="506"/>
      <c r="J60" s="534"/>
      <c r="K60" s="534"/>
      <c r="L60" s="534"/>
      <c r="M60" s="534"/>
      <c r="N60" s="534"/>
      <c r="O60" s="534"/>
      <c r="P60" s="534"/>
      <c r="Q60" s="534"/>
      <c r="R60" s="534"/>
      <c r="S60" s="1315"/>
      <c r="T60" s="549"/>
      <c r="U60" s="549"/>
      <c r="V60" s="70"/>
      <c r="W60" s="1315"/>
      <c r="X60" s="1315"/>
      <c r="Y60" s="1315"/>
      <c r="Z60" s="534"/>
      <c r="AA60" s="1315"/>
      <c r="AB60" s="1315"/>
      <c r="AC60" s="1315"/>
      <c r="AD60" s="534"/>
      <c r="AE60" s="569"/>
      <c r="AF60" s="569"/>
      <c r="AG60" s="569"/>
      <c r="AH60" s="569"/>
      <c r="AI60" s="569"/>
      <c r="AJ60" s="569"/>
      <c r="AK60" s="569"/>
      <c r="AL60" s="569"/>
      <c r="AM60" s="534"/>
      <c r="AN60" s="534"/>
      <c r="AO60" s="534"/>
      <c r="AP60" s="534"/>
      <c r="AQ60" s="534"/>
      <c r="AR60" s="534"/>
      <c r="AS60" s="534"/>
      <c r="AT60" s="534"/>
      <c r="AU60" s="534"/>
      <c r="AV60" s="534"/>
      <c r="AW60" s="534"/>
      <c r="AX60" s="534"/>
      <c r="AY60" s="534"/>
      <c r="AZ60" s="534"/>
      <c r="BA60" s="534"/>
      <c r="BB60" s="534"/>
      <c r="BC60" s="534"/>
      <c r="BD60" s="534"/>
      <c r="BE60" s="534"/>
      <c r="BF60" s="534"/>
      <c r="BG60" s="534"/>
      <c r="BH60" s="534"/>
    </row>
    <row r="61" spans="1:60" s="40" customFormat="1" x14ac:dyDescent="0.2">
      <c r="A61" s="534"/>
      <c r="B61" s="534"/>
      <c r="C61" s="534"/>
      <c r="D61" s="548"/>
      <c r="E61" s="548"/>
      <c r="F61" s="534"/>
      <c r="G61" s="534"/>
      <c r="H61" s="534"/>
      <c r="I61" s="534"/>
      <c r="J61" s="534"/>
      <c r="K61" s="534"/>
      <c r="L61" s="534"/>
      <c r="M61" s="534"/>
      <c r="N61" s="534"/>
      <c r="O61" s="534"/>
      <c r="P61" s="534"/>
      <c r="Q61" s="534"/>
      <c r="R61" s="534"/>
      <c r="S61" s="534"/>
      <c r="T61" s="534"/>
      <c r="U61" s="534"/>
      <c r="V61" s="534"/>
      <c r="W61" s="534"/>
      <c r="X61" s="534"/>
      <c r="Y61" s="534"/>
      <c r="Z61" s="534"/>
      <c r="AA61" s="534"/>
      <c r="AB61" s="534"/>
      <c r="AC61" s="534"/>
      <c r="AD61" s="534"/>
      <c r="AE61" s="569"/>
      <c r="AF61" s="569"/>
      <c r="AG61" s="569"/>
      <c r="AH61" s="569"/>
      <c r="AI61" s="569"/>
      <c r="AJ61" s="569"/>
      <c r="AK61" s="569"/>
      <c r="AL61" s="569"/>
      <c r="AM61" s="534"/>
      <c r="AN61" s="534"/>
      <c r="AO61" s="534"/>
      <c r="AP61" s="534"/>
      <c r="AQ61" s="534"/>
      <c r="AR61" s="534"/>
      <c r="AS61" s="534"/>
      <c r="AT61" s="534"/>
      <c r="AU61" s="534"/>
      <c r="AV61" s="534"/>
      <c r="AW61" s="534"/>
      <c r="AX61" s="534"/>
      <c r="AY61" s="534"/>
      <c r="AZ61" s="534"/>
      <c r="BA61" s="534"/>
      <c r="BB61" s="534"/>
      <c r="BC61" s="534"/>
      <c r="BD61" s="534"/>
      <c r="BE61" s="534"/>
      <c r="BF61" s="534"/>
      <c r="BG61" s="534"/>
      <c r="BH61" s="534"/>
    </row>
    <row r="62" spans="1:60" s="40" customFormat="1" x14ac:dyDescent="0.2">
      <c r="A62" s="73"/>
      <c r="B62" s="586" t="str">
        <f>IF(Stammblatt!L4=1,"Σ-Statisten","TOTAL Extras")</f>
        <v>Σ-Statisten</v>
      </c>
      <c r="C62" s="73"/>
      <c r="D62" s="64">
        <f>SUM(D59:D61)</f>
        <v>0</v>
      </c>
      <c r="E62" s="64"/>
      <c r="F62" s="73"/>
      <c r="G62" s="586">
        <f>SUM(G59:G61)</f>
        <v>0</v>
      </c>
      <c r="H62" s="719"/>
      <c r="I62" s="692">
        <f>SUM(I59:I61)</f>
        <v>0</v>
      </c>
      <c r="J62" s="534"/>
      <c r="K62" s="534"/>
      <c r="L62" s="534"/>
      <c r="M62" s="534"/>
      <c r="N62" s="534"/>
      <c r="O62" s="534"/>
      <c r="P62" s="534"/>
      <c r="Q62" s="60" t="s">
        <v>222</v>
      </c>
      <c r="R62" s="60"/>
      <c r="S62" s="586">
        <f>SUM(S59:S61)</f>
        <v>0</v>
      </c>
      <c r="T62" s="534"/>
      <c r="U62" s="534"/>
      <c r="V62" s="586">
        <f>SUM(V4:V61)</f>
        <v>0</v>
      </c>
      <c r="W62" s="586">
        <f>SUM(W59:W61)</f>
        <v>0</v>
      </c>
      <c r="X62" s="586">
        <f>SUM(X59:X61)</f>
        <v>0</v>
      </c>
      <c r="Y62" s="586">
        <f>SUM(Y59:Y61)</f>
        <v>0</v>
      </c>
      <c r="Z62" s="534"/>
      <c r="AA62" s="586">
        <f>SUM(AA59:AA61)</f>
        <v>0</v>
      </c>
      <c r="AB62" s="586">
        <f t="shared" ref="AB62:AC62" si="17">SUM(AB59:AB61)</f>
        <v>0</v>
      </c>
      <c r="AC62" s="586">
        <f t="shared" si="17"/>
        <v>0</v>
      </c>
      <c r="AD62" s="534"/>
      <c r="AE62" s="569"/>
      <c r="AF62" s="569"/>
      <c r="AG62" s="569"/>
      <c r="AH62" s="569"/>
      <c r="AI62" s="569"/>
      <c r="AJ62" s="569"/>
      <c r="AK62" s="569"/>
      <c r="AL62" s="569"/>
      <c r="AM62" s="534"/>
      <c r="AN62" s="534"/>
      <c r="AO62" s="534"/>
      <c r="AP62" s="534"/>
      <c r="AQ62" s="534"/>
      <c r="AR62" s="534"/>
      <c r="AS62" s="534"/>
      <c r="AT62" s="534"/>
      <c r="AU62" s="534"/>
      <c r="AV62" s="534"/>
      <c r="AW62" s="534"/>
      <c r="AX62" s="534"/>
      <c r="AY62" s="534"/>
      <c r="AZ62" s="534"/>
      <c r="BA62" s="534"/>
      <c r="BB62" s="534"/>
      <c r="BC62" s="534"/>
      <c r="BD62" s="534"/>
      <c r="BE62" s="534"/>
      <c r="BF62" s="534"/>
      <c r="BG62" s="534"/>
      <c r="BH62" s="534"/>
    </row>
    <row r="63" spans="1:60" s="40" customFormat="1" x14ac:dyDescent="0.2">
      <c r="A63" s="534"/>
      <c r="B63" s="534"/>
      <c r="C63" s="534"/>
      <c r="D63" s="534"/>
      <c r="E63" s="534"/>
      <c r="F63" s="534"/>
      <c r="G63" s="534"/>
      <c r="H63" s="534"/>
      <c r="I63" s="534"/>
      <c r="J63" s="534"/>
      <c r="K63" s="534"/>
      <c r="L63" s="534"/>
      <c r="M63" s="534"/>
      <c r="N63" s="534"/>
      <c r="O63" s="534"/>
      <c r="P63" s="534"/>
      <c r="Q63" s="534"/>
      <c r="R63" s="534"/>
      <c r="S63" s="534"/>
      <c r="T63" s="534"/>
      <c r="U63" s="534"/>
      <c r="V63" s="534"/>
      <c r="W63" s="534"/>
      <c r="X63" s="534"/>
      <c r="Y63" s="534"/>
      <c r="Z63" s="534"/>
      <c r="AA63" s="534"/>
      <c r="AB63" s="534"/>
      <c r="AC63" s="534"/>
      <c r="AD63" s="534"/>
      <c r="AE63" s="569"/>
      <c r="AF63" s="569"/>
      <c r="AG63" s="569"/>
      <c r="AH63" s="569"/>
      <c r="AI63" s="569"/>
      <c r="AJ63" s="569"/>
      <c r="AK63" s="569"/>
      <c r="AL63" s="569"/>
      <c r="AM63" s="534"/>
      <c r="AN63" s="534"/>
      <c r="AO63" s="534"/>
      <c r="AP63" s="534"/>
      <c r="AQ63" s="534"/>
      <c r="AR63" s="534"/>
      <c r="AS63" s="534"/>
      <c r="AT63" s="534"/>
      <c r="AU63" s="534"/>
      <c r="AV63" s="534"/>
      <c r="AW63" s="534"/>
      <c r="AX63" s="534"/>
      <c r="AY63" s="534"/>
      <c r="AZ63" s="534"/>
      <c r="BA63" s="534"/>
      <c r="BB63" s="534"/>
      <c r="BC63" s="534"/>
      <c r="BD63" s="534"/>
      <c r="BE63" s="534"/>
      <c r="BF63" s="534"/>
      <c r="BG63" s="534"/>
      <c r="BH63" s="534"/>
    </row>
    <row r="64" spans="1:60" s="40" customFormat="1" x14ac:dyDescent="0.2">
      <c r="A64" s="534"/>
      <c r="B64" s="534"/>
      <c r="C64" s="534"/>
      <c r="D64" s="534"/>
      <c r="E64" s="534"/>
      <c r="F64" s="534"/>
      <c r="G64" s="534"/>
      <c r="H64" s="534"/>
      <c r="I64" s="534"/>
      <c r="J64" s="534"/>
      <c r="K64" s="534"/>
      <c r="L64" s="534"/>
      <c r="M64" s="534"/>
      <c r="N64" s="534"/>
      <c r="O64" s="534"/>
      <c r="P64" s="534"/>
      <c r="Q64" s="534"/>
      <c r="R64" s="534"/>
      <c r="S64" s="534"/>
      <c r="T64" s="534"/>
      <c r="U64" s="534"/>
      <c r="V64" s="534"/>
      <c r="W64" s="534"/>
      <c r="X64" s="534"/>
      <c r="Y64" s="534"/>
      <c r="Z64" s="534"/>
      <c r="AA64" s="534"/>
      <c r="AB64" s="534"/>
      <c r="AC64" s="534"/>
      <c r="AD64" s="534"/>
      <c r="AE64" s="569"/>
      <c r="AF64" s="569"/>
      <c r="AG64" s="569"/>
      <c r="AH64" s="569"/>
      <c r="AI64" s="569"/>
      <c r="AJ64" s="569"/>
      <c r="AK64" s="569"/>
      <c r="AL64" s="569"/>
      <c r="AM64" s="534"/>
      <c r="AN64" s="534"/>
      <c r="AO64" s="534"/>
      <c r="AP64" s="534"/>
      <c r="AQ64" s="534"/>
      <c r="AR64" s="534"/>
      <c r="AS64" s="534"/>
      <c r="AT64" s="534"/>
      <c r="AU64" s="534"/>
      <c r="AV64" s="534"/>
      <c r="AW64" s="534"/>
      <c r="AX64" s="534"/>
      <c r="AY64" s="534"/>
      <c r="AZ64" s="534"/>
      <c r="BA64" s="534"/>
      <c r="BB64" s="534"/>
      <c r="BC64" s="534"/>
      <c r="BD64" s="534"/>
      <c r="BE64" s="534"/>
      <c r="BF64" s="534"/>
      <c r="BG64" s="534"/>
      <c r="BH64" s="534"/>
    </row>
    <row r="65" spans="1:60" s="40" customFormat="1" x14ac:dyDescent="0.2">
      <c r="A65" s="534"/>
      <c r="B65" s="534"/>
      <c r="C65" s="534"/>
      <c r="D65" s="534"/>
      <c r="E65" s="534"/>
      <c r="F65" s="534"/>
      <c r="G65" s="534"/>
      <c r="H65" s="534"/>
      <c r="I65" s="534"/>
      <c r="J65" s="534"/>
      <c r="K65" s="534"/>
      <c r="L65" s="534"/>
      <c r="M65" s="534"/>
      <c r="N65" s="534"/>
      <c r="O65" s="534"/>
      <c r="P65" s="534"/>
      <c r="Q65" s="534"/>
      <c r="R65" s="534"/>
      <c r="S65" s="534"/>
      <c r="T65" s="534"/>
      <c r="U65" s="534"/>
      <c r="V65" s="534"/>
      <c r="W65" s="534"/>
      <c r="X65" s="534"/>
      <c r="Y65" s="534"/>
      <c r="Z65" s="534"/>
      <c r="AA65" s="534"/>
      <c r="AB65" s="534"/>
      <c r="AC65" s="534"/>
      <c r="AD65" s="534"/>
      <c r="AE65" s="569"/>
      <c r="AF65" s="569"/>
      <c r="AG65" s="569"/>
      <c r="AH65" s="569"/>
      <c r="AI65" s="569"/>
      <c r="AJ65" s="569"/>
      <c r="AK65" s="569"/>
      <c r="AL65" s="569"/>
      <c r="AM65" s="534"/>
      <c r="AN65" s="534"/>
      <c r="AO65" s="534"/>
      <c r="AP65" s="534"/>
      <c r="AQ65" s="534"/>
      <c r="AR65" s="534"/>
      <c r="AS65" s="534"/>
      <c r="AT65" s="534"/>
      <c r="AU65" s="534"/>
      <c r="AV65" s="534"/>
      <c r="AW65" s="534"/>
      <c r="AX65" s="534"/>
      <c r="AY65" s="534"/>
      <c r="AZ65" s="534"/>
      <c r="BA65" s="534"/>
      <c r="BB65" s="534"/>
      <c r="BC65" s="534"/>
      <c r="BD65" s="534"/>
      <c r="BE65" s="534"/>
      <c r="BF65" s="534"/>
      <c r="BG65" s="534"/>
      <c r="BH65" s="534"/>
    </row>
    <row r="66" spans="1:60" s="40" customFormat="1" x14ac:dyDescent="0.2">
      <c r="A66" s="534"/>
      <c r="B66" s="534"/>
      <c r="C66" s="534"/>
      <c r="D66" s="534"/>
      <c r="E66" s="534"/>
      <c r="F66" s="534"/>
      <c r="G66" s="534"/>
      <c r="H66" s="534"/>
      <c r="I66" s="534"/>
      <c r="J66" s="534"/>
      <c r="K66" s="534"/>
      <c r="L66" s="534"/>
      <c r="M66" s="534"/>
      <c r="N66" s="534"/>
      <c r="O66" s="534"/>
      <c r="P66" s="534"/>
      <c r="Q66" s="534"/>
      <c r="R66" s="534"/>
      <c r="S66" s="534"/>
      <c r="T66" s="534"/>
      <c r="U66" s="534"/>
      <c r="V66" s="534"/>
      <c r="W66" s="534"/>
      <c r="X66" s="534"/>
      <c r="Y66" s="534"/>
      <c r="Z66" s="534"/>
      <c r="AA66" s="534"/>
      <c r="AB66" s="534"/>
      <c r="AC66" s="534"/>
      <c r="AD66" s="534"/>
      <c r="AE66" s="569"/>
      <c r="AF66" s="569"/>
      <c r="AG66" s="569"/>
      <c r="AH66" s="569"/>
      <c r="AI66" s="569"/>
      <c r="AJ66" s="569"/>
      <c r="AK66" s="569"/>
      <c r="AL66" s="569"/>
      <c r="AM66" s="534"/>
      <c r="AN66" s="534"/>
      <c r="AO66" s="534"/>
      <c r="AP66" s="534"/>
      <c r="AQ66" s="534"/>
      <c r="AR66" s="534"/>
      <c r="AS66" s="534"/>
      <c r="AT66" s="534"/>
      <c r="AU66" s="534"/>
      <c r="AV66" s="534"/>
      <c r="AW66" s="534"/>
      <c r="AX66" s="534"/>
      <c r="AY66" s="534"/>
      <c r="AZ66" s="534"/>
      <c r="BA66" s="534"/>
      <c r="BB66" s="534"/>
      <c r="BC66" s="534"/>
      <c r="BD66" s="534"/>
      <c r="BE66" s="534"/>
      <c r="BF66" s="534"/>
      <c r="BG66" s="534"/>
      <c r="BH66" s="534"/>
    </row>
    <row r="67" spans="1:60" s="40" customFormat="1" x14ac:dyDescent="0.2">
      <c r="A67" s="534"/>
      <c r="B67" s="534"/>
      <c r="C67" s="534"/>
      <c r="D67" s="534"/>
      <c r="E67" s="534"/>
      <c r="F67" s="534"/>
      <c r="G67" s="534"/>
      <c r="H67" s="534"/>
      <c r="I67" s="534"/>
      <c r="J67" s="534"/>
      <c r="K67" s="534"/>
      <c r="L67" s="534"/>
      <c r="M67" s="534"/>
      <c r="N67" s="534"/>
      <c r="O67" s="534"/>
      <c r="P67" s="534"/>
      <c r="Q67" s="534"/>
      <c r="R67" s="534"/>
      <c r="S67" s="534"/>
      <c r="T67" s="534"/>
      <c r="U67" s="534"/>
      <c r="V67" s="534"/>
      <c r="W67" s="534"/>
      <c r="X67" s="534"/>
      <c r="Y67" s="534"/>
      <c r="Z67" s="534"/>
      <c r="AA67" s="534"/>
      <c r="AB67" s="534"/>
      <c r="AC67" s="534"/>
      <c r="AD67" s="534"/>
      <c r="AE67" s="569"/>
      <c r="AF67" s="569"/>
      <c r="AG67" s="569"/>
      <c r="AH67" s="569"/>
      <c r="AI67" s="569"/>
      <c r="AJ67" s="569"/>
      <c r="AK67" s="569"/>
      <c r="AL67" s="569"/>
      <c r="AM67" s="534"/>
      <c r="AN67" s="534"/>
      <c r="AO67" s="534"/>
      <c r="AP67" s="534"/>
      <c r="AQ67" s="534"/>
      <c r="AR67" s="534"/>
      <c r="AS67" s="534"/>
      <c r="AT67" s="534"/>
      <c r="AU67" s="534"/>
      <c r="AV67" s="534"/>
      <c r="AW67" s="534"/>
      <c r="AX67" s="534"/>
      <c r="AY67" s="534"/>
      <c r="AZ67" s="534"/>
      <c r="BA67" s="534"/>
      <c r="BB67" s="534"/>
      <c r="BC67" s="534"/>
      <c r="BD67" s="534"/>
      <c r="BE67" s="534"/>
      <c r="BF67" s="534"/>
      <c r="BG67" s="534"/>
      <c r="BH67" s="534"/>
    </row>
    <row r="68" spans="1:60" s="40" customFormat="1" x14ac:dyDescent="0.2">
      <c r="A68" s="534"/>
      <c r="B68" s="534"/>
      <c r="C68" s="534"/>
      <c r="D68" s="534"/>
      <c r="E68" s="534"/>
      <c r="F68" s="534"/>
      <c r="G68" s="534"/>
      <c r="H68" s="534"/>
      <c r="I68" s="534"/>
      <c r="J68" s="534"/>
      <c r="K68" s="534"/>
      <c r="L68" s="534"/>
      <c r="M68" s="534"/>
      <c r="N68" s="534"/>
      <c r="O68" s="534"/>
      <c r="P68" s="534"/>
      <c r="Q68" s="534"/>
      <c r="R68" s="534"/>
      <c r="S68" s="534"/>
      <c r="T68" s="534"/>
      <c r="U68" s="534"/>
      <c r="V68" s="534"/>
      <c r="W68" s="534"/>
      <c r="X68" s="534"/>
      <c r="Y68" s="534"/>
      <c r="Z68" s="534"/>
      <c r="AA68" s="534"/>
      <c r="AB68" s="534"/>
      <c r="AC68" s="534"/>
      <c r="AD68" s="534"/>
      <c r="AE68" s="569"/>
      <c r="AF68" s="569"/>
      <c r="AG68" s="569"/>
      <c r="AH68" s="569"/>
      <c r="AI68" s="569"/>
      <c r="AJ68" s="569"/>
      <c r="AK68" s="569"/>
      <c r="AL68" s="569"/>
      <c r="AM68" s="534"/>
      <c r="AN68" s="534"/>
      <c r="AO68" s="534"/>
      <c r="AP68" s="534"/>
      <c r="AQ68" s="534"/>
      <c r="AR68" s="534"/>
      <c r="AS68" s="534"/>
      <c r="AT68" s="534"/>
      <c r="AU68" s="534"/>
      <c r="AV68" s="534"/>
      <c r="AW68" s="534"/>
      <c r="AX68" s="534"/>
      <c r="AY68" s="534"/>
      <c r="AZ68" s="534"/>
      <c r="BA68" s="534"/>
      <c r="BB68" s="534"/>
      <c r="BC68" s="534"/>
      <c r="BD68" s="534"/>
      <c r="BE68" s="534"/>
      <c r="BF68" s="534"/>
      <c r="BG68" s="534"/>
      <c r="BH68" s="534"/>
    </row>
    <row r="69" spans="1:60" s="40" customFormat="1" x14ac:dyDescent="0.2">
      <c r="A69" s="534"/>
      <c r="B69" s="534"/>
      <c r="C69" s="534"/>
      <c r="D69" s="534"/>
      <c r="E69" s="534"/>
      <c r="F69" s="534"/>
      <c r="G69" s="534"/>
      <c r="H69" s="534"/>
      <c r="I69" s="534"/>
      <c r="J69" s="534"/>
      <c r="K69" s="534"/>
      <c r="L69" s="534"/>
      <c r="M69" s="534"/>
      <c r="N69" s="534"/>
      <c r="O69" s="534"/>
      <c r="P69" s="534"/>
      <c r="Q69" s="534"/>
      <c r="R69" s="534"/>
      <c r="S69" s="534"/>
      <c r="T69" s="534"/>
      <c r="U69" s="534"/>
      <c r="V69" s="534"/>
      <c r="W69" s="534"/>
      <c r="X69" s="534"/>
      <c r="Y69" s="534"/>
      <c r="Z69" s="534"/>
      <c r="AA69" s="534"/>
      <c r="AB69" s="534"/>
      <c r="AC69" s="534"/>
      <c r="AD69" s="534"/>
      <c r="AE69" s="569"/>
      <c r="AF69" s="569"/>
      <c r="AG69" s="569"/>
      <c r="AH69" s="569"/>
      <c r="AI69" s="569"/>
      <c r="AJ69" s="569"/>
      <c r="AK69" s="569"/>
      <c r="AL69" s="569"/>
      <c r="AM69" s="534"/>
      <c r="AN69" s="534"/>
      <c r="AO69" s="534"/>
      <c r="AP69" s="534"/>
      <c r="AQ69" s="534"/>
      <c r="AR69" s="534"/>
      <c r="AS69" s="534"/>
      <c r="AT69" s="534"/>
      <c r="AU69" s="534"/>
      <c r="AV69" s="534"/>
      <c r="AW69" s="534"/>
      <c r="AX69" s="534"/>
      <c r="AY69" s="534"/>
      <c r="AZ69" s="534"/>
      <c r="BA69" s="534"/>
      <c r="BB69" s="534"/>
      <c r="BC69" s="534"/>
      <c r="BD69" s="534"/>
      <c r="BE69" s="534"/>
      <c r="BF69" s="534"/>
      <c r="BG69" s="534"/>
      <c r="BH69" s="534"/>
    </row>
    <row r="70" spans="1:60" s="40" customFormat="1" x14ac:dyDescent="0.2">
      <c r="A70" s="534"/>
      <c r="B70" s="534"/>
      <c r="C70" s="534"/>
      <c r="D70" s="534"/>
      <c r="E70" s="534"/>
      <c r="F70" s="534"/>
      <c r="G70" s="534"/>
      <c r="H70" s="534"/>
      <c r="I70" s="534"/>
      <c r="J70" s="534"/>
      <c r="K70" s="534"/>
      <c r="L70" s="534"/>
      <c r="M70" s="534"/>
      <c r="N70" s="534"/>
      <c r="O70" s="534"/>
      <c r="P70" s="534"/>
      <c r="Q70" s="534"/>
      <c r="R70" s="534"/>
      <c r="S70" s="534"/>
      <c r="T70" s="534"/>
      <c r="U70" s="534"/>
      <c r="V70" s="534"/>
      <c r="W70" s="534"/>
      <c r="X70" s="534"/>
      <c r="Y70" s="534"/>
      <c r="Z70" s="534"/>
      <c r="AA70" s="534"/>
      <c r="AB70" s="534"/>
      <c r="AC70" s="534"/>
      <c r="AD70" s="534"/>
      <c r="AE70" s="569"/>
      <c r="AF70" s="569"/>
      <c r="AG70" s="569"/>
      <c r="AH70" s="569"/>
      <c r="AI70" s="569"/>
      <c r="AJ70" s="569"/>
      <c r="AK70" s="569"/>
      <c r="AL70" s="569"/>
      <c r="AM70" s="534"/>
      <c r="AN70" s="534"/>
      <c r="AO70" s="534"/>
      <c r="AP70" s="534"/>
      <c r="AQ70" s="534"/>
      <c r="AR70" s="534"/>
      <c r="AS70" s="534"/>
      <c r="AT70" s="534"/>
      <c r="AU70" s="534"/>
      <c r="AV70" s="534"/>
      <c r="AW70" s="534"/>
      <c r="AX70" s="534"/>
      <c r="AY70" s="534"/>
      <c r="AZ70" s="534"/>
      <c r="BA70" s="534"/>
      <c r="BB70" s="534"/>
      <c r="BC70" s="534"/>
      <c r="BD70" s="534"/>
      <c r="BE70" s="534"/>
      <c r="BF70" s="534"/>
      <c r="BG70" s="534"/>
      <c r="BH70" s="534"/>
    </row>
    <row r="71" spans="1:60" s="40" customFormat="1" x14ac:dyDescent="0.2">
      <c r="A71" s="534"/>
      <c r="B71" s="534"/>
      <c r="C71" s="534"/>
      <c r="D71" s="534"/>
      <c r="E71" s="534"/>
      <c r="F71" s="534"/>
      <c r="G71" s="534"/>
      <c r="H71" s="534"/>
      <c r="I71" s="534"/>
      <c r="J71" s="534"/>
      <c r="K71" s="534"/>
      <c r="L71" s="534"/>
      <c r="M71" s="534"/>
      <c r="N71" s="534"/>
      <c r="O71" s="534"/>
      <c r="P71" s="534"/>
      <c r="Q71" s="534"/>
      <c r="R71" s="534"/>
      <c r="S71" s="534"/>
      <c r="T71" s="534"/>
      <c r="U71" s="534"/>
      <c r="V71" s="534"/>
      <c r="W71" s="534"/>
      <c r="X71" s="534"/>
      <c r="Y71" s="534"/>
      <c r="Z71" s="534"/>
      <c r="AA71" s="534"/>
      <c r="AB71" s="534"/>
      <c r="AC71" s="534"/>
      <c r="AD71" s="534"/>
      <c r="AE71" s="569"/>
      <c r="AF71" s="569"/>
      <c r="AG71" s="569"/>
      <c r="AH71" s="569"/>
      <c r="AI71" s="569"/>
      <c r="AJ71" s="569"/>
      <c r="AK71" s="569"/>
      <c r="AL71" s="569"/>
      <c r="AM71" s="534"/>
      <c r="AN71" s="534"/>
      <c r="AO71" s="534"/>
      <c r="AP71" s="534"/>
      <c r="AQ71" s="534"/>
      <c r="AR71" s="534"/>
      <c r="AS71" s="534"/>
      <c r="AT71" s="534"/>
      <c r="AU71" s="534"/>
      <c r="AV71" s="534"/>
      <c r="AW71" s="534"/>
      <c r="AX71" s="534"/>
      <c r="AY71" s="534"/>
      <c r="AZ71" s="534"/>
      <c r="BA71" s="534"/>
      <c r="BB71" s="534"/>
      <c r="BC71" s="534"/>
      <c r="BD71" s="534"/>
      <c r="BE71" s="534"/>
      <c r="BF71" s="534"/>
      <c r="BG71" s="534"/>
      <c r="BH71" s="534"/>
    </row>
    <row r="72" spans="1:60" s="40" customFormat="1" x14ac:dyDescent="0.2">
      <c r="A72" s="534"/>
      <c r="B72" s="534"/>
      <c r="C72" s="534"/>
      <c r="D72" s="534"/>
      <c r="E72" s="534"/>
      <c r="F72" s="534"/>
      <c r="G72" s="534"/>
      <c r="H72" s="534"/>
      <c r="I72" s="534"/>
      <c r="J72" s="534"/>
      <c r="K72" s="534"/>
      <c r="L72" s="534"/>
      <c r="M72" s="534"/>
      <c r="N72" s="534"/>
      <c r="O72" s="534"/>
      <c r="P72" s="534"/>
      <c r="Q72" s="534"/>
      <c r="R72" s="534"/>
      <c r="S72" s="534"/>
      <c r="T72" s="534"/>
      <c r="U72" s="534"/>
      <c r="V72" s="534"/>
      <c r="W72" s="534"/>
      <c r="X72" s="534"/>
      <c r="Y72" s="534"/>
      <c r="Z72" s="534"/>
      <c r="AA72" s="534"/>
      <c r="AB72" s="534"/>
      <c r="AC72" s="534"/>
      <c r="AD72" s="534"/>
      <c r="AE72" s="569"/>
      <c r="AF72" s="569"/>
      <c r="AG72" s="569"/>
      <c r="AH72" s="569"/>
      <c r="AI72" s="569"/>
      <c r="AJ72" s="569"/>
      <c r="AK72" s="569"/>
      <c r="AL72" s="569"/>
      <c r="AM72" s="534"/>
      <c r="AN72" s="534"/>
      <c r="AO72" s="534"/>
      <c r="AP72" s="534"/>
      <c r="AQ72" s="534"/>
      <c r="AR72" s="534"/>
      <c r="AS72" s="534"/>
      <c r="AT72" s="534"/>
      <c r="AU72" s="534"/>
      <c r="AV72" s="534"/>
      <c r="AW72" s="534"/>
      <c r="AX72" s="534"/>
      <c r="AY72" s="534"/>
      <c r="AZ72" s="534"/>
      <c r="BA72" s="534"/>
      <c r="BB72" s="534"/>
      <c r="BC72" s="534"/>
      <c r="BD72" s="534"/>
      <c r="BE72" s="534"/>
      <c r="BF72" s="534"/>
      <c r="BG72" s="534"/>
      <c r="BH72" s="534"/>
    </row>
    <row r="73" spans="1:60" s="40" customFormat="1" x14ac:dyDescent="0.2">
      <c r="A73" s="534"/>
      <c r="B73" s="534"/>
      <c r="C73" s="534"/>
      <c r="D73" s="534"/>
      <c r="E73" s="534"/>
      <c r="F73" s="534"/>
      <c r="G73" s="534"/>
      <c r="H73" s="534"/>
      <c r="I73" s="534"/>
      <c r="J73" s="534"/>
      <c r="K73" s="534"/>
      <c r="L73" s="534"/>
      <c r="M73" s="534"/>
      <c r="N73" s="534"/>
      <c r="O73" s="534"/>
      <c r="P73" s="534"/>
      <c r="Q73" s="534"/>
      <c r="R73" s="534"/>
      <c r="S73" s="534"/>
      <c r="T73" s="534"/>
      <c r="U73" s="534"/>
      <c r="V73" s="534"/>
      <c r="W73" s="534"/>
      <c r="X73" s="534"/>
      <c r="Y73" s="534"/>
      <c r="Z73" s="534"/>
      <c r="AA73" s="534"/>
      <c r="AB73" s="534"/>
      <c r="AC73" s="534"/>
      <c r="AD73" s="534"/>
      <c r="AE73" s="569"/>
      <c r="AF73" s="569"/>
      <c r="AG73" s="569"/>
      <c r="AH73" s="569"/>
      <c r="AI73" s="569"/>
      <c r="AJ73" s="569"/>
      <c r="AK73" s="569"/>
      <c r="AL73" s="569"/>
      <c r="AM73" s="534"/>
      <c r="AN73" s="534"/>
      <c r="AO73" s="534"/>
      <c r="AP73" s="534"/>
      <c r="AQ73" s="534"/>
      <c r="AR73" s="534"/>
      <c r="AS73" s="534"/>
      <c r="AT73" s="534"/>
      <c r="AU73" s="534"/>
      <c r="AV73" s="534"/>
      <c r="AW73" s="534"/>
      <c r="AX73" s="534"/>
      <c r="AY73" s="534"/>
      <c r="AZ73" s="534"/>
      <c r="BA73" s="534"/>
      <c r="BB73" s="534"/>
      <c r="BC73" s="534"/>
      <c r="BD73" s="534"/>
      <c r="BE73" s="534"/>
      <c r="BF73" s="534"/>
      <c r="BG73" s="534"/>
      <c r="BH73" s="534"/>
    </row>
    <row r="74" spans="1:60" s="40" customFormat="1" x14ac:dyDescent="0.2">
      <c r="A74" s="534"/>
      <c r="B74" s="534"/>
      <c r="C74" s="534"/>
      <c r="D74" s="534"/>
      <c r="E74" s="534"/>
      <c r="F74" s="534"/>
      <c r="G74" s="534"/>
      <c r="H74" s="534"/>
      <c r="I74" s="534"/>
      <c r="J74" s="534"/>
      <c r="K74" s="534"/>
      <c r="L74" s="534"/>
      <c r="M74" s="534"/>
      <c r="N74" s="534"/>
      <c r="O74" s="534"/>
      <c r="P74" s="534"/>
      <c r="Q74" s="534"/>
      <c r="R74" s="534"/>
      <c r="S74" s="534"/>
      <c r="T74" s="534"/>
      <c r="U74" s="534"/>
      <c r="V74" s="534"/>
      <c r="W74" s="534"/>
      <c r="X74" s="534"/>
      <c r="Y74" s="534"/>
      <c r="Z74" s="534"/>
      <c r="AA74" s="534"/>
      <c r="AB74" s="534"/>
      <c r="AC74" s="534"/>
      <c r="AD74" s="534"/>
      <c r="AE74" s="569"/>
      <c r="AF74" s="569"/>
      <c r="AG74" s="569"/>
      <c r="AH74" s="569"/>
      <c r="AI74" s="569"/>
      <c r="AJ74" s="569"/>
      <c r="AK74" s="569"/>
      <c r="AL74" s="569"/>
      <c r="AM74" s="534"/>
      <c r="AN74" s="534"/>
      <c r="AO74" s="534"/>
      <c r="AP74" s="534"/>
      <c r="AQ74" s="534"/>
      <c r="AR74" s="534"/>
      <c r="AS74" s="534"/>
      <c r="AT74" s="534"/>
      <c r="AU74" s="534"/>
      <c r="AV74" s="534"/>
      <c r="AW74" s="534"/>
      <c r="AX74" s="534"/>
      <c r="AY74" s="534"/>
      <c r="AZ74" s="534"/>
      <c r="BA74" s="534"/>
      <c r="BB74" s="534"/>
      <c r="BC74" s="534"/>
      <c r="BD74" s="534"/>
      <c r="BE74" s="534"/>
      <c r="BF74" s="534"/>
      <c r="BG74" s="534"/>
      <c r="BH74" s="534"/>
    </row>
    <row r="75" spans="1:60" s="40" customFormat="1" x14ac:dyDescent="0.2">
      <c r="A75" s="534"/>
      <c r="B75" s="534"/>
      <c r="C75" s="534"/>
      <c r="D75" s="534"/>
      <c r="E75" s="534"/>
      <c r="F75" s="534"/>
      <c r="G75" s="534"/>
      <c r="H75" s="534"/>
      <c r="I75" s="534"/>
      <c r="J75" s="534"/>
      <c r="K75" s="534"/>
      <c r="L75" s="534"/>
      <c r="M75" s="534"/>
      <c r="N75" s="534"/>
      <c r="O75" s="534"/>
      <c r="P75" s="534"/>
      <c r="Q75" s="534"/>
      <c r="R75" s="534"/>
      <c r="S75" s="534"/>
      <c r="T75" s="534"/>
      <c r="U75" s="534"/>
      <c r="V75" s="534"/>
      <c r="W75" s="534"/>
      <c r="X75" s="534"/>
      <c r="Y75" s="534"/>
      <c r="Z75" s="534"/>
      <c r="AA75" s="534"/>
      <c r="AB75" s="534"/>
      <c r="AC75" s="534"/>
      <c r="AD75" s="534"/>
      <c r="AE75" s="569"/>
      <c r="AF75" s="569"/>
      <c r="AG75" s="569"/>
      <c r="AH75" s="569"/>
      <c r="AI75" s="569"/>
      <c r="AJ75" s="569"/>
      <c r="AK75" s="569"/>
      <c r="AL75" s="569"/>
      <c r="AM75" s="534"/>
      <c r="AN75" s="534"/>
      <c r="AO75" s="534"/>
      <c r="AP75" s="534"/>
      <c r="AQ75" s="534"/>
      <c r="AR75" s="534"/>
      <c r="AS75" s="534"/>
      <c r="AT75" s="534"/>
      <c r="AU75" s="534"/>
      <c r="AV75" s="534"/>
      <c r="AW75" s="534"/>
      <c r="AX75" s="534"/>
      <c r="AY75" s="534"/>
      <c r="AZ75" s="534"/>
      <c r="BA75" s="534"/>
      <c r="BB75" s="534"/>
      <c r="BC75" s="534"/>
      <c r="BD75" s="534"/>
      <c r="BE75" s="534"/>
      <c r="BF75" s="534"/>
      <c r="BG75" s="534"/>
      <c r="BH75" s="534"/>
    </row>
    <row r="76" spans="1:60" s="40" customFormat="1" x14ac:dyDescent="0.2">
      <c r="A76" s="534"/>
      <c r="B76" s="534"/>
      <c r="C76" s="534"/>
      <c r="D76" s="534"/>
      <c r="E76" s="534"/>
      <c r="F76" s="534"/>
      <c r="G76" s="534"/>
      <c r="H76" s="534"/>
      <c r="I76" s="534"/>
      <c r="J76" s="534"/>
      <c r="K76" s="534"/>
      <c r="L76" s="534"/>
      <c r="M76" s="534"/>
      <c r="N76" s="534"/>
      <c r="O76" s="534"/>
      <c r="P76" s="534"/>
      <c r="Q76" s="534"/>
      <c r="R76" s="534"/>
      <c r="S76" s="534"/>
      <c r="T76" s="534"/>
      <c r="U76" s="534"/>
      <c r="V76" s="534"/>
      <c r="W76" s="534"/>
      <c r="X76" s="534"/>
      <c r="Y76" s="534"/>
      <c r="Z76" s="534"/>
      <c r="AA76" s="534"/>
      <c r="AB76" s="534"/>
      <c r="AC76" s="534"/>
      <c r="AD76" s="534"/>
      <c r="AE76" s="569"/>
      <c r="AF76" s="569"/>
      <c r="AG76" s="569"/>
      <c r="AH76" s="569"/>
      <c r="AI76" s="569"/>
      <c r="AJ76" s="569"/>
      <c r="AK76" s="569"/>
      <c r="AL76" s="569"/>
      <c r="AM76" s="534"/>
      <c r="AN76" s="534"/>
      <c r="AO76" s="534"/>
      <c r="AP76" s="534"/>
      <c r="AQ76" s="534"/>
      <c r="AR76" s="534"/>
      <c r="AS76" s="534"/>
      <c r="AT76" s="534"/>
      <c r="AU76" s="534"/>
      <c r="AV76" s="534"/>
      <c r="AW76" s="534"/>
      <c r="AX76" s="534"/>
      <c r="AY76" s="534"/>
      <c r="AZ76" s="534"/>
      <c r="BA76" s="534"/>
      <c r="BB76" s="534"/>
      <c r="BC76" s="534"/>
      <c r="BD76" s="534"/>
      <c r="BE76" s="534"/>
      <c r="BF76" s="534"/>
      <c r="BG76" s="534"/>
      <c r="BH76" s="534"/>
    </row>
    <row r="77" spans="1:60" s="40" customFormat="1" x14ac:dyDescent="0.2">
      <c r="A77" s="534"/>
      <c r="B77" s="534"/>
      <c r="C77" s="534"/>
      <c r="D77" s="534"/>
      <c r="E77" s="534"/>
      <c r="F77" s="534"/>
      <c r="G77" s="534"/>
      <c r="H77" s="534"/>
      <c r="I77" s="534"/>
      <c r="J77" s="534"/>
      <c r="K77" s="534"/>
      <c r="L77" s="534"/>
      <c r="M77" s="534"/>
      <c r="N77" s="534"/>
      <c r="O77" s="534"/>
      <c r="P77" s="534"/>
      <c r="Q77" s="534"/>
      <c r="R77" s="534"/>
      <c r="S77" s="534"/>
      <c r="T77" s="534"/>
      <c r="U77" s="534"/>
      <c r="V77" s="534"/>
      <c r="W77" s="534"/>
      <c r="X77" s="534"/>
      <c r="Y77" s="534"/>
      <c r="Z77" s="534"/>
      <c r="AA77" s="534"/>
      <c r="AB77" s="534"/>
      <c r="AC77" s="534"/>
      <c r="AD77" s="534"/>
      <c r="AE77" s="569"/>
      <c r="AF77" s="569"/>
      <c r="AG77" s="569"/>
      <c r="AH77" s="569"/>
      <c r="AI77" s="569"/>
      <c r="AJ77" s="569"/>
      <c r="AK77" s="569"/>
      <c r="AL77" s="569"/>
      <c r="AM77" s="534"/>
      <c r="AN77" s="534"/>
      <c r="AO77" s="534"/>
      <c r="AP77" s="534"/>
      <c r="AQ77" s="534"/>
      <c r="AR77" s="534"/>
      <c r="AS77" s="534"/>
      <c r="AT77" s="534"/>
      <c r="AU77" s="534"/>
      <c r="AV77" s="534"/>
      <c r="AW77" s="534"/>
      <c r="AX77" s="534"/>
      <c r="AY77" s="534"/>
      <c r="AZ77" s="534"/>
      <c r="BA77" s="534"/>
      <c r="BB77" s="534"/>
      <c r="BC77" s="534"/>
      <c r="BD77" s="534"/>
      <c r="BE77" s="534"/>
      <c r="BF77" s="534"/>
      <c r="BG77" s="534"/>
      <c r="BH77" s="534"/>
    </row>
    <row r="78" spans="1:60" s="40" customFormat="1" x14ac:dyDescent="0.2">
      <c r="A78" s="534"/>
      <c r="B78" s="534"/>
      <c r="C78" s="534"/>
      <c r="D78" s="534"/>
      <c r="E78" s="534"/>
      <c r="F78" s="534"/>
      <c r="G78" s="534"/>
      <c r="H78" s="534"/>
      <c r="I78" s="534"/>
      <c r="J78" s="534"/>
      <c r="K78" s="534"/>
      <c r="L78" s="534"/>
      <c r="M78" s="534"/>
      <c r="N78" s="534"/>
      <c r="O78" s="534"/>
      <c r="P78" s="534"/>
      <c r="Q78" s="534"/>
      <c r="R78" s="534"/>
      <c r="S78" s="534"/>
      <c r="T78" s="534"/>
      <c r="U78" s="534"/>
      <c r="V78" s="534"/>
      <c r="W78" s="534"/>
      <c r="X78" s="534"/>
      <c r="Y78" s="534"/>
      <c r="Z78" s="534"/>
      <c r="AA78" s="534"/>
      <c r="AB78" s="534"/>
      <c r="AC78" s="534"/>
      <c r="AD78" s="534"/>
      <c r="AE78" s="569"/>
      <c r="AF78" s="569"/>
      <c r="AG78" s="569"/>
      <c r="AH78" s="569"/>
      <c r="AI78" s="569"/>
      <c r="AJ78" s="569"/>
      <c r="AK78" s="569"/>
      <c r="AL78" s="569"/>
      <c r="AM78" s="534"/>
      <c r="AN78" s="534"/>
      <c r="AO78" s="534"/>
      <c r="AP78" s="534"/>
      <c r="AQ78" s="534"/>
      <c r="AR78" s="534"/>
      <c r="AS78" s="534"/>
      <c r="AT78" s="534"/>
      <c r="AU78" s="534"/>
      <c r="AV78" s="534"/>
      <c r="AW78" s="534"/>
      <c r="AX78" s="534"/>
      <c r="AY78" s="534"/>
      <c r="AZ78" s="534"/>
      <c r="BA78" s="534"/>
      <c r="BB78" s="534"/>
      <c r="BC78" s="534"/>
      <c r="BD78" s="534"/>
      <c r="BE78" s="534"/>
      <c r="BF78" s="534"/>
      <c r="BG78" s="534"/>
      <c r="BH78" s="534"/>
    </row>
    <row r="79" spans="1:60" s="40" customFormat="1" x14ac:dyDescent="0.2">
      <c r="A79" s="534"/>
      <c r="B79" s="534"/>
      <c r="C79" s="534"/>
      <c r="D79" s="534"/>
      <c r="E79" s="534"/>
      <c r="F79" s="534"/>
      <c r="G79" s="534"/>
      <c r="H79" s="534"/>
      <c r="I79" s="534"/>
      <c r="J79" s="534"/>
      <c r="K79" s="534"/>
      <c r="L79" s="534"/>
      <c r="M79" s="534"/>
      <c r="N79" s="534"/>
      <c r="O79" s="534"/>
      <c r="P79" s="534"/>
      <c r="Q79" s="534"/>
      <c r="R79" s="534"/>
      <c r="S79" s="534"/>
      <c r="T79" s="534"/>
      <c r="U79" s="534"/>
      <c r="V79" s="534"/>
      <c r="W79" s="534"/>
      <c r="X79" s="534"/>
      <c r="Y79" s="534"/>
      <c r="Z79" s="534"/>
      <c r="AA79" s="534"/>
      <c r="AB79" s="534"/>
      <c r="AC79" s="534"/>
      <c r="AD79" s="534"/>
      <c r="AE79" s="569"/>
      <c r="AF79" s="569"/>
      <c r="AG79" s="569"/>
      <c r="AH79" s="569"/>
      <c r="AI79" s="569"/>
      <c r="AJ79" s="569"/>
      <c r="AK79" s="569"/>
      <c r="AL79" s="569"/>
      <c r="AM79" s="534"/>
      <c r="AN79" s="534"/>
      <c r="AO79" s="534"/>
      <c r="AP79" s="534"/>
      <c r="AQ79" s="534"/>
      <c r="AR79" s="534"/>
      <c r="AS79" s="534"/>
      <c r="AT79" s="534"/>
      <c r="AU79" s="534"/>
      <c r="AV79" s="534"/>
      <c r="AW79" s="534"/>
      <c r="AX79" s="534"/>
      <c r="AY79" s="534"/>
      <c r="AZ79" s="534"/>
      <c r="BA79" s="534"/>
      <c r="BB79" s="534"/>
      <c r="BC79" s="534"/>
      <c r="BD79" s="534"/>
      <c r="BE79" s="534"/>
      <c r="BF79" s="534"/>
      <c r="BG79" s="534"/>
      <c r="BH79" s="534"/>
    </row>
    <row r="80" spans="1:60" s="40" customFormat="1" x14ac:dyDescent="0.2">
      <c r="A80" s="534"/>
      <c r="B80" s="534"/>
      <c r="C80" s="534"/>
      <c r="D80" s="534"/>
      <c r="E80" s="534"/>
      <c r="F80" s="534"/>
      <c r="G80" s="534"/>
      <c r="H80" s="534"/>
      <c r="I80" s="534"/>
      <c r="J80" s="534"/>
      <c r="K80" s="534"/>
      <c r="L80" s="534"/>
      <c r="M80" s="534"/>
      <c r="N80" s="534"/>
      <c r="O80" s="534"/>
      <c r="P80" s="534"/>
      <c r="Q80" s="534"/>
      <c r="R80" s="534"/>
      <c r="S80" s="534"/>
      <c r="T80" s="534"/>
      <c r="U80" s="534"/>
      <c r="V80" s="534"/>
      <c r="W80" s="534"/>
      <c r="X80" s="534"/>
      <c r="Y80" s="534"/>
      <c r="Z80" s="534"/>
      <c r="AA80" s="534"/>
      <c r="AB80" s="534"/>
      <c r="AC80" s="534"/>
      <c r="AD80" s="534"/>
      <c r="AE80" s="569"/>
      <c r="AF80" s="569"/>
      <c r="AG80" s="569"/>
      <c r="AH80" s="569"/>
      <c r="AI80" s="569"/>
      <c r="AJ80" s="569"/>
      <c r="AK80" s="569"/>
      <c r="AL80" s="569"/>
      <c r="AM80" s="534"/>
      <c r="AN80" s="534"/>
      <c r="AO80" s="534"/>
      <c r="AP80" s="534"/>
      <c r="AQ80" s="534"/>
      <c r="AR80" s="534"/>
      <c r="AS80" s="534"/>
      <c r="AT80" s="534"/>
      <c r="AU80" s="534"/>
      <c r="AV80" s="534"/>
      <c r="AW80" s="534"/>
      <c r="AX80" s="534"/>
      <c r="AY80" s="534"/>
      <c r="AZ80" s="534"/>
      <c r="BA80" s="534"/>
      <c r="BB80" s="534"/>
      <c r="BC80" s="534"/>
      <c r="BD80" s="534"/>
      <c r="BE80" s="534"/>
      <c r="BF80" s="534"/>
      <c r="BG80" s="534"/>
      <c r="BH80" s="534"/>
    </row>
    <row r="81" spans="1:60" s="40" customFormat="1" x14ac:dyDescent="0.2">
      <c r="A81" s="534"/>
      <c r="B81" s="534"/>
      <c r="C81" s="534"/>
      <c r="D81" s="534"/>
      <c r="E81" s="534"/>
      <c r="F81" s="534"/>
      <c r="G81" s="534"/>
      <c r="H81" s="534"/>
      <c r="I81" s="534"/>
      <c r="J81" s="534"/>
      <c r="K81" s="534"/>
      <c r="L81" s="534"/>
      <c r="M81" s="534"/>
      <c r="N81" s="534"/>
      <c r="O81" s="534"/>
      <c r="P81" s="534"/>
      <c r="Q81" s="534"/>
      <c r="R81" s="534"/>
      <c r="S81" s="534"/>
      <c r="T81" s="534"/>
      <c r="U81" s="534"/>
      <c r="V81" s="534"/>
      <c r="W81" s="534"/>
      <c r="X81" s="534"/>
      <c r="Y81" s="534"/>
      <c r="Z81" s="534"/>
      <c r="AA81" s="534"/>
      <c r="AB81" s="534"/>
      <c r="AC81" s="534"/>
      <c r="AD81" s="534"/>
      <c r="AE81" s="569"/>
      <c r="AF81" s="569"/>
      <c r="AG81" s="569"/>
      <c r="AH81" s="569"/>
      <c r="AI81" s="569"/>
      <c r="AJ81" s="569"/>
      <c r="AK81" s="569"/>
      <c r="AL81" s="569"/>
      <c r="AM81" s="534"/>
      <c r="AN81" s="534"/>
      <c r="AO81" s="534"/>
      <c r="AP81" s="534"/>
      <c r="AQ81" s="534"/>
      <c r="AR81" s="534"/>
      <c r="AS81" s="534"/>
      <c r="AT81" s="534"/>
      <c r="AU81" s="534"/>
      <c r="AV81" s="534"/>
      <c r="AW81" s="534"/>
      <c r="AX81" s="534"/>
      <c r="AY81" s="534"/>
      <c r="AZ81" s="534"/>
      <c r="BA81" s="534"/>
      <c r="BB81" s="534"/>
      <c r="BC81" s="534"/>
      <c r="BD81" s="534"/>
      <c r="BE81" s="534"/>
      <c r="BF81" s="534"/>
      <c r="BG81" s="534"/>
      <c r="BH81" s="534"/>
    </row>
    <row r="82" spans="1:60" s="40" customFormat="1" x14ac:dyDescent="0.2">
      <c r="A82" s="534"/>
      <c r="B82" s="534"/>
      <c r="C82" s="534"/>
      <c r="D82" s="534"/>
      <c r="E82" s="534"/>
      <c r="F82" s="534"/>
      <c r="G82" s="534"/>
      <c r="H82" s="534"/>
      <c r="I82" s="534"/>
      <c r="J82" s="534"/>
      <c r="K82" s="534"/>
      <c r="L82" s="534"/>
      <c r="M82" s="534"/>
      <c r="N82" s="534"/>
      <c r="O82" s="534"/>
      <c r="P82" s="534"/>
      <c r="Q82" s="534"/>
      <c r="R82" s="534"/>
      <c r="S82" s="534"/>
      <c r="T82" s="534"/>
      <c r="U82" s="534"/>
      <c r="V82" s="534"/>
      <c r="W82" s="534"/>
      <c r="X82" s="534"/>
      <c r="Y82" s="534"/>
      <c r="Z82" s="534"/>
      <c r="AA82" s="534"/>
      <c r="AB82" s="534"/>
      <c r="AC82" s="534"/>
      <c r="AD82" s="534"/>
      <c r="AE82" s="569"/>
      <c r="AF82" s="569"/>
      <c r="AG82" s="569"/>
      <c r="AH82" s="569"/>
      <c r="AI82" s="569"/>
      <c r="AJ82" s="569"/>
      <c r="AK82" s="569"/>
      <c r="AL82" s="569"/>
      <c r="AM82" s="534"/>
      <c r="AN82" s="534"/>
      <c r="AO82" s="534"/>
      <c r="AP82" s="534"/>
      <c r="AQ82" s="534"/>
      <c r="AR82" s="534"/>
      <c r="AS82" s="534"/>
      <c r="AT82" s="534"/>
      <c r="AU82" s="534"/>
      <c r="AV82" s="534"/>
      <c r="AW82" s="534"/>
      <c r="AX82" s="534"/>
      <c r="AY82" s="534"/>
      <c r="AZ82" s="534"/>
      <c r="BA82" s="534"/>
      <c r="BB82" s="534"/>
      <c r="BC82" s="534"/>
      <c r="BD82" s="534"/>
      <c r="BE82" s="534"/>
      <c r="BF82" s="534"/>
      <c r="BG82" s="534"/>
      <c r="BH82" s="534"/>
    </row>
    <row r="83" spans="1:60" s="40" customFormat="1" x14ac:dyDescent="0.2">
      <c r="A83" s="534"/>
      <c r="B83" s="534"/>
      <c r="C83" s="534"/>
      <c r="D83" s="534"/>
      <c r="E83" s="534"/>
      <c r="F83" s="534"/>
      <c r="G83" s="534"/>
      <c r="H83" s="534"/>
      <c r="I83" s="534"/>
      <c r="J83" s="534"/>
      <c r="K83" s="534"/>
      <c r="L83" s="534"/>
      <c r="M83" s="534"/>
      <c r="N83" s="534"/>
      <c r="O83" s="534"/>
      <c r="P83" s="534"/>
      <c r="Q83" s="534"/>
      <c r="R83" s="534"/>
      <c r="S83" s="534"/>
      <c r="T83" s="534"/>
      <c r="U83" s="534"/>
      <c r="V83" s="534"/>
      <c r="W83" s="534"/>
      <c r="X83" s="534"/>
      <c r="Y83" s="534"/>
      <c r="Z83" s="534"/>
      <c r="AA83" s="534"/>
      <c r="AB83" s="534"/>
      <c r="AC83" s="534"/>
      <c r="AD83" s="534"/>
      <c r="AE83" s="569"/>
      <c r="AF83" s="569"/>
      <c r="AG83" s="569"/>
      <c r="AH83" s="569"/>
      <c r="AI83" s="569"/>
      <c r="AJ83" s="569"/>
      <c r="AK83" s="569"/>
      <c r="AL83" s="569"/>
      <c r="AM83" s="534"/>
      <c r="AN83" s="534"/>
      <c r="AO83" s="534"/>
      <c r="AP83" s="534"/>
      <c r="AQ83" s="534"/>
      <c r="AR83" s="534"/>
      <c r="AS83" s="534"/>
      <c r="AT83" s="534"/>
      <c r="AU83" s="534"/>
      <c r="AV83" s="534"/>
      <c r="AW83" s="534"/>
      <c r="AX83" s="534"/>
      <c r="AY83" s="534"/>
      <c r="AZ83" s="534"/>
      <c r="BA83" s="534"/>
      <c r="BB83" s="534"/>
      <c r="BC83" s="534"/>
      <c r="BD83" s="534"/>
      <c r="BE83" s="534"/>
      <c r="BF83" s="534"/>
      <c r="BG83" s="534"/>
      <c r="BH83" s="534"/>
    </row>
    <row r="84" spans="1:60" s="40" customFormat="1" x14ac:dyDescent="0.2">
      <c r="A84" s="534"/>
      <c r="B84" s="534"/>
      <c r="C84" s="534"/>
      <c r="D84" s="534"/>
      <c r="E84" s="534"/>
      <c r="F84" s="534"/>
      <c r="G84" s="534"/>
      <c r="H84" s="534"/>
      <c r="I84" s="534"/>
      <c r="J84" s="534"/>
      <c r="K84" s="534"/>
      <c r="L84" s="534"/>
      <c r="M84" s="534"/>
      <c r="N84" s="534"/>
      <c r="O84" s="534"/>
      <c r="P84" s="534"/>
      <c r="Q84" s="534"/>
      <c r="R84" s="534"/>
      <c r="S84" s="534"/>
      <c r="T84" s="534"/>
      <c r="U84" s="534"/>
      <c r="V84" s="534"/>
      <c r="W84" s="534"/>
      <c r="X84" s="534"/>
      <c r="Y84" s="534"/>
      <c r="Z84" s="534"/>
      <c r="AA84" s="534"/>
      <c r="AB84" s="534"/>
      <c r="AC84" s="534"/>
      <c r="AD84" s="534"/>
      <c r="AE84" s="569"/>
      <c r="AF84" s="569"/>
      <c r="AG84" s="569"/>
      <c r="AH84" s="569"/>
      <c r="AI84" s="569"/>
      <c r="AJ84" s="569"/>
      <c r="AK84" s="569"/>
      <c r="AL84" s="569"/>
      <c r="AM84" s="534"/>
      <c r="AN84" s="534"/>
      <c r="AO84" s="534"/>
      <c r="AP84" s="534"/>
      <c r="AQ84" s="534"/>
      <c r="AR84" s="534"/>
      <c r="AS84" s="534"/>
      <c r="AT84" s="534"/>
      <c r="AU84" s="534"/>
      <c r="AV84" s="534"/>
      <c r="AW84" s="534"/>
      <c r="AX84" s="534"/>
      <c r="AY84" s="534"/>
      <c r="AZ84" s="534"/>
      <c r="BA84" s="534"/>
      <c r="BB84" s="534"/>
      <c r="BC84" s="534"/>
      <c r="BD84" s="534"/>
      <c r="BE84" s="534"/>
      <c r="BF84" s="534"/>
      <c r="BG84" s="534"/>
      <c r="BH84" s="534"/>
    </row>
    <row r="85" spans="1:60" s="40" customFormat="1" x14ac:dyDescent="0.2">
      <c r="A85" s="534"/>
      <c r="B85" s="534"/>
      <c r="C85" s="534"/>
      <c r="D85" s="534"/>
      <c r="E85" s="534"/>
      <c r="F85" s="534"/>
      <c r="G85" s="534"/>
      <c r="H85" s="534"/>
      <c r="I85" s="534"/>
      <c r="J85" s="534"/>
      <c r="K85" s="534"/>
      <c r="L85" s="534"/>
      <c r="M85" s="534"/>
      <c r="N85" s="534"/>
      <c r="O85" s="534"/>
      <c r="P85" s="534"/>
      <c r="Q85" s="534"/>
      <c r="R85" s="534"/>
      <c r="S85" s="534"/>
      <c r="T85" s="534"/>
      <c r="U85" s="534"/>
      <c r="V85" s="534"/>
      <c r="W85" s="534"/>
      <c r="X85" s="534"/>
      <c r="Y85" s="534"/>
      <c r="Z85" s="534"/>
      <c r="AA85" s="534"/>
      <c r="AB85" s="534"/>
      <c r="AC85" s="534"/>
      <c r="AD85" s="534"/>
      <c r="AE85" s="569"/>
      <c r="AF85" s="569"/>
      <c r="AG85" s="569"/>
      <c r="AH85" s="569"/>
      <c r="AI85" s="569"/>
      <c r="AJ85" s="569"/>
      <c r="AK85" s="569"/>
      <c r="AL85" s="569"/>
      <c r="AM85" s="534"/>
      <c r="AN85" s="534"/>
      <c r="AO85" s="534"/>
      <c r="AP85" s="534"/>
      <c r="AQ85" s="534"/>
      <c r="AR85" s="534"/>
      <c r="AS85" s="534"/>
      <c r="AT85" s="534"/>
      <c r="AU85" s="534"/>
      <c r="AV85" s="534"/>
      <c r="AW85" s="534"/>
      <c r="AX85" s="534"/>
      <c r="AY85" s="534"/>
      <c r="AZ85" s="534"/>
      <c r="BA85" s="534"/>
      <c r="BB85" s="534"/>
      <c r="BC85" s="534"/>
      <c r="BD85" s="534"/>
      <c r="BE85" s="534"/>
      <c r="BF85" s="534"/>
      <c r="BG85" s="534"/>
      <c r="BH85" s="534"/>
    </row>
    <row r="86" spans="1:60" s="40" customFormat="1" x14ac:dyDescent="0.2">
      <c r="A86" s="534"/>
      <c r="B86" s="534"/>
      <c r="C86" s="534"/>
      <c r="D86" s="534"/>
      <c r="E86" s="534"/>
      <c r="F86" s="534"/>
      <c r="G86" s="534"/>
      <c r="H86" s="534"/>
      <c r="I86" s="534"/>
      <c r="J86" s="534"/>
      <c r="K86" s="534"/>
      <c r="L86" s="534"/>
      <c r="M86" s="534"/>
      <c r="N86" s="534"/>
      <c r="O86" s="534"/>
      <c r="P86" s="534"/>
      <c r="Q86" s="534"/>
      <c r="R86" s="534"/>
      <c r="S86" s="534"/>
      <c r="T86" s="534"/>
      <c r="U86" s="534"/>
      <c r="V86" s="534"/>
      <c r="W86" s="534"/>
      <c r="X86" s="534"/>
      <c r="Y86" s="534"/>
      <c r="Z86" s="534"/>
      <c r="AA86" s="534"/>
      <c r="AB86" s="534"/>
      <c r="AC86" s="534"/>
      <c r="AD86" s="534"/>
      <c r="AE86" s="569"/>
      <c r="AF86" s="569"/>
      <c r="AG86" s="569"/>
      <c r="AH86" s="569"/>
      <c r="AI86" s="569"/>
      <c r="AJ86" s="569"/>
      <c r="AK86" s="569"/>
      <c r="AL86" s="569"/>
      <c r="AM86" s="534"/>
      <c r="AN86" s="534"/>
      <c r="AO86" s="534"/>
      <c r="AP86" s="534"/>
      <c r="AQ86" s="534"/>
      <c r="AR86" s="534"/>
      <c r="AS86" s="534"/>
      <c r="AT86" s="534"/>
      <c r="AU86" s="534"/>
      <c r="AV86" s="534"/>
      <c r="AW86" s="534"/>
      <c r="AX86" s="534"/>
      <c r="AY86" s="534"/>
      <c r="AZ86" s="534"/>
      <c r="BA86" s="534"/>
      <c r="BB86" s="534"/>
      <c r="BC86" s="534"/>
      <c r="BD86" s="534"/>
      <c r="BE86" s="534"/>
      <c r="BF86" s="534"/>
      <c r="BG86" s="534"/>
      <c r="BH86" s="534"/>
    </row>
    <row r="87" spans="1:60" s="40" customFormat="1" x14ac:dyDescent="0.2">
      <c r="A87" s="534"/>
      <c r="B87" s="534"/>
      <c r="C87" s="534"/>
      <c r="D87" s="534"/>
      <c r="E87" s="534"/>
      <c r="F87" s="534"/>
      <c r="G87" s="534"/>
      <c r="H87" s="534"/>
      <c r="I87" s="534"/>
      <c r="J87" s="534"/>
      <c r="K87" s="534"/>
      <c r="L87" s="534"/>
      <c r="M87" s="534"/>
      <c r="N87" s="534"/>
      <c r="O87" s="534"/>
      <c r="P87" s="534"/>
      <c r="Q87" s="534"/>
      <c r="R87" s="534"/>
      <c r="S87" s="534"/>
      <c r="T87" s="534"/>
      <c r="U87" s="534"/>
      <c r="V87" s="534"/>
      <c r="W87" s="534"/>
      <c r="X87" s="534"/>
      <c r="Y87" s="534"/>
      <c r="Z87" s="534"/>
      <c r="AA87" s="534"/>
      <c r="AB87" s="534"/>
      <c r="AC87" s="534"/>
      <c r="AD87" s="534"/>
      <c r="AE87" s="569"/>
      <c r="AF87" s="569"/>
      <c r="AG87" s="569"/>
      <c r="AH87" s="569"/>
      <c r="AI87" s="569"/>
      <c r="AJ87" s="569"/>
      <c r="AK87" s="569"/>
      <c r="AL87" s="569"/>
      <c r="AM87" s="534"/>
      <c r="AN87" s="534"/>
      <c r="AO87" s="534"/>
      <c r="AP87" s="534"/>
      <c r="AQ87" s="534"/>
      <c r="AR87" s="534"/>
      <c r="AS87" s="534"/>
      <c r="AT87" s="534"/>
      <c r="AU87" s="534"/>
      <c r="AV87" s="534"/>
      <c r="AW87" s="534"/>
      <c r="AX87" s="534"/>
      <c r="AY87" s="534"/>
      <c r="AZ87" s="534"/>
      <c r="BA87" s="534"/>
      <c r="BB87" s="534"/>
      <c r="BC87" s="534"/>
      <c r="BD87" s="534"/>
      <c r="BE87" s="534"/>
      <c r="BF87" s="534"/>
      <c r="BG87" s="534"/>
      <c r="BH87" s="534"/>
    </row>
    <row r="88" spans="1:60" s="40" customFormat="1" x14ac:dyDescent="0.2">
      <c r="A88" s="534"/>
      <c r="B88" s="534"/>
      <c r="C88" s="534"/>
      <c r="D88" s="534"/>
      <c r="E88" s="534"/>
      <c r="F88" s="534"/>
      <c r="G88" s="534"/>
      <c r="H88" s="534"/>
      <c r="I88" s="534"/>
      <c r="J88" s="534"/>
      <c r="K88" s="534"/>
      <c r="L88" s="534"/>
      <c r="M88" s="534"/>
      <c r="N88" s="534"/>
      <c r="O88" s="534"/>
      <c r="P88" s="534"/>
      <c r="Q88" s="534"/>
      <c r="R88" s="534"/>
      <c r="S88" s="534"/>
      <c r="T88" s="534"/>
      <c r="U88" s="534"/>
      <c r="V88" s="534"/>
      <c r="W88" s="534"/>
      <c r="X88" s="534"/>
      <c r="Y88" s="534"/>
      <c r="Z88" s="534"/>
      <c r="AA88" s="534"/>
      <c r="AB88" s="534"/>
      <c r="AC88" s="534"/>
      <c r="AD88" s="534"/>
      <c r="AE88" s="569"/>
      <c r="AF88" s="569"/>
      <c r="AG88" s="569"/>
      <c r="AH88" s="569"/>
      <c r="AI88" s="569"/>
      <c r="AJ88" s="569"/>
      <c r="AK88" s="569"/>
      <c r="AL88" s="569"/>
      <c r="AM88" s="534"/>
      <c r="AN88" s="534"/>
      <c r="AO88" s="534"/>
      <c r="AP88" s="534"/>
      <c r="AQ88" s="534"/>
      <c r="AR88" s="534"/>
      <c r="AS88" s="534"/>
      <c r="AT88" s="534"/>
      <c r="AU88" s="534"/>
      <c r="AV88" s="534"/>
      <c r="AW88" s="534"/>
      <c r="AX88" s="534"/>
      <c r="AY88" s="534"/>
      <c r="AZ88" s="534"/>
      <c r="BA88" s="534"/>
      <c r="BB88" s="534"/>
      <c r="BC88" s="534"/>
      <c r="BD88" s="534"/>
      <c r="BE88" s="534"/>
      <c r="BF88" s="534"/>
      <c r="BG88" s="534"/>
      <c r="BH88" s="534"/>
    </row>
    <row r="89" spans="1:60" s="40" customFormat="1" x14ac:dyDescent="0.2">
      <c r="A89" s="534"/>
      <c r="B89" s="534"/>
      <c r="C89" s="534"/>
      <c r="D89" s="534"/>
      <c r="E89" s="534"/>
      <c r="F89" s="534"/>
      <c r="G89" s="534"/>
      <c r="H89" s="534"/>
      <c r="I89" s="534"/>
      <c r="J89" s="534"/>
      <c r="K89" s="534"/>
      <c r="L89" s="534"/>
      <c r="M89" s="534"/>
      <c r="N89" s="534"/>
      <c r="O89" s="534"/>
      <c r="P89" s="534"/>
      <c r="Q89" s="534"/>
      <c r="R89" s="534"/>
      <c r="S89" s="534"/>
      <c r="T89" s="534"/>
      <c r="U89" s="534"/>
      <c r="V89" s="534"/>
      <c r="W89" s="534"/>
      <c r="X89" s="534"/>
      <c r="Y89" s="534"/>
      <c r="Z89" s="534"/>
      <c r="AA89" s="534"/>
      <c r="AB89" s="534"/>
      <c r="AC89" s="534"/>
      <c r="AD89" s="534"/>
      <c r="AE89" s="569"/>
      <c r="AF89" s="569"/>
      <c r="AG89" s="569"/>
      <c r="AH89" s="569"/>
      <c r="AI89" s="569"/>
      <c r="AJ89" s="569"/>
      <c r="AK89" s="569"/>
      <c r="AL89" s="569"/>
      <c r="AM89" s="534"/>
      <c r="AN89" s="534"/>
      <c r="AO89" s="534"/>
      <c r="AP89" s="534"/>
      <c r="AQ89" s="534"/>
      <c r="AR89" s="534"/>
      <c r="AS89" s="534"/>
      <c r="AT89" s="534"/>
      <c r="AU89" s="534"/>
      <c r="AV89" s="534"/>
      <c r="AW89" s="534"/>
      <c r="AX89" s="534"/>
      <c r="AY89" s="534"/>
      <c r="AZ89" s="534"/>
      <c r="BA89" s="534"/>
      <c r="BB89" s="534"/>
      <c r="BC89" s="534"/>
      <c r="BD89" s="534"/>
      <c r="BE89" s="534"/>
      <c r="BF89" s="534"/>
      <c r="BG89" s="534"/>
      <c r="BH89" s="534"/>
    </row>
    <row r="90" spans="1:60" s="40" customFormat="1" x14ac:dyDescent="0.2">
      <c r="A90" s="534"/>
      <c r="B90" s="534"/>
      <c r="C90" s="534"/>
      <c r="D90" s="534"/>
      <c r="E90" s="534"/>
      <c r="F90" s="534"/>
      <c r="G90" s="534"/>
      <c r="H90" s="534"/>
      <c r="I90" s="534"/>
      <c r="J90" s="534"/>
      <c r="K90" s="534"/>
      <c r="L90" s="534"/>
      <c r="M90" s="534"/>
      <c r="N90" s="534"/>
      <c r="O90" s="534"/>
      <c r="P90" s="534"/>
      <c r="Q90" s="534"/>
      <c r="R90" s="534"/>
      <c r="S90" s="534"/>
      <c r="T90" s="534"/>
      <c r="U90" s="534"/>
      <c r="V90" s="534"/>
      <c r="W90" s="534"/>
      <c r="X90" s="534"/>
      <c r="Y90" s="534"/>
      <c r="Z90" s="534"/>
      <c r="AA90" s="534"/>
      <c r="AB90" s="534"/>
      <c r="AC90" s="534"/>
      <c r="AD90" s="534"/>
      <c r="AE90" s="569"/>
      <c r="AF90" s="569"/>
      <c r="AG90" s="569"/>
      <c r="AH90" s="569"/>
      <c r="AI90" s="569"/>
      <c r="AJ90" s="569"/>
      <c r="AK90" s="569"/>
      <c r="AL90" s="569"/>
      <c r="AM90" s="534"/>
      <c r="AN90" s="534"/>
      <c r="AO90" s="534"/>
      <c r="AP90" s="534"/>
      <c r="AQ90" s="534"/>
      <c r="AR90" s="534"/>
      <c r="AS90" s="534"/>
      <c r="AT90" s="534"/>
      <c r="AU90" s="534"/>
      <c r="AV90" s="534"/>
      <c r="AW90" s="534"/>
      <c r="AX90" s="534"/>
      <c r="AY90" s="534"/>
      <c r="AZ90" s="534"/>
      <c r="BA90" s="534"/>
      <c r="BB90" s="534"/>
      <c r="BC90" s="534"/>
      <c r="BD90" s="534"/>
      <c r="BE90" s="534"/>
      <c r="BF90" s="534"/>
      <c r="BG90" s="534"/>
      <c r="BH90" s="534"/>
    </row>
    <row r="91" spans="1:60" s="40" customFormat="1" x14ac:dyDescent="0.2">
      <c r="A91" s="534"/>
      <c r="B91" s="534"/>
      <c r="C91" s="534"/>
      <c r="D91" s="534"/>
      <c r="E91" s="534"/>
      <c r="F91" s="534"/>
      <c r="G91" s="534"/>
      <c r="H91" s="534"/>
      <c r="I91" s="534"/>
      <c r="J91" s="534"/>
      <c r="K91" s="534"/>
      <c r="L91" s="534"/>
      <c r="M91" s="534"/>
      <c r="N91" s="534"/>
      <c r="O91" s="534"/>
      <c r="P91" s="534"/>
      <c r="Q91" s="534"/>
      <c r="R91" s="534"/>
      <c r="S91" s="534"/>
      <c r="T91" s="534"/>
      <c r="U91" s="534"/>
      <c r="V91" s="534"/>
      <c r="W91" s="534"/>
      <c r="X91" s="534"/>
      <c r="Y91" s="534"/>
      <c r="Z91" s="534"/>
      <c r="AA91" s="534"/>
      <c r="AB91" s="534"/>
      <c r="AC91" s="534"/>
      <c r="AD91" s="534"/>
      <c r="AE91" s="569"/>
      <c r="AF91" s="569"/>
      <c r="AG91" s="569"/>
      <c r="AH91" s="569"/>
      <c r="AI91" s="569"/>
      <c r="AJ91" s="569"/>
      <c r="AK91" s="569"/>
      <c r="AL91" s="569"/>
      <c r="AM91" s="534"/>
      <c r="AN91" s="534"/>
      <c r="AO91" s="534"/>
      <c r="AP91" s="534"/>
      <c r="AQ91" s="534"/>
      <c r="AR91" s="534"/>
      <c r="AS91" s="534"/>
      <c r="AT91" s="534"/>
      <c r="AU91" s="534"/>
      <c r="AV91" s="534"/>
      <c r="AW91" s="534"/>
      <c r="AX91" s="534"/>
      <c r="AY91" s="534"/>
      <c r="AZ91" s="534"/>
      <c r="BA91" s="534"/>
      <c r="BB91" s="534"/>
      <c r="BC91" s="534"/>
      <c r="BD91" s="534"/>
      <c r="BE91" s="534"/>
      <c r="BF91" s="534"/>
      <c r="BG91" s="534"/>
      <c r="BH91" s="534"/>
    </row>
    <row r="92" spans="1:60" s="40" customFormat="1" x14ac:dyDescent="0.2">
      <c r="A92" s="534"/>
      <c r="B92" s="534"/>
      <c r="C92" s="534"/>
      <c r="D92" s="534"/>
      <c r="E92" s="534"/>
      <c r="F92" s="534"/>
      <c r="G92" s="534"/>
      <c r="H92" s="534"/>
      <c r="I92" s="534"/>
      <c r="J92" s="534"/>
      <c r="K92" s="534"/>
      <c r="L92" s="534"/>
      <c r="M92" s="534"/>
      <c r="N92" s="534"/>
      <c r="O92" s="534"/>
      <c r="P92" s="534"/>
      <c r="Q92" s="534"/>
      <c r="R92" s="534"/>
      <c r="S92" s="534"/>
      <c r="T92" s="534"/>
      <c r="U92" s="534"/>
      <c r="V92" s="534"/>
      <c r="W92" s="534"/>
      <c r="X92" s="534"/>
      <c r="Y92" s="534"/>
      <c r="Z92" s="534"/>
      <c r="AA92" s="534"/>
      <c r="AB92" s="534"/>
      <c r="AC92" s="534"/>
      <c r="AD92" s="534"/>
      <c r="AE92" s="569"/>
      <c r="AF92" s="569"/>
      <c r="AG92" s="569"/>
      <c r="AH92" s="569"/>
      <c r="AI92" s="569"/>
      <c r="AJ92" s="569"/>
      <c r="AK92" s="569"/>
      <c r="AL92" s="569"/>
      <c r="AM92" s="534"/>
      <c r="AN92" s="534"/>
      <c r="AO92" s="534"/>
      <c r="AP92" s="534"/>
      <c r="AQ92" s="534"/>
      <c r="AR92" s="534"/>
      <c r="AS92" s="534"/>
      <c r="AT92" s="534"/>
      <c r="AU92" s="534"/>
      <c r="AV92" s="534"/>
      <c r="AW92" s="534"/>
      <c r="AX92" s="534"/>
      <c r="AY92" s="534"/>
      <c r="AZ92" s="534"/>
      <c r="BA92" s="534"/>
      <c r="BB92" s="534"/>
      <c r="BC92" s="534"/>
      <c r="BD92" s="534"/>
      <c r="BE92" s="534"/>
      <c r="BF92" s="534"/>
      <c r="BG92" s="534"/>
      <c r="BH92" s="534"/>
    </row>
    <row r="93" spans="1:60" s="40" customFormat="1" x14ac:dyDescent="0.2">
      <c r="A93" s="534"/>
      <c r="B93" s="534"/>
      <c r="C93" s="534"/>
      <c r="D93" s="534"/>
      <c r="E93" s="534"/>
      <c r="F93" s="534"/>
      <c r="G93" s="534"/>
      <c r="H93" s="534"/>
      <c r="I93" s="534"/>
      <c r="J93" s="534"/>
      <c r="K93" s="534"/>
      <c r="L93" s="534"/>
      <c r="M93" s="534"/>
      <c r="N93" s="534"/>
      <c r="O93" s="534"/>
      <c r="P93" s="534"/>
      <c r="Q93" s="534"/>
      <c r="R93" s="534"/>
      <c r="S93" s="534"/>
      <c r="T93" s="534"/>
      <c r="U93" s="534"/>
      <c r="V93" s="534"/>
      <c r="W93" s="534"/>
      <c r="X93" s="534"/>
      <c r="Y93" s="534"/>
      <c r="Z93" s="534"/>
      <c r="AA93" s="534"/>
      <c r="AB93" s="534"/>
      <c r="AC93" s="534"/>
      <c r="AD93" s="534"/>
      <c r="AE93" s="569"/>
      <c r="AF93" s="569"/>
      <c r="AG93" s="569"/>
      <c r="AH93" s="569"/>
      <c r="AI93" s="569"/>
      <c r="AJ93" s="569"/>
      <c r="AK93" s="569"/>
      <c r="AL93" s="569"/>
      <c r="AM93" s="534"/>
      <c r="AN93" s="534"/>
      <c r="AO93" s="534"/>
      <c r="AP93" s="534"/>
      <c r="AQ93" s="534"/>
      <c r="AR93" s="534"/>
      <c r="AS93" s="534"/>
      <c r="AT93" s="534"/>
      <c r="AU93" s="534"/>
      <c r="AV93" s="534"/>
      <c r="AW93" s="534"/>
      <c r="AX93" s="534"/>
      <c r="AY93" s="534"/>
      <c r="AZ93" s="534"/>
      <c r="BA93" s="534"/>
      <c r="BB93" s="534"/>
      <c r="BC93" s="534"/>
      <c r="BD93" s="534"/>
      <c r="BE93" s="534"/>
      <c r="BF93" s="534"/>
      <c r="BG93" s="534"/>
      <c r="BH93" s="534"/>
    </row>
    <row r="94" spans="1:60" s="40" customFormat="1" x14ac:dyDescent="0.2">
      <c r="A94" s="534"/>
      <c r="B94" s="534"/>
      <c r="C94" s="534"/>
      <c r="D94" s="534"/>
      <c r="E94" s="534"/>
      <c r="F94" s="534"/>
      <c r="G94" s="534"/>
      <c r="H94" s="534"/>
      <c r="I94" s="534"/>
      <c r="J94" s="534"/>
      <c r="K94" s="534"/>
      <c r="L94" s="534"/>
      <c r="M94" s="534"/>
      <c r="N94" s="534"/>
      <c r="O94" s="534"/>
      <c r="P94" s="534"/>
      <c r="Q94" s="534"/>
      <c r="R94" s="534"/>
      <c r="S94" s="534"/>
      <c r="T94" s="534"/>
      <c r="U94" s="534"/>
      <c r="V94" s="534"/>
      <c r="W94" s="534"/>
      <c r="X94" s="534"/>
      <c r="Y94" s="534"/>
      <c r="Z94" s="534"/>
      <c r="AA94" s="534"/>
      <c r="AB94" s="534"/>
      <c r="AC94" s="534"/>
      <c r="AD94" s="534"/>
      <c r="AE94" s="569"/>
      <c r="AF94" s="569"/>
      <c r="AG94" s="569"/>
      <c r="AH94" s="569"/>
      <c r="AI94" s="569"/>
      <c r="AJ94" s="569"/>
      <c r="AK94" s="569"/>
      <c r="AL94" s="569"/>
      <c r="AM94" s="534"/>
      <c r="AN94" s="534"/>
      <c r="AO94" s="534"/>
      <c r="AP94" s="534"/>
      <c r="AQ94" s="534"/>
      <c r="AR94" s="534"/>
      <c r="AS94" s="534"/>
      <c r="AT94" s="534"/>
      <c r="AU94" s="534"/>
      <c r="AV94" s="534"/>
      <c r="AW94" s="534"/>
      <c r="AX94" s="534"/>
      <c r="AY94" s="534"/>
      <c r="AZ94" s="534"/>
      <c r="BA94" s="534"/>
      <c r="BB94" s="534"/>
      <c r="BC94" s="534"/>
      <c r="BD94" s="534"/>
      <c r="BE94" s="534"/>
      <c r="BF94" s="534"/>
      <c r="BG94" s="534"/>
      <c r="BH94" s="534"/>
    </row>
    <row r="95" spans="1:60" s="40" customFormat="1" x14ac:dyDescent="0.2">
      <c r="A95" s="534"/>
      <c r="B95" s="534"/>
      <c r="C95" s="534"/>
      <c r="D95" s="534"/>
      <c r="E95" s="534"/>
      <c r="F95" s="534"/>
      <c r="G95" s="534"/>
      <c r="H95" s="534"/>
      <c r="I95" s="534"/>
      <c r="J95" s="534"/>
      <c r="K95" s="534"/>
      <c r="L95" s="534"/>
      <c r="M95" s="534"/>
      <c r="N95" s="534"/>
      <c r="O95" s="534"/>
      <c r="P95" s="534"/>
      <c r="Q95" s="534"/>
      <c r="R95" s="534"/>
      <c r="S95" s="534"/>
      <c r="T95" s="534"/>
      <c r="U95" s="534"/>
      <c r="V95" s="534"/>
      <c r="W95" s="534"/>
      <c r="X95" s="534"/>
      <c r="Y95" s="534"/>
      <c r="Z95" s="534"/>
      <c r="AA95" s="534"/>
      <c r="AB95" s="534"/>
      <c r="AC95" s="534"/>
      <c r="AD95" s="534"/>
      <c r="AE95" s="569"/>
      <c r="AF95" s="569"/>
      <c r="AG95" s="569"/>
      <c r="AH95" s="569"/>
      <c r="AI95" s="569"/>
      <c r="AJ95" s="569"/>
      <c r="AK95" s="569"/>
      <c r="AL95" s="569"/>
      <c r="AM95" s="534"/>
      <c r="AN95" s="534"/>
      <c r="AO95" s="534"/>
      <c r="AP95" s="534"/>
      <c r="AQ95" s="534"/>
      <c r="AR95" s="534"/>
      <c r="AS95" s="534"/>
      <c r="AT95" s="534"/>
      <c r="AU95" s="534"/>
      <c r="AV95" s="534"/>
      <c r="AW95" s="534"/>
      <c r="AX95" s="534"/>
      <c r="AY95" s="534"/>
      <c r="AZ95" s="534"/>
      <c r="BA95" s="534"/>
      <c r="BB95" s="534"/>
      <c r="BC95" s="534"/>
      <c r="BD95" s="534"/>
      <c r="BE95" s="534"/>
      <c r="BF95" s="534"/>
      <c r="BG95" s="534"/>
      <c r="BH95" s="534"/>
    </row>
    <row r="96" spans="1:60" s="40" customFormat="1" x14ac:dyDescent="0.2">
      <c r="A96" s="534"/>
      <c r="B96" s="534"/>
      <c r="C96" s="534"/>
      <c r="D96" s="534"/>
      <c r="E96" s="534"/>
      <c r="F96" s="534"/>
      <c r="G96" s="534"/>
      <c r="H96" s="534"/>
      <c r="I96" s="534"/>
      <c r="J96" s="534"/>
      <c r="K96" s="534"/>
      <c r="L96" s="534"/>
      <c r="M96" s="534"/>
      <c r="N96" s="534"/>
      <c r="O96" s="534"/>
      <c r="P96" s="534"/>
      <c r="Q96" s="534"/>
      <c r="R96" s="534"/>
      <c r="S96" s="534"/>
      <c r="T96" s="534"/>
      <c r="U96" s="534"/>
      <c r="V96" s="534"/>
      <c r="W96" s="534"/>
      <c r="X96" s="534"/>
      <c r="Y96" s="534"/>
      <c r="Z96" s="534"/>
      <c r="AA96" s="534"/>
      <c r="AB96" s="534"/>
      <c r="AC96" s="534"/>
      <c r="AD96" s="534"/>
      <c r="AE96" s="569"/>
      <c r="AF96" s="569"/>
      <c r="AG96" s="569"/>
      <c r="AH96" s="569"/>
      <c r="AI96" s="569"/>
      <c r="AJ96" s="569"/>
      <c r="AK96" s="569"/>
      <c r="AL96" s="569"/>
      <c r="AM96" s="534"/>
      <c r="AN96" s="534"/>
      <c r="AO96" s="534"/>
      <c r="AP96" s="534"/>
      <c r="AQ96" s="534"/>
      <c r="AR96" s="534"/>
      <c r="AS96" s="534"/>
      <c r="AT96" s="534"/>
      <c r="AU96" s="534"/>
      <c r="AV96" s="534"/>
      <c r="AW96" s="534"/>
      <c r="AX96" s="534"/>
      <c r="AY96" s="534"/>
      <c r="AZ96" s="534"/>
      <c r="BA96" s="534"/>
      <c r="BB96" s="534"/>
      <c r="BC96" s="534"/>
      <c r="BD96" s="534"/>
      <c r="BE96" s="534"/>
      <c r="BF96" s="534"/>
      <c r="BG96" s="534"/>
      <c r="BH96" s="534"/>
    </row>
    <row r="97" spans="1:60" s="40" customFormat="1" x14ac:dyDescent="0.2">
      <c r="A97" s="534"/>
      <c r="B97" s="534"/>
      <c r="C97" s="534"/>
      <c r="D97" s="534"/>
      <c r="E97" s="534"/>
      <c r="F97" s="534"/>
      <c r="G97" s="534"/>
      <c r="H97" s="534"/>
      <c r="I97" s="534"/>
      <c r="J97" s="534"/>
      <c r="K97" s="534"/>
      <c r="L97" s="534"/>
      <c r="M97" s="534"/>
      <c r="N97" s="534"/>
      <c r="O97" s="534"/>
      <c r="P97" s="534"/>
      <c r="Q97" s="534"/>
      <c r="R97" s="534"/>
      <c r="S97" s="534"/>
      <c r="T97" s="534"/>
      <c r="U97" s="534"/>
      <c r="V97" s="534"/>
      <c r="W97" s="534"/>
      <c r="X97" s="534"/>
      <c r="Y97" s="534"/>
      <c r="Z97" s="534"/>
      <c r="AA97" s="534"/>
      <c r="AB97" s="534"/>
      <c r="AC97" s="534"/>
      <c r="AD97" s="534"/>
      <c r="AE97" s="569"/>
      <c r="AF97" s="569"/>
      <c r="AG97" s="569"/>
      <c r="AH97" s="569"/>
      <c r="AI97" s="569"/>
      <c r="AJ97" s="569"/>
      <c r="AK97" s="569"/>
      <c r="AL97" s="569"/>
      <c r="AM97" s="534"/>
      <c r="AN97" s="534"/>
      <c r="AO97" s="534"/>
      <c r="AP97" s="534"/>
      <c r="AQ97" s="534"/>
      <c r="AR97" s="534"/>
      <c r="AS97" s="534"/>
      <c r="AT97" s="534"/>
      <c r="AU97" s="534"/>
      <c r="AV97" s="534"/>
      <c r="AW97" s="534"/>
      <c r="AX97" s="534"/>
      <c r="AY97" s="534"/>
      <c r="AZ97" s="534"/>
      <c r="BA97" s="534"/>
      <c r="BB97" s="534"/>
      <c r="BC97" s="534"/>
      <c r="BD97" s="534"/>
      <c r="BE97" s="534"/>
      <c r="BF97" s="534"/>
      <c r="BG97" s="534"/>
      <c r="BH97" s="534"/>
    </row>
    <row r="98" spans="1:60" s="40" customFormat="1" x14ac:dyDescent="0.2">
      <c r="A98" s="534"/>
      <c r="B98" s="534"/>
      <c r="C98" s="534"/>
      <c r="D98" s="534"/>
      <c r="E98" s="534"/>
      <c r="F98" s="534"/>
      <c r="G98" s="534"/>
      <c r="H98" s="534"/>
      <c r="I98" s="534"/>
      <c r="J98" s="534"/>
      <c r="K98" s="534"/>
      <c r="L98" s="534"/>
      <c r="M98" s="534"/>
      <c r="N98" s="534"/>
      <c r="O98" s="534"/>
      <c r="P98" s="534"/>
      <c r="Q98" s="534"/>
      <c r="R98" s="534"/>
      <c r="S98" s="534"/>
      <c r="T98" s="534"/>
      <c r="U98" s="534"/>
      <c r="V98" s="534"/>
      <c r="W98" s="534"/>
      <c r="X98" s="534"/>
      <c r="Y98" s="534"/>
      <c r="Z98" s="534"/>
      <c r="AA98" s="534"/>
      <c r="AB98" s="534"/>
      <c r="AC98" s="534"/>
      <c r="AD98" s="534"/>
      <c r="AE98" s="569"/>
      <c r="AF98" s="569"/>
      <c r="AG98" s="569"/>
      <c r="AH98" s="569"/>
      <c r="AI98" s="569"/>
      <c r="AJ98" s="569"/>
      <c r="AK98" s="569"/>
      <c r="AL98" s="569"/>
      <c r="AM98" s="534"/>
      <c r="AN98" s="534"/>
      <c r="AO98" s="534"/>
      <c r="AP98" s="534"/>
      <c r="AQ98" s="534"/>
      <c r="AR98" s="534"/>
      <c r="AS98" s="534"/>
      <c r="AT98" s="534"/>
      <c r="AU98" s="534"/>
      <c r="AV98" s="534"/>
      <c r="AW98" s="534"/>
      <c r="AX98" s="534"/>
      <c r="AY98" s="534"/>
      <c r="AZ98" s="534"/>
      <c r="BA98" s="534"/>
      <c r="BB98" s="534"/>
      <c r="BC98" s="534"/>
      <c r="BD98" s="534"/>
      <c r="BE98" s="534"/>
      <c r="BF98" s="534"/>
      <c r="BG98" s="534"/>
      <c r="BH98" s="534"/>
    </row>
    <row r="99" spans="1:60" s="40" customFormat="1" x14ac:dyDescent="0.2">
      <c r="A99" s="534"/>
      <c r="B99" s="534"/>
      <c r="C99" s="534"/>
      <c r="D99" s="534"/>
      <c r="E99" s="534"/>
      <c r="F99" s="534"/>
      <c r="G99" s="534"/>
      <c r="H99" s="534"/>
      <c r="I99" s="534"/>
      <c r="J99" s="534"/>
      <c r="K99" s="534"/>
      <c r="L99" s="534"/>
      <c r="M99" s="534"/>
      <c r="N99" s="534"/>
      <c r="O99" s="534"/>
      <c r="P99" s="534"/>
      <c r="Q99" s="534"/>
      <c r="R99" s="534"/>
      <c r="S99" s="534"/>
      <c r="T99" s="534"/>
      <c r="U99" s="534"/>
      <c r="V99" s="534"/>
      <c r="W99" s="534"/>
      <c r="X99" s="534"/>
      <c r="Y99" s="534"/>
      <c r="Z99" s="534"/>
      <c r="AA99" s="534"/>
      <c r="AB99" s="534"/>
      <c r="AC99" s="534"/>
      <c r="AD99" s="534"/>
      <c r="AE99" s="569"/>
      <c r="AF99" s="569"/>
      <c r="AG99" s="569"/>
      <c r="AH99" s="569"/>
      <c r="AI99" s="569"/>
      <c r="AJ99" s="569"/>
      <c r="AK99" s="569"/>
      <c r="AL99" s="569"/>
      <c r="AM99" s="534"/>
      <c r="AN99" s="534"/>
      <c r="AO99" s="534"/>
      <c r="AP99" s="534"/>
      <c r="AQ99" s="534"/>
      <c r="AR99" s="534"/>
      <c r="AS99" s="534"/>
      <c r="AT99" s="534"/>
      <c r="AU99" s="534"/>
      <c r="AV99" s="534"/>
      <c r="AW99" s="534"/>
      <c r="AX99" s="534"/>
      <c r="AY99" s="534"/>
      <c r="AZ99" s="534"/>
      <c r="BA99" s="534"/>
      <c r="BB99" s="534"/>
      <c r="BC99" s="534"/>
      <c r="BD99" s="534"/>
      <c r="BE99" s="534"/>
      <c r="BF99" s="534"/>
      <c r="BG99" s="534"/>
      <c r="BH99" s="534"/>
    </row>
    <row r="100" spans="1:60" s="40" customFormat="1" x14ac:dyDescent="0.2">
      <c r="A100" s="534"/>
      <c r="B100" s="534"/>
      <c r="C100" s="534"/>
      <c r="D100" s="534"/>
      <c r="E100" s="534"/>
      <c r="F100" s="534"/>
      <c r="G100" s="534"/>
      <c r="H100" s="534"/>
      <c r="I100" s="534"/>
      <c r="J100" s="534"/>
      <c r="K100" s="534"/>
      <c r="L100" s="534"/>
      <c r="M100" s="534"/>
      <c r="N100" s="534"/>
      <c r="O100" s="534"/>
      <c r="P100" s="534"/>
      <c r="Q100" s="534"/>
      <c r="R100" s="534"/>
      <c r="S100" s="534"/>
      <c r="T100" s="534"/>
      <c r="U100" s="534"/>
      <c r="V100" s="534"/>
      <c r="W100" s="534"/>
      <c r="X100" s="534"/>
      <c r="Y100" s="534"/>
      <c r="Z100" s="534"/>
      <c r="AA100" s="534"/>
      <c r="AB100" s="534"/>
      <c r="AC100" s="534"/>
      <c r="AD100" s="534"/>
      <c r="AE100" s="569"/>
      <c r="AF100" s="569"/>
      <c r="AG100" s="569"/>
      <c r="AH100" s="569"/>
      <c r="AI100" s="569"/>
      <c r="AJ100" s="569"/>
      <c r="AK100" s="569"/>
      <c r="AL100" s="569"/>
      <c r="AM100" s="534"/>
      <c r="AN100" s="534"/>
      <c r="AO100" s="534"/>
      <c r="AP100" s="534"/>
      <c r="AQ100" s="534"/>
      <c r="AR100" s="534"/>
      <c r="AS100" s="534"/>
      <c r="AT100" s="534"/>
      <c r="AU100" s="534"/>
      <c r="AV100" s="534"/>
      <c r="AW100" s="534"/>
      <c r="AX100" s="534"/>
      <c r="AY100" s="534"/>
      <c r="AZ100" s="534"/>
      <c r="BA100" s="534"/>
      <c r="BB100" s="534"/>
      <c r="BC100" s="534"/>
      <c r="BD100" s="534"/>
      <c r="BE100" s="534"/>
      <c r="BF100" s="534"/>
      <c r="BG100" s="534"/>
      <c r="BH100" s="534"/>
    </row>
    <row r="101" spans="1:60" s="40" customFormat="1" x14ac:dyDescent="0.2">
      <c r="A101" s="534"/>
      <c r="B101" s="534"/>
      <c r="C101" s="534"/>
      <c r="D101" s="534"/>
      <c r="E101" s="534"/>
      <c r="F101" s="534"/>
      <c r="G101" s="534"/>
      <c r="H101" s="534"/>
      <c r="I101" s="534"/>
      <c r="J101" s="534"/>
      <c r="K101" s="534"/>
      <c r="L101" s="534"/>
      <c r="M101" s="534"/>
      <c r="N101" s="534"/>
      <c r="O101" s="534"/>
      <c r="P101" s="534"/>
      <c r="Q101" s="534"/>
      <c r="R101" s="534"/>
      <c r="S101" s="534"/>
      <c r="T101" s="534"/>
      <c r="U101" s="534"/>
      <c r="V101" s="534"/>
      <c r="W101" s="534"/>
      <c r="X101" s="534"/>
      <c r="Y101" s="534"/>
      <c r="Z101" s="534"/>
      <c r="AA101" s="534"/>
      <c r="AB101" s="534"/>
      <c r="AC101" s="534"/>
      <c r="AD101" s="534"/>
      <c r="AE101" s="569"/>
      <c r="AF101" s="569"/>
      <c r="AG101" s="569"/>
      <c r="AH101" s="569"/>
      <c r="AI101" s="569"/>
      <c r="AJ101" s="569"/>
      <c r="AK101" s="569"/>
      <c r="AL101" s="569"/>
      <c r="AM101" s="534"/>
      <c r="AN101" s="534"/>
      <c r="AO101" s="534"/>
      <c r="AP101" s="534"/>
      <c r="AQ101" s="534"/>
      <c r="AR101" s="534"/>
      <c r="AS101" s="534"/>
      <c r="AT101" s="534"/>
      <c r="AU101" s="534"/>
      <c r="AV101" s="534"/>
      <c r="AW101" s="534"/>
      <c r="AX101" s="534"/>
      <c r="AY101" s="534"/>
      <c r="AZ101" s="534"/>
      <c r="BA101" s="534"/>
      <c r="BB101" s="534"/>
      <c r="BC101" s="534"/>
      <c r="BD101" s="534"/>
      <c r="BE101" s="534"/>
      <c r="BF101" s="534"/>
      <c r="BG101" s="534"/>
      <c r="BH101" s="534"/>
    </row>
    <row r="102" spans="1:60" s="40" customFormat="1" x14ac:dyDescent="0.2">
      <c r="A102" s="534"/>
      <c r="B102" s="534"/>
      <c r="C102" s="534"/>
      <c r="D102" s="534"/>
      <c r="E102" s="534"/>
      <c r="F102" s="534"/>
      <c r="G102" s="534"/>
      <c r="H102" s="534"/>
      <c r="I102" s="534"/>
      <c r="J102" s="534"/>
      <c r="K102" s="534"/>
      <c r="L102" s="534"/>
      <c r="M102" s="534"/>
      <c r="N102" s="534"/>
      <c r="O102" s="534"/>
      <c r="P102" s="534"/>
      <c r="Q102" s="534"/>
      <c r="R102" s="534"/>
      <c r="S102" s="534"/>
      <c r="T102" s="534"/>
      <c r="U102" s="534"/>
      <c r="V102" s="534"/>
      <c r="W102" s="534"/>
      <c r="X102" s="534"/>
      <c r="Y102" s="534"/>
      <c r="Z102" s="534"/>
      <c r="AA102" s="534"/>
      <c r="AB102" s="534"/>
      <c r="AC102" s="534"/>
      <c r="AD102" s="534"/>
      <c r="AE102" s="569"/>
      <c r="AF102" s="569"/>
      <c r="AG102" s="569"/>
      <c r="AH102" s="569"/>
      <c r="AI102" s="569"/>
      <c r="AJ102" s="569"/>
      <c r="AK102" s="569"/>
      <c r="AL102" s="569"/>
      <c r="AM102" s="534"/>
      <c r="AN102" s="534"/>
      <c r="AO102" s="534"/>
      <c r="AP102" s="534"/>
      <c r="AQ102" s="534"/>
      <c r="AR102" s="534"/>
      <c r="AS102" s="534"/>
      <c r="AT102" s="534"/>
      <c r="AU102" s="534"/>
      <c r="AV102" s="534"/>
      <c r="AW102" s="534"/>
      <c r="AX102" s="534"/>
      <c r="AY102" s="534"/>
      <c r="AZ102" s="534"/>
      <c r="BA102" s="534"/>
      <c r="BB102" s="534"/>
      <c r="BC102" s="534"/>
      <c r="BD102" s="534"/>
      <c r="BE102" s="534"/>
      <c r="BF102" s="534"/>
      <c r="BG102" s="534"/>
      <c r="BH102" s="534"/>
    </row>
    <row r="103" spans="1:60" s="40" customFormat="1" x14ac:dyDescent="0.2">
      <c r="A103" s="534"/>
      <c r="B103" s="534"/>
      <c r="C103" s="534"/>
      <c r="D103" s="534"/>
      <c r="E103" s="534"/>
      <c r="F103" s="534"/>
      <c r="G103" s="534"/>
      <c r="H103" s="534"/>
      <c r="I103" s="534"/>
      <c r="J103" s="534"/>
      <c r="K103" s="534"/>
      <c r="L103" s="534"/>
      <c r="M103" s="534"/>
      <c r="N103" s="534"/>
      <c r="O103" s="534"/>
      <c r="P103" s="534"/>
      <c r="Q103" s="534"/>
      <c r="R103" s="534"/>
      <c r="S103" s="534"/>
      <c r="T103" s="534"/>
      <c r="U103" s="534"/>
      <c r="V103" s="534"/>
      <c r="W103" s="534"/>
      <c r="X103" s="534"/>
      <c r="Y103" s="534"/>
      <c r="Z103" s="534"/>
      <c r="AA103" s="534"/>
      <c r="AB103" s="534"/>
      <c r="AC103" s="534"/>
      <c r="AD103" s="534"/>
      <c r="AE103" s="569"/>
      <c r="AF103" s="569"/>
      <c r="AG103" s="569"/>
      <c r="AH103" s="569"/>
      <c r="AI103" s="569"/>
      <c r="AJ103" s="569"/>
      <c r="AK103" s="569"/>
      <c r="AL103" s="569"/>
      <c r="AM103" s="534"/>
      <c r="AN103" s="534"/>
      <c r="AO103" s="534"/>
      <c r="AP103" s="534"/>
      <c r="AQ103" s="534"/>
      <c r="AR103" s="534"/>
      <c r="AS103" s="534"/>
      <c r="AT103" s="534"/>
      <c r="AU103" s="534"/>
      <c r="AV103" s="534"/>
      <c r="AW103" s="534"/>
      <c r="AX103" s="534"/>
      <c r="AY103" s="534"/>
      <c r="AZ103" s="534"/>
      <c r="BA103" s="534"/>
      <c r="BB103" s="534"/>
      <c r="BC103" s="534"/>
      <c r="BD103" s="534"/>
      <c r="BE103" s="534"/>
      <c r="BF103" s="534"/>
      <c r="BG103" s="534"/>
      <c r="BH103" s="534"/>
    </row>
    <row r="104" spans="1:60" s="40" customFormat="1" x14ac:dyDescent="0.2">
      <c r="A104" s="534"/>
      <c r="B104" s="534"/>
      <c r="C104" s="534"/>
      <c r="D104" s="534"/>
      <c r="E104" s="534"/>
      <c r="F104" s="534"/>
      <c r="G104" s="534"/>
      <c r="H104" s="534"/>
      <c r="I104" s="534"/>
      <c r="J104" s="534"/>
      <c r="K104" s="534"/>
      <c r="L104" s="534"/>
      <c r="M104" s="534"/>
      <c r="N104" s="534"/>
      <c r="O104" s="534"/>
      <c r="P104" s="534"/>
      <c r="Q104" s="534"/>
      <c r="R104" s="534"/>
      <c r="S104" s="534"/>
      <c r="T104" s="534"/>
      <c r="U104" s="534"/>
      <c r="V104" s="534"/>
      <c r="W104" s="534"/>
      <c r="X104" s="534"/>
      <c r="Y104" s="534"/>
      <c r="Z104" s="534"/>
      <c r="AA104" s="534"/>
      <c r="AB104" s="534"/>
      <c r="AC104" s="534"/>
      <c r="AD104" s="534"/>
      <c r="AE104" s="569"/>
      <c r="AF104" s="569"/>
      <c r="AG104" s="569"/>
      <c r="AH104" s="569"/>
      <c r="AI104" s="569"/>
      <c r="AJ104" s="569"/>
      <c r="AK104" s="569"/>
      <c r="AL104" s="569"/>
      <c r="AM104" s="534"/>
      <c r="AN104" s="534"/>
      <c r="AO104" s="534"/>
      <c r="AP104" s="534"/>
      <c r="AQ104" s="534"/>
      <c r="AR104" s="534"/>
      <c r="AS104" s="534"/>
      <c r="AT104" s="534"/>
      <c r="AU104" s="534"/>
      <c r="AV104" s="534"/>
      <c r="AW104" s="534"/>
      <c r="AX104" s="534"/>
      <c r="AY104" s="534"/>
      <c r="AZ104" s="534"/>
      <c r="BA104" s="534"/>
      <c r="BB104" s="534"/>
      <c r="BC104" s="534"/>
      <c r="BD104" s="534"/>
      <c r="BE104" s="534"/>
      <c r="BF104" s="534"/>
      <c r="BG104" s="534"/>
      <c r="BH104" s="534"/>
    </row>
    <row r="105" spans="1:60" s="40" customFormat="1" x14ac:dyDescent="0.2">
      <c r="A105" s="534"/>
      <c r="B105" s="534"/>
      <c r="C105" s="534"/>
      <c r="D105" s="534"/>
      <c r="E105" s="534"/>
      <c r="F105" s="534"/>
      <c r="G105" s="534"/>
      <c r="H105" s="534"/>
      <c r="I105" s="534"/>
      <c r="J105" s="534"/>
      <c r="K105" s="534"/>
      <c r="L105" s="534"/>
      <c r="M105" s="534"/>
      <c r="N105" s="534"/>
      <c r="O105" s="534"/>
      <c r="P105" s="534"/>
      <c r="Q105" s="534"/>
      <c r="R105" s="534"/>
      <c r="S105" s="534"/>
      <c r="T105" s="534"/>
      <c r="U105" s="534"/>
      <c r="V105" s="534"/>
      <c r="W105" s="534"/>
      <c r="X105" s="534"/>
      <c r="Y105" s="534"/>
      <c r="Z105" s="534"/>
      <c r="AA105" s="534"/>
      <c r="AB105" s="534"/>
      <c r="AC105" s="534"/>
      <c r="AD105" s="534"/>
      <c r="AE105" s="569"/>
      <c r="AF105" s="569"/>
      <c r="AG105" s="569"/>
      <c r="AH105" s="569"/>
      <c r="AI105" s="569"/>
      <c r="AJ105" s="569"/>
      <c r="AK105" s="569"/>
      <c r="AL105" s="569"/>
      <c r="AM105" s="534"/>
      <c r="AN105" s="534"/>
      <c r="AO105" s="534"/>
      <c r="AP105" s="534"/>
      <c r="AQ105" s="534"/>
      <c r="AR105" s="534"/>
      <c r="AS105" s="534"/>
      <c r="AT105" s="534"/>
      <c r="AU105" s="534"/>
      <c r="AV105" s="534"/>
      <c r="AW105" s="534"/>
      <c r="AX105" s="534"/>
      <c r="AY105" s="534"/>
      <c r="AZ105" s="534"/>
      <c r="BA105" s="534"/>
      <c r="BB105" s="534"/>
      <c r="BC105" s="534"/>
      <c r="BD105" s="534"/>
      <c r="BE105" s="534"/>
      <c r="BF105" s="534"/>
      <c r="BG105" s="534"/>
      <c r="BH105" s="534"/>
    </row>
    <row r="106" spans="1:60" s="40" customFormat="1" x14ac:dyDescent="0.2">
      <c r="A106" s="534"/>
      <c r="B106" s="534"/>
      <c r="C106" s="534"/>
      <c r="D106" s="534"/>
      <c r="E106" s="534"/>
      <c r="F106" s="534"/>
      <c r="G106" s="534"/>
      <c r="H106" s="534"/>
      <c r="I106" s="534"/>
      <c r="J106" s="534"/>
      <c r="K106" s="534"/>
      <c r="L106" s="534"/>
      <c r="M106" s="534"/>
      <c r="N106" s="534"/>
      <c r="O106" s="534"/>
      <c r="P106" s="534"/>
      <c r="Q106" s="534"/>
      <c r="R106" s="534"/>
      <c r="S106" s="534"/>
      <c r="T106" s="534"/>
      <c r="U106" s="534"/>
      <c r="V106" s="534"/>
      <c r="W106" s="534"/>
      <c r="X106" s="534"/>
      <c r="Y106" s="534"/>
      <c r="Z106" s="534"/>
      <c r="AA106" s="534"/>
      <c r="AB106" s="534"/>
      <c r="AC106" s="534"/>
      <c r="AD106" s="534"/>
      <c r="AE106" s="569"/>
      <c r="AF106" s="569"/>
      <c r="AG106" s="569"/>
      <c r="AH106" s="569"/>
      <c r="AI106" s="569"/>
      <c r="AJ106" s="569"/>
      <c r="AK106" s="569"/>
      <c r="AL106" s="569"/>
      <c r="AM106" s="534"/>
      <c r="AN106" s="534"/>
      <c r="AO106" s="534"/>
      <c r="AP106" s="534"/>
      <c r="AQ106" s="534"/>
      <c r="AR106" s="534"/>
      <c r="AS106" s="534"/>
      <c r="AT106" s="534"/>
      <c r="AU106" s="534"/>
      <c r="AV106" s="534"/>
      <c r="AW106" s="534"/>
      <c r="AX106" s="534"/>
      <c r="AY106" s="534"/>
      <c r="AZ106" s="534"/>
      <c r="BA106" s="534"/>
      <c r="BB106" s="534"/>
      <c r="BC106" s="534"/>
      <c r="BD106" s="534"/>
      <c r="BE106" s="534"/>
      <c r="BF106" s="534"/>
      <c r="BG106" s="534"/>
      <c r="BH106" s="534"/>
    </row>
    <row r="107" spans="1:60" s="40" customFormat="1" x14ac:dyDescent="0.2">
      <c r="A107" s="534"/>
      <c r="B107" s="534"/>
      <c r="C107" s="534"/>
      <c r="D107" s="534"/>
      <c r="E107" s="534"/>
      <c r="F107" s="534"/>
      <c r="G107" s="534"/>
      <c r="H107" s="534"/>
      <c r="I107" s="534"/>
      <c r="J107" s="534"/>
      <c r="K107" s="534"/>
      <c r="L107" s="534"/>
      <c r="M107" s="534"/>
      <c r="N107" s="534"/>
      <c r="O107" s="534"/>
      <c r="P107" s="534"/>
      <c r="Q107" s="534"/>
      <c r="R107" s="534"/>
      <c r="S107" s="534"/>
      <c r="T107" s="534"/>
      <c r="U107" s="534"/>
      <c r="V107" s="534"/>
      <c r="W107" s="534"/>
      <c r="X107" s="534"/>
      <c r="Y107" s="534"/>
      <c r="Z107" s="534"/>
      <c r="AA107" s="534"/>
      <c r="AB107" s="534"/>
      <c r="AC107" s="534"/>
      <c r="AD107" s="534"/>
      <c r="AE107" s="569"/>
      <c r="AF107" s="569"/>
      <c r="AG107" s="569"/>
      <c r="AH107" s="569"/>
      <c r="AI107" s="569"/>
      <c r="AJ107" s="569"/>
      <c r="AK107" s="569"/>
      <c r="AL107" s="569"/>
      <c r="AM107" s="534"/>
      <c r="AN107" s="534"/>
      <c r="AO107" s="534"/>
      <c r="AP107" s="534"/>
      <c r="AQ107" s="534"/>
      <c r="AR107" s="534"/>
      <c r="AS107" s="534"/>
      <c r="AT107" s="534"/>
      <c r="AU107" s="534"/>
      <c r="AV107" s="534"/>
      <c r="AW107" s="534"/>
      <c r="AX107" s="534"/>
      <c r="AY107" s="534"/>
      <c r="AZ107" s="534"/>
      <c r="BA107" s="534"/>
      <c r="BB107" s="534"/>
      <c r="BC107" s="534"/>
      <c r="BD107" s="534"/>
      <c r="BE107" s="534"/>
      <c r="BF107" s="534"/>
      <c r="BG107" s="534"/>
      <c r="BH107" s="534"/>
    </row>
    <row r="108" spans="1:60" s="40" customFormat="1" x14ac:dyDescent="0.2">
      <c r="A108" s="534"/>
      <c r="B108" s="534"/>
      <c r="C108" s="534"/>
      <c r="D108" s="534"/>
      <c r="E108" s="534"/>
      <c r="F108" s="534"/>
      <c r="G108" s="534"/>
      <c r="H108" s="534"/>
      <c r="I108" s="534"/>
      <c r="J108" s="534"/>
      <c r="K108" s="534"/>
      <c r="L108" s="534"/>
      <c r="M108" s="534"/>
      <c r="N108" s="534"/>
      <c r="O108" s="534"/>
      <c r="P108" s="534"/>
      <c r="Q108" s="534"/>
      <c r="R108" s="534"/>
      <c r="S108" s="534"/>
      <c r="T108" s="534"/>
      <c r="U108" s="534"/>
      <c r="V108" s="534"/>
      <c r="W108" s="534"/>
      <c r="X108" s="534"/>
      <c r="Y108" s="534"/>
      <c r="Z108" s="534"/>
      <c r="AA108" s="534"/>
      <c r="AB108" s="534"/>
      <c r="AC108" s="534"/>
      <c r="AD108" s="534"/>
      <c r="AE108" s="569"/>
      <c r="AF108" s="569"/>
      <c r="AG108" s="569"/>
      <c r="AH108" s="569"/>
      <c r="AI108" s="569"/>
      <c r="AJ108" s="569"/>
      <c r="AK108" s="569"/>
      <c r="AL108" s="569"/>
      <c r="AM108" s="534"/>
      <c r="AN108" s="534"/>
      <c r="AO108" s="534"/>
      <c r="AP108" s="534"/>
      <c r="AQ108" s="534"/>
      <c r="AR108" s="534"/>
      <c r="AS108" s="534"/>
      <c r="AT108" s="534"/>
      <c r="AU108" s="534"/>
      <c r="AV108" s="534"/>
      <c r="AW108" s="534"/>
      <c r="AX108" s="534"/>
      <c r="AY108" s="534"/>
      <c r="AZ108" s="534"/>
      <c r="BA108" s="534"/>
      <c r="BB108" s="534"/>
      <c r="BC108" s="534"/>
      <c r="BD108" s="534"/>
      <c r="BE108" s="534"/>
      <c r="BF108" s="534"/>
      <c r="BG108" s="534"/>
      <c r="BH108" s="534"/>
    </row>
    <row r="109" spans="1:60" s="40" customFormat="1" x14ac:dyDescent="0.2">
      <c r="A109" s="534"/>
      <c r="B109" s="534"/>
      <c r="C109" s="534"/>
      <c r="D109" s="534"/>
      <c r="E109" s="534"/>
      <c r="F109" s="534"/>
      <c r="G109" s="534"/>
      <c r="H109" s="534"/>
      <c r="I109" s="534"/>
      <c r="J109" s="534"/>
      <c r="K109" s="534"/>
      <c r="L109" s="534"/>
      <c r="M109" s="534"/>
      <c r="N109" s="534"/>
      <c r="O109" s="534"/>
      <c r="P109" s="534"/>
      <c r="Q109" s="534"/>
      <c r="R109" s="534"/>
      <c r="S109" s="534"/>
      <c r="T109" s="534"/>
      <c r="U109" s="534"/>
      <c r="V109" s="534"/>
      <c r="W109" s="534"/>
      <c r="X109" s="534"/>
      <c r="Y109" s="534"/>
      <c r="Z109" s="534"/>
      <c r="AA109" s="534"/>
      <c r="AB109" s="534"/>
      <c r="AC109" s="534"/>
      <c r="AD109" s="534"/>
      <c r="AE109" s="569"/>
      <c r="AF109" s="569"/>
      <c r="AG109" s="569"/>
      <c r="AH109" s="569"/>
      <c r="AI109" s="569"/>
      <c r="AJ109" s="569"/>
      <c r="AK109" s="569"/>
      <c r="AL109" s="569"/>
      <c r="AM109" s="534"/>
      <c r="AN109" s="534"/>
      <c r="AO109" s="534"/>
      <c r="AP109" s="534"/>
      <c r="AQ109" s="534"/>
      <c r="AR109" s="534"/>
      <c r="AS109" s="534"/>
      <c r="AT109" s="534"/>
      <c r="AU109" s="534"/>
      <c r="AV109" s="534"/>
      <c r="AW109" s="534"/>
      <c r="AX109" s="534"/>
      <c r="AY109" s="534"/>
      <c r="AZ109" s="534"/>
      <c r="BA109" s="534"/>
      <c r="BB109" s="534"/>
      <c r="BC109" s="534"/>
      <c r="BD109" s="534"/>
      <c r="BE109" s="534"/>
      <c r="BF109" s="534"/>
      <c r="BG109" s="534"/>
      <c r="BH109" s="534"/>
    </row>
    <row r="110" spans="1:60" s="40" customFormat="1" x14ac:dyDescent="0.2">
      <c r="A110" s="534"/>
      <c r="B110" s="534"/>
      <c r="C110" s="534"/>
      <c r="D110" s="534"/>
      <c r="E110" s="534"/>
      <c r="F110" s="534"/>
      <c r="G110" s="534"/>
      <c r="H110" s="534"/>
      <c r="I110" s="534"/>
      <c r="J110" s="534"/>
      <c r="K110" s="534"/>
      <c r="L110" s="534"/>
      <c r="M110" s="534"/>
      <c r="N110" s="534"/>
      <c r="O110" s="534"/>
      <c r="P110" s="534"/>
      <c r="Q110" s="534"/>
      <c r="R110" s="534"/>
      <c r="S110" s="534"/>
      <c r="T110" s="534"/>
      <c r="U110" s="534"/>
      <c r="V110" s="534"/>
      <c r="W110" s="534"/>
      <c r="X110" s="534"/>
      <c r="Y110" s="534"/>
      <c r="Z110" s="534"/>
      <c r="AA110" s="534"/>
      <c r="AB110" s="534"/>
      <c r="AC110" s="534"/>
      <c r="AD110" s="534"/>
      <c r="AE110" s="569"/>
      <c r="AF110" s="569"/>
      <c r="AG110" s="569"/>
      <c r="AH110" s="569"/>
      <c r="AI110" s="569"/>
      <c r="AJ110" s="569"/>
      <c r="AK110" s="569"/>
      <c r="AL110" s="569"/>
      <c r="AM110" s="534"/>
      <c r="AN110" s="534"/>
      <c r="AO110" s="534"/>
      <c r="AP110" s="534"/>
      <c r="AQ110" s="534"/>
      <c r="AR110" s="534"/>
      <c r="AS110" s="534"/>
      <c r="AT110" s="534"/>
      <c r="AU110" s="534"/>
      <c r="AV110" s="534"/>
      <c r="AW110" s="534"/>
      <c r="AX110" s="534"/>
      <c r="AY110" s="534"/>
      <c r="AZ110" s="534"/>
      <c r="BA110" s="534"/>
      <c r="BB110" s="534"/>
      <c r="BC110" s="534"/>
      <c r="BD110" s="534"/>
      <c r="BE110" s="534"/>
      <c r="BF110" s="534"/>
      <c r="BG110" s="534"/>
      <c r="BH110" s="534"/>
    </row>
    <row r="111" spans="1:60" s="40" customFormat="1" x14ac:dyDescent="0.2">
      <c r="A111" s="534"/>
      <c r="B111" s="534"/>
      <c r="C111" s="534"/>
      <c r="D111" s="534"/>
      <c r="E111" s="534"/>
      <c r="F111" s="534"/>
      <c r="G111" s="534"/>
      <c r="H111" s="534"/>
      <c r="I111" s="534"/>
      <c r="J111" s="534"/>
      <c r="K111" s="534"/>
      <c r="L111" s="534"/>
      <c r="M111" s="534"/>
      <c r="N111" s="534"/>
      <c r="O111" s="534"/>
      <c r="P111" s="534"/>
      <c r="Q111" s="534"/>
      <c r="R111" s="534"/>
      <c r="S111" s="534"/>
      <c r="T111" s="534"/>
      <c r="U111" s="534"/>
      <c r="V111" s="534"/>
      <c r="W111" s="534"/>
      <c r="X111" s="534"/>
      <c r="Y111" s="534"/>
      <c r="Z111" s="534"/>
      <c r="AA111" s="534"/>
      <c r="AB111" s="534"/>
      <c r="AC111" s="534"/>
      <c r="AD111" s="534"/>
      <c r="AE111" s="569"/>
      <c r="AF111" s="569"/>
      <c r="AG111" s="569"/>
      <c r="AH111" s="569"/>
      <c r="AI111" s="569"/>
      <c r="AJ111" s="569"/>
      <c r="AK111" s="569"/>
      <c r="AL111" s="569"/>
      <c r="AM111" s="534"/>
      <c r="AN111" s="534"/>
      <c r="AO111" s="534"/>
      <c r="AP111" s="534"/>
      <c r="AQ111" s="534"/>
      <c r="AR111" s="534"/>
      <c r="AS111" s="534"/>
      <c r="AT111" s="534"/>
      <c r="AU111" s="534"/>
      <c r="AV111" s="534"/>
      <c r="AW111" s="534"/>
      <c r="AX111" s="534"/>
      <c r="AY111" s="534"/>
      <c r="AZ111" s="534"/>
      <c r="BA111" s="534"/>
      <c r="BB111" s="534"/>
      <c r="BC111" s="534"/>
      <c r="BD111" s="534"/>
      <c r="BE111" s="534"/>
      <c r="BF111" s="534"/>
      <c r="BG111" s="534"/>
      <c r="BH111" s="534"/>
    </row>
    <row r="112" spans="1:60" s="40" customFormat="1" x14ac:dyDescent="0.2">
      <c r="A112" s="534"/>
      <c r="B112" s="534"/>
      <c r="C112" s="534"/>
      <c r="D112" s="534"/>
      <c r="E112" s="534"/>
      <c r="F112" s="534"/>
      <c r="G112" s="534"/>
      <c r="H112" s="534"/>
      <c r="I112" s="534"/>
      <c r="J112" s="534"/>
      <c r="K112" s="534"/>
      <c r="L112" s="534"/>
      <c r="M112" s="534"/>
      <c r="N112" s="534"/>
      <c r="O112" s="534"/>
      <c r="P112" s="534"/>
      <c r="Q112" s="534"/>
      <c r="R112" s="534"/>
      <c r="S112" s="534"/>
      <c r="T112" s="534"/>
      <c r="U112" s="534"/>
      <c r="V112" s="534"/>
      <c r="W112" s="534"/>
      <c r="X112" s="534"/>
      <c r="Y112" s="534"/>
      <c r="Z112" s="534"/>
      <c r="AA112" s="534"/>
      <c r="AB112" s="534"/>
      <c r="AC112" s="534"/>
      <c r="AD112" s="534"/>
      <c r="AE112" s="569"/>
      <c r="AF112" s="569"/>
      <c r="AG112" s="569"/>
      <c r="AH112" s="569"/>
      <c r="AI112" s="569"/>
      <c r="AJ112" s="569"/>
      <c r="AK112" s="569"/>
      <c r="AL112" s="569"/>
      <c r="AM112" s="534"/>
      <c r="AN112" s="534"/>
      <c r="AO112" s="534"/>
      <c r="AP112" s="534"/>
      <c r="AQ112" s="534"/>
      <c r="AR112" s="534"/>
      <c r="AS112" s="534"/>
      <c r="AT112" s="534"/>
      <c r="AU112" s="534"/>
      <c r="AV112" s="534"/>
      <c r="AW112" s="534"/>
      <c r="AX112" s="534"/>
      <c r="AY112" s="534"/>
      <c r="AZ112" s="534"/>
      <c r="BA112" s="534"/>
      <c r="BB112" s="534"/>
      <c r="BC112" s="534"/>
      <c r="BD112" s="534"/>
      <c r="BE112" s="534"/>
      <c r="BF112" s="534"/>
      <c r="BG112" s="534"/>
      <c r="BH112" s="534"/>
    </row>
    <row r="113" spans="1:60" s="40" customFormat="1" x14ac:dyDescent="0.2">
      <c r="A113" s="534"/>
      <c r="B113" s="534"/>
      <c r="C113" s="534"/>
      <c r="D113" s="534"/>
      <c r="E113" s="534"/>
      <c r="F113" s="534"/>
      <c r="G113" s="534"/>
      <c r="H113" s="534"/>
      <c r="I113" s="534"/>
      <c r="J113" s="534"/>
      <c r="K113" s="534"/>
      <c r="L113" s="534"/>
      <c r="M113" s="534"/>
      <c r="N113" s="534"/>
      <c r="O113" s="534"/>
      <c r="P113" s="534"/>
      <c r="Q113" s="534"/>
      <c r="R113" s="534"/>
      <c r="S113" s="534"/>
      <c r="T113" s="534"/>
      <c r="U113" s="534"/>
      <c r="V113" s="534"/>
      <c r="W113" s="534"/>
      <c r="X113" s="534"/>
      <c r="Y113" s="534"/>
      <c r="Z113" s="534"/>
      <c r="AA113" s="534"/>
      <c r="AB113" s="534"/>
      <c r="AC113" s="534"/>
      <c r="AD113" s="534"/>
      <c r="AE113" s="569"/>
      <c r="AF113" s="569"/>
      <c r="AG113" s="569"/>
      <c r="AH113" s="569"/>
      <c r="AI113" s="569"/>
      <c r="AJ113" s="569"/>
      <c r="AK113" s="569"/>
      <c r="AL113" s="569"/>
      <c r="AM113" s="534"/>
      <c r="AN113" s="534"/>
      <c r="AO113" s="534"/>
      <c r="AP113" s="534"/>
      <c r="AQ113" s="534"/>
      <c r="AR113" s="534"/>
      <c r="AS113" s="534"/>
      <c r="AT113" s="534"/>
      <c r="AU113" s="534"/>
      <c r="AV113" s="534"/>
      <c r="AW113" s="534"/>
      <c r="AX113" s="534"/>
      <c r="AY113" s="534"/>
      <c r="AZ113" s="534"/>
      <c r="BA113" s="534"/>
      <c r="BB113" s="534"/>
      <c r="BC113" s="534"/>
      <c r="BD113" s="534"/>
      <c r="BE113" s="534"/>
      <c r="BF113" s="534"/>
      <c r="BG113" s="534"/>
      <c r="BH113" s="534"/>
    </row>
    <row r="114" spans="1:60" s="40" customFormat="1" x14ac:dyDescent="0.2">
      <c r="A114" s="534"/>
      <c r="B114" s="534"/>
      <c r="C114" s="534"/>
      <c r="D114" s="534"/>
      <c r="E114" s="534"/>
      <c r="F114" s="534"/>
      <c r="G114" s="534"/>
      <c r="H114" s="534"/>
      <c r="I114" s="534"/>
      <c r="J114" s="534"/>
      <c r="K114" s="534"/>
      <c r="L114" s="534"/>
      <c r="M114" s="534"/>
      <c r="N114" s="534"/>
      <c r="O114" s="534"/>
      <c r="P114" s="534"/>
      <c r="Q114" s="534"/>
      <c r="R114" s="534"/>
      <c r="S114" s="534"/>
      <c r="T114" s="534"/>
      <c r="U114" s="534"/>
      <c r="V114" s="534"/>
      <c r="W114" s="534"/>
      <c r="X114" s="534"/>
      <c r="Y114" s="534"/>
      <c r="Z114" s="534"/>
      <c r="AA114" s="534"/>
      <c r="AB114" s="534"/>
      <c r="AC114" s="534"/>
      <c r="AD114" s="534"/>
      <c r="AE114" s="569"/>
      <c r="AF114" s="569"/>
      <c r="AG114" s="569"/>
      <c r="AH114" s="569"/>
      <c r="AI114" s="569"/>
      <c r="AJ114" s="569"/>
      <c r="AK114" s="569"/>
      <c r="AL114" s="569"/>
      <c r="AM114" s="534"/>
      <c r="AN114" s="534"/>
      <c r="AO114" s="534"/>
      <c r="AP114" s="534"/>
      <c r="AQ114" s="534"/>
      <c r="AR114" s="534"/>
      <c r="AS114" s="534"/>
      <c r="AT114" s="534"/>
      <c r="AU114" s="534"/>
      <c r="AV114" s="534"/>
      <c r="AW114" s="534"/>
      <c r="AX114" s="534"/>
      <c r="AY114" s="534"/>
      <c r="AZ114" s="534"/>
      <c r="BA114" s="534"/>
      <c r="BB114" s="534"/>
      <c r="BC114" s="534"/>
      <c r="BD114" s="534"/>
      <c r="BE114" s="534"/>
      <c r="BF114" s="534"/>
      <c r="BG114" s="534"/>
      <c r="BH114" s="534"/>
    </row>
    <row r="115" spans="1:60" s="40" customFormat="1" x14ac:dyDescent="0.2">
      <c r="A115" s="534"/>
      <c r="B115" s="534"/>
      <c r="C115" s="534"/>
      <c r="D115" s="534"/>
      <c r="E115" s="534"/>
      <c r="F115" s="534"/>
      <c r="G115" s="534"/>
      <c r="H115" s="534"/>
      <c r="I115" s="534"/>
      <c r="J115" s="534"/>
      <c r="K115" s="534"/>
      <c r="L115" s="534"/>
      <c r="M115" s="534"/>
      <c r="N115" s="534"/>
      <c r="O115" s="534"/>
      <c r="P115" s="534"/>
      <c r="Q115" s="534"/>
      <c r="R115" s="534"/>
      <c r="S115" s="534"/>
      <c r="T115" s="534"/>
      <c r="U115" s="534"/>
      <c r="V115" s="534"/>
      <c r="W115" s="534"/>
      <c r="X115" s="534"/>
      <c r="Y115" s="534"/>
      <c r="Z115" s="534"/>
      <c r="AA115" s="534"/>
      <c r="AB115" s="534"/>
      <c r="AC115" s="534"/>
      <c r="AD115" s="534"/>
      <c r="AE115" s="569"/>
      <c r="AF115" s="569"/>
      <c r="AG115" s="569"/>
      <c r="AH115" s="569"/>
      <c r="AI115" s="569"/>
      <c r="AJ115" s="569"/>
      <c r="AK115" s="569"/>
      <c r="AL115" s="569"/>
      <c r="AM115" s="534"/>
      <c r="AN115" s="534"/>
      <c r="AO115" s="534"/>
      <c r="AP115" s="534"/>
      <c r="AQ115" s="534"/>
      <c r="AR115" s="534"/>
      <c r="AS115" s="534"/>
      <c r="AT115" s="534"/>
      <c r="AU115" s="534"/>
      <c r="AV115" s="534"/>
      <c r="AW115" s="534"/>
      <c r="AX115" s="534"/>
      <c r="AY115" s="534"/>
      <c r="AZ115" s="534"/>
      <c r="BA115" s="534"/>
      <c r="BB115" s="534"/>
      <c r="BC115" s="534"/>
      <c r="BD115" s="534"/>
      <c r="BE115" s="534"/>
      <c r="BF115" s="534"/>
      <c r="BG115" s="534"/>
      <c r="BH115" s="534"/>
    </row>
    <row r="116" spans="1:60" s="40" customFormat="1" x14ac:dyDescent="0.2">
      <c r="A116" s="534"/>
      <c r="B116" s="534"/>
      <c r="C116" s="534"/>
      <c r="D116" s="534"/>
      <c r="E116" s="534"/>
      <c r="F116" s="534"/>
      <c r="G116" s="534"/>
      <c r="H116" s="534"/>
      <c r="I116" s="534"/>
      <c r="J116" s="534"/>
      <c r="K116" s="534"/>
      <c r="L116" s="534"/>
      <c r="M116" s="534"/>
      <c r="N116" s="534"/>
      <c r="O116" s="534"/>
      <c r="P116" s="534"/>
      <c r="Q116" s="534"/>
      <c r="R116" s="534"/>
      <c r="S116" s="534"/>
      <c r="T116" s="534"/>
      <c r="U116" s="534"/>
      <c r="V116" s="534"/>
      <c r="W116" s="534"/>
      <c r="X116" s="534"/>
      <c r="Y116" s="534"/>
      <c r="Z116" s="534"/>
      <c r="AA116" s="534"/>
      <c r="AB116" s="534"/>
      <c r="AC116" s="534"/>
      <c r="AD116" s="534"/>
      <c r="AE116" s="569"/>
      <c r="AF116" s="569"/>
      <c r="AG116" s="569"/>
      <c r="AH116" s="569"/>
      <c r="AI116" s="569"/>
      <c r="AJ116" s="569"/>
      <c r="AK116" s="569"/>
      <c r="AL116" s="569"/>
      <c r="AM116" s="534"/>
      <c r="AN116" s="534"/>
      <c r="AO116" s="534"/>
      <c r="AP116" s="534"/>
      <c r="AQ116" s="534"/>
      <c r="AR116" s="534"/>
      <c r="AS116" s="534"/>
      <c r="AT116" s="534"/>
      <c r="AU116" s="534"/>
      <c r="AV116" s="534"/>
      <c r="AW116" s="534"/>
      <c r="AX116" s="534"/>
      <c r="AY116" s="534"/>
      <c r="AZ116" s="534"/>
      <c r="BA116" s="534"/>
      <c r="BB116" s="534"/>
      <c r="BC116" s="534"/>
      <c r="BD116" s="534"/>
      <c r="BE116" s="534"/>
      <c r="BF116" s="534"/>
      <c r="BG116" s="534"/>
      <c r="BH116" s="534"/>
    </row>
    <row r="117" spans="1:60" s="40" customFormat="1" x14ac:dyDescent="0.2">
      <c r="A117" s="534"/>
      <c r="B117" s="534"/>
      <c r="C117" s="534"/>
      <c r="D117" s="534"/>
      <c r="E117" s="534"/>
      <c r="F117" s="534"/>
      <c r="G117" s="534"/>
      <c r="H117" s="534"/>
      <c r="I117" s="534"/>
      <c r="J117" s="534"/>
      <c r="K117" s="534"/>
      <c r="L117" s="534"/>
      <c r="M117" s="534"/>
      <c r="N117" s="534"/>
      <c r="O117" s="534"/>
      <c r="P117" s="534"/>
      <c r="Q117" s="534"/>
      <c r="R117" s="534"/>
      <c r="S117" s="534"/>
      <c r="T117" s="534"/>
      <c r="U117" s="534"/>
      <c r="V117" s="534"/>
      <c r="W117" s="534"/>
      <c r="X117" s="534"/>
      <c r="Y117" s="534"/>
      <c r="Z117" s="534"/>
      <c r="AA117" s="534"/>
      <c r="AB117" s="534"/>
      <c r="AC117" s="534"/>
      <c r="AD117" s="534"/>
      <c r="AE117" s="569"/>
      <c r="AF117" s="569"/>
      <c r="AG117" s="569"/>
      <c r="AH117" s="569"/>
      <c r="AI117" s="569"/>
      <c r="AJ117" s="569"/>
      <c r="AK117" s="569"/>
      <c r="AL117" s="569"/>
      <c r="AM117" s="534"/>
      <c r="AN117" s="534"/>
      <c r="AO117" s="534"/>
      <c r="AP117" s="534"/>
      <c r="AQ117" s="534"/>
      <c r="AR117" s="534"/>
      <c r="AS117" s="534"/>
      <c r="AT117" s="534"/>
      <c r="AU117" s="534"/>
      <c r="AV117" s="534"/>
      <c r="AW117" s="534"/>
      <c r="AX117" s="534"/>
      <c r="AY117" s="534"/>
      <c r="AZ117" s="534"/>
      <c r="BA117" s="534"/>
      <c r="BB117" s="534"/>
      <c r="BC117" s="534"/>
      <c r="BD117" s="534"/>
      <c r="BE117" s="534"/>
      <c r="BF117" s="534"/>
      <c r="BG117" s="534"/>
      <c r="BH117" s="534"/>
    </row>
    <row r="118" spans="1:60" s="40" customFormat="1" x14ac:dyDescent="0.2">
      <c r="A118" s="534"/>
      <c r="B118" s="534"/>
      <c r="C118" s="534"/>
      <c r="D118" s="534"/>
      <c r="E118" s="534"/>
      <c r="F118" s="534"/>
      <c r="G118" s="534"/>
      <c r="H118" s="534"/>
      <c r="I118" s="534"/>
      <c r="J118" s="534"/>
      <c r="K118" s="534"/>
      <c r="L118" s="534"/>
      <c r="M118" s="534"/>
      <c r="N118" s="534"/>
      <c r="O118" s="534"/>
      <c r="P118" s="534"/>
      <c r="Q118" s="534"/>
      <c r="R118" s="534"/>
      <c r="S118" s="534"/>
      <c r="T118" s="534"/>
      <c r="U118" s="534"/>
      <c r="V118" s="534"/>
      <c r="W118" s="534"/>
      <c r="X118" s="534"/>
      <c r="Y118" s="534"/>
      <c r="Z118" s="534"/>
      <c r="AA118" s="534"/>
      <c r="AB118" s="534"/>
      <c r="AC118" s="534"/>
      <c r="AD118" s="534"/>
      <c r="AE118" s="569"/>
      <c r="AF118" s="569"/>
      <c r="AG118" s="569"/>
      <c r="AH118" s="569"/>
      <c r="AI118" s="569"/>
      <c r="AJ118" s="569"/>
      <c r="AK118" s="569"/>
      <c r="AL118" s="569"/>
      <c r="AM118" s="534"/>
      <c r="AN118" s="534"/>
      <c r="AO118" s="534"/>
      <c r="AP118" s="534"/>
      <c r="AQ118" s="534"/>
      <c r="AR118" s="534"/>
      <c r="AS118" s="534"/>
      <c r="AT118" s="534"/>
      <c r="AU118" s="534"/>
      <c r="AV118" s="534"/>
      <c r="AW118" s="534"/>
      <c r="AX118" s="534"/>
      <c r="AY118" s="534"/>
      <c r="AZ118" s="534"/>
      <c r="BA118" s="534"/>
      <c r="BB118" s="534"/>
      <c r="BC118" s="534"/>
      <c r="BD118" s="534"/>
      <c r="BE118" s="534"/>
      <c r="BF118" s="534"/>
      <c r="BG118" s="534"/>
      <c r="BH118" s="534"/>
    </row>
    <row r="119" spans="1:60" s="40" customFormat="1" x14ac:dyDescent="0.2">
      <c r="A119" s="534"/>
      <c r="B119" s="534"/>
      <c r="C119" s="534"/>
      <c r="D119" s="534"/>
      <c r="E119" s="534"/>
      <c r="F119" s="534"/>
      <c r="G119" s="534"/>
      <c r="H119" s="534"/>
      <c r="I119" s="534"/>
      <c r="J119" s="534"/>
      <c r="K119" s="534"/>
      <c r="L119" s="534"/>
      <c r="M119" s="534"/>
      <c r="N119" s="534"/>
      <c r="O119" s="534"/>
      <c r="P119" s="534"/>
      <c r="Q119" s="534"/>
      <c r="R119" s="534"/>
      <c r="S119" s="534"/>
      <c r="T119" s="534"/>
      <c r="U119" s="534"/>
      <c r="V119" s="534"/>
      <c r="W119" s="534"/>
      <c r="X119" s="534"/>
      <c r="Y119" s="534"/>
      <c r="Z119" s="534"/>
      <c r="AA119" s="534"/>
      <c r="AB119" s="534"/>
      <c r="AC119" s="534"/>
      <c r="AD119" s="534"/>
      <c r="AE119" s="569"/>
      <c r="AF119" s="569"/>
      <c r="AG119" s="569"/>
      <c r="AH119" s="569"/>
      <c r="AI119" s="569"/>
      <c r="AJ119" s="569"/>
      <c r="AK119" s="569"/>
      <c r="AL119" s="569"/>
      <c r="AM119" s="534"/>
      <c r="AN119" s="534"/>
      <c r="AO119" s="534"/>
      <c r="AP119" s="534"/>
      <c r="AQ119" s="534"/>
      <c r="AR119" s="534"/>
      <c r="AS119" s="534"/>
      <c r="AT119" s="534"/>
      <c r="AU119" s="534"/>
      <c r="AV119" s="534"/>
      <c r="AW119" s="534"/>
      <c r="AX119" s="534"/>
      <c r="AY119" s="534"/>
      <c r="AZ119" s="534"/>
      <c r="BA119" s="534"/>
      <c r="BB119" s="534"/>
      <c r="BC119" s="534"/>
      <c r="BD119" s="534"/>
      <c r="BE119" s="534"/>
      <c r="BF119" s="534"/>
      <c r="BG119" s="534"/>
      <c r="BH119" s="534"/>
    </row>
    <row r="120" spans="1:60" s="40" customFormat="1" x14ac:dyDescent="0.2">
      <c r="A120" s="534"/>
      <c r="B120" s="534"/>
      <c r="C120" s="534"/>
      <c r="D120" s="534"/>
      <c r="E120" s="534"/>
      <c r="F120" s="534"/>
      <c r="G120" s="534"/>
      <c r="H120" s="534"/>
      <c r="I120" s="534"/>
      <c r="J120" s="534"/>
      <c r="K120" s="534"/>
      <c r="L120" s="534"/>
      <c r="M120" s="534"/>
      <c r="N120" s="534"/>
      <c r="O120" s="534"/>
      <c r="P120" s="534"/>
      <c r="Q120" s="534"/>
      <c r="R120" s="534"/>
      <c r="S120" s="534"/>
      <c r="T120" s="534"/>
      <c r="U120" s="534"/>
      <c r="V120" s="534"/>
      <c r="W120" s="534"/>
      <c r="X120" s="534"/>
      <c r="Y120" s="534"/>
      <c r="Z120" s="534"/>
      <c r="AA120" s="534"/>
      <c r="AB120" s="534"/>
      <c r="AC120" s="534"/>
      <c r="AD120" s="534"/>
      <c r="AE120" s="569"/>
      <c r="AF120" s="569"/>
      <c r="AG120" s="569"/>
      <c r="AH120" s="569"/>
      <c r="AI120" s="569"/>
      <c r="AJ120" s="569"/>
      <c r="AK120" s="569"/>
      <c r="AL120" s="569"/>
      <c r="AM120" s="534"/>
      <c r="AN120" s="534"/>
      <c r="AO120" s="534"/>
      <c r="AP120" s="534"/>
      <c r="AQ120" s="534"/>
      <c r="AR120" s="534"/>
      <c r="AS120" s="534"/>
      <c r="AT120" s="534"/>
      <c r="AU120" s="534"/>
      <c r="AV120" s="534"/>
      <c r="AW120" s="534"/>
      <c r="AX120" s="534"/>
      <c r="AY120" s="534"/>
      <c r="AZ120" s="534"/>
      <c r="BA120" s="534"/>
      <c r="BB120" s="534"/>
      <c r="BC120" s="534"/>
      <c r="BD120" s="534"/>
      <c r="BE120" s="534"/>
      <c r="BF120" s="534"/>
      <c r="BG120" s="534"/>
      <c r="BH120" s="534"/>
    </row>
    <row r="121" spans="1:60" s="40" customFormat="1" x14ac:dyDescent="0.2">
      <c r="A121" s="534"/>
      <c r="B121" s="534"/>
      <c r="C121" s="534"/>
      <c r="D121" s="534"/>
      <c r="E121" s="534"/>
      <c r="F121" s="534"/>
      <c r="G121" s="534"/>
      <c r="H121" s="534"/>
      <c r="I121" s="534"/>
      <c r="J121" s="534"/>
      <c r="K121" s="534"/>
      <c r="L121" s="534"/>
      <c r="M121" s="534"/>
      <c r="N121" s="534"/>
      <c r="O121" s="534"/>
      <c r="P121" s="534"/>
      <c r="Q121" s="534"/>
      <c r="R121" s="534"/>
      <c r="S121" s="534"/>
      <c r="T121" s="534"/>
      <c r="U121" s="534"/>
      <c r="V121" s="534"/>
      <c r="W121" s="534"/>
      <c r="X121" s="534"/>
      <c r="Y121" s="534"/>
      <c r="Z121" s="534"/>
      <c r="AA121" s="534"/>
      <c r="AB121" s="534"/>
      <c r="AC121" s="534"/>
      <c r="AD121" s="534"/>
      <c r="AE121" s="569"/>
      <c r="AF121" s="569"/>
      <c r="AG121" s="569"/>
      <c r="AH121" s="569"/>
      <c r="AI121" s="569"/>
      <c r="AJ121" s="569"/>
      <c r="AK121" s="569"/>
      <c r="AL121" s="569"/>
      <c r="AM121" s="534"/>
      <c r="AN121" s="534"/>
      <c r="AO121" s="534"/>
      <c r="AP121" s="534"/>
      <c r="AQ121" s="534"/>
      <c r="AR121" s="534"/>
      <c r="AS121" s="534"/>
      <c r="AT121" s="534"/>
      <c r="AU121" s="534"/>
      <c r="AV121" s="534"/>
      <c r="AW121" s="534"/>
      <c r="AX121" s="534"/>
      <c r="AY121" s="534"/>
      <c r="AZ121" s="534"/>
      <c r="BA121" s="534"/>
      <c r="BB121" s="534"/>
      <c r="BC121" s="534"/>
      <c r="BD121" s="534"/>
      <c r="BE121" s="534"/>
      <c r="BF121" s="534"/>
      <c r="BG121" s="534"/>
      <c r="BH121" s="534"/>
    </row>
    <row r="122" spans="1:60" s="40" customFormat="1" x14ac:dyDescent="0.2">
      <c r="A122" s="534"/>
      <c r="B122" s="534"/>
      <c r="C122" s="534"/>
      <c r="D122" s="534"/>
      <c r="E122" s="534"/>
      <c r="F122" s="534"/>
      <c r="G122" s="534"/>
      <c r="H122" s="534"/>
      <c r="I122" s="534"/>
      <c r="J122" s="534"/>
      <c r="K122" s="534"/>
      <c r="L122" s="534"/>
      <c r="M122" s="534"/>
      <c r="N122" s="534"/>
      <c r="O122" s="534"/>
      <c r="P122" s="534"/>
      <c r="Q122" s="534"/>
      <c r="R122" s="534"/>
      <c r="S122" s="534"/>
      <c r="T122" s="534"/>
      <c r="U122" s="534"/>
      <c r="V122" s="534"/>
      <c r="W122" s="534"/>
      <c r="X122" s="534"/>
      <c r="Y122" s="534"/>
      <c r="Z122" s="534"/>
      <c r="AA122" s="534"/>
      <c r="AB122" s="534"/>
      <c r="AC122" s="534"/>
      <c r="AD122" s="534"/>
      <c r="AE122" s="569"/>
      <c r="AF122" s="569"/>
      <c r="AG122" s="569"/>
      <c r="AH122" s="569"/>
      <c r="AI122" s="569"/>
      <c r="AJ122" s="569"/>
      <c r="AK122" s="569"/>
      <c r="AL122" s="569"/>
      <c r="AM122" s="534"/>
      <c r="AN122" s="534"/>
      <c r="AO122" s="534"/>
      <c r="AP122" s="534"/>
      <c r="AQ122" s="534"/>
      <c r="AR122" s="534"/>
      <c r="AS122" s="534"/>
      <c r="AT122" s="534"/>
      <c r="AU122" s="534"/>
      <c r="AV122" s="534"/>
      <c r="AW122" s="534"/>
      <c r="AX122" s="534"/>
      <c r="AY122" s="534"/>
      <c r="AZ122" s="534"/>
      <c r="BA122" s="534"/>
      <c r="BB122" s="534"/>
      <c r="BC122" s="534"/>
      <c r="BD122" s="534"/>
      <c r="BE122" s="534"/>
      <c r="BF122" s="534"/>
      <c r="BG122" s="534"/>
      <c r="BH122" s="534"/>
    </row>
    <row r="123" spans="1:60" s="40" customFormat="1" x14ac:dyDescent="0.2">
      <c r="A123" s="534"/>
      <c r="B123" s="534"/>
      <c r="C123" s="534"/>
      <c r="D123" s="534"/>
      <c r="E123" s="534"/>
      <c r="F123" s="534"/>
      <c r="G123" s="534"/>
      <c r="H123" s="534"/>
      <c r="I123" s="534"/>
      <c r="J123" s="534"/>
      <c r="K123" s="534"/>
      <c r="L123" s="534"/>
      <c r="M123" s="534"/>
      <c r="N123" s="534"/>
      <c r="O123" s="534"/>
      <c r="P123" s="534"/>
      <c r="Q123" s="534"/>
      <c r="R123" s="534"/>
      <c r="S123" s="534"/>
      <c r="T123" s="534"/>
      <c r="U123" s="534"/>
      <c r="V123" s="534"/>
      <c r="W123" s="534"/>
      <c r="X123" s="534"/>
      <c r="Y123" s="534"/>
      <c r="Z123" s="534"/>
      <c r="AA123" s="534"/>
      <c r="AB123" s="534"/>
      <c r="AC123" s="534"/>
      <c r="AD123" s="534"/>
      <c r="AE123" s="569"/>
      <c r="AF123" s="569"/>
      <c r="AG123" s="569"/>
      <c r="AH123" s="569"/>
      <c r="AI123" s="569"/>
      <c r="AJ123" s="569"/>
      <c r="AK123" s="569"/>
      <c r="AL123" s="569"/>
      <c r="AM123" s="534"/>
      <c r="AN123" s="534"/>
      <c r="AO123" s="534"/>
      <c r="AP123" s="534"/>
      <c r="AQ123" s="534"/>
      <c r="AR123" s="534"/>
      <c r="AS123" s="534"/>
      <c r="AT123" s="534"/>
      <c r="AU123" s="534"/>
      <c r="AV123" s="534"/>
      <c r="AW123" s="534"/>
      <c r="AX123" s="534"/>
      <c r="AY123" s="534"/>
      <c r="AZ123" s="534"/>
      <c r="BA123" s="534"/>
      <c r="BB123" s="534"/>
      <c r="BC123" s="534"/>
      <c r="BD123" s="534"/>
      <c r="BE123" s="534"/>
      <c r="BF123" s="534"/>
      <c r="BG123" s="534"/>
      <c r="BH123" s="534"/>
    </row>
    <row r="124" spans="1:60" s="40" customFormat="1" x14ac:dyDescent="0.2">
      <c r="A124" s="534"/>
      <c r="B124" s="534"/>
      <c r="C124" s="534"/>
      <c r="D124" s="534"/>
      <c r="E124" s="534"/>
      <c r="F124" s="534"/>
      <c r="G124" s="534"/>
      <c r="H124" s="534"/>
      <c r="I124" s="534"/>
      <c r="J124" s="534"/>
      <c r="K124" s="534"/>
      <c r="L124" s="534"/>
      <c r="M124" s="534"/>
      <c r="N124" s="534"/>
      <c r="O124" s="534"/>
      <c r="P124" s="534"/>
      <c r="Q124" s="534"/>
      <c r="R124" s="534"/>
      <c r="S124" s="534"/>
      <c r="T124" s="534"/>
      <c r="U124" s="534"/>
      <c r="V124" s="534"/>
      <c r="W124" s="534"/>
      <c r="X124" s="534"/>
      <c r="Y124" s="534"/>
      <c r="Z124" s="534"/>
      <c r="AA124" s="534"/>
      <c r="AB124" s="534"/>
      <c r="AC124" s="534"/>
      <c r="AD124" s="534"/>
      <c r="AE124" s="569"/>
      <c r="AF124" s="569"/>
      <c r="AG124" s="569"/>
      <c r="AH124" s="569"/>
      <c r="AI124" s="569"/>
      <c r="AJ124" s="569"/>
      <c r="AK124" s="569"/>
      <c r="AL124" s="569"/>
      <c r="AM124" s="534"/>
      <c r="AN124" s="534"/>
      <c r="AO124" s="534"/>
      <c r="AP124" s="534"/>
      <c r="AQ124" s="534"/>
      <c r="AR124" s="534"/>
      <c r="AS124" s="534"/>
      <c r="AT124" s="534"/>
      <c r="AU124" s="534"/>
      <c r="AV124" s="534"/>
      <c r="AW124" s="534"/>
      <c r="AX124" s="534"/>
      <c r="AY124" s="534"/>
      <c r="AZ124" s="534"/>
      <c r="BA124" s="534"/>
      <c r="BB124" s="534"/>
      <c r="BC124" s="534"/>
      <c r="BD124" s="534"/>
      <c r="BE124" s="534"/>
      <c r="BF124" s="534"/>
      <c r="BG124" s="534"/>
      <c r="BH124" s="534"/>
    </row>
    <row r="125" spans="1:60" s="40" customFormat="1" x14ac:dyDescent="0.2">
      <c r="A125" s="534"/>
      <c r="B125" s="534"/>
      <c r="C125" s="534"/>
      <c r="D125" s="534"/>
      <c r="E125" s="534"/>
      <c r="F125" s="534"/>
      <c r="G125" s="534"/>
      <c r="H125" s="534"/>
      <c r="I125" s="534"/>
      <c r="J125" s="534"/>
      <c r="K125" s="534"/>
      <c r="L125" s="534"/>
      <c r="M125" s="534"/>
      <c r="N125" s="534"/>
      <c r="O125" s="534"/>
      <c r="P125" s="534"/>
      <c r="Q125" s="534"/>
      <c r="R125" s="534"/>
      <c r="S125" s="534"/>
      <c r="T125" s="534"/>
      <c r="U125" s="534"/>
      <c r="V125" s="534"/>
      <c r="W125" s="534"/>
      <c r="X125" s="534"/>
      <c r="Y125" s="534"/>
      <c r="Z125" s="534"/>
      <c r="AA125" s="534"/>
      <c r="AB125" s="534"/>
      <c r="AC125" s="534"/>
      <c r="AD125" s="534"/>
      <c r="AE125" s="569"/>
      <c r="AF125" s="569"/>
      <c r="AG125" s="569"/>
      <c r="AH125" s="569"/>
      <c r="AI125" s="569"/>
      <c r="AJ125" s="569"/>
      <c r="AK125" s="569"/>
      <c r="AL125" s="569"/>
      <c r="AM125" s="534"/>
      <c r="AN125" s="534"/>
      <c r="AO125" s="534"/>
      <c r="AP125" s="534"/>
      <c r="AQ125" s="534"/>
      <c r="AR125" s="534"/>
      <c r="AS125" s="534"/>
      <c r="AT125" s="534"/>
      <c r="AU125" s="534"/>
      <c r="AV125" s="534"/>
      <c r="AW125" s="534"/>
      <c r="AX125" s="534"/>
      <c r="AY125" s="534"/>
      <c r="AZ125" s="534"/>
      <c r="BA125" s="534"/>
      <c r="BB125" s="534"/>
      <c r="BC125" s="534"/>
      <c r="BD125" s="534"/>
      <c r="BE125" s="534"/>
      <c r="BF125" s="534"/>
      <c r="BG125" s="534"/>
      <c r="BH125" s="534"/>
    </row>
    <row r="126" spans="1:60" s="40" customFormat="1" x14ac:dyDescent="0.2">
      <c r="A126" s="534"/>
      <c r="B126" s="534"/>
      <c r="C126" s="534"/>
      <c r="D126" s="534"/>
      <c r="E126" s="534"/>
      <c r="F126" s="534"/>
      <c r="G126" s="534"/>
      <c r="H126" s="534"/>
      <c r="I126" s="534"/>
      <c r="J126" s="534"/>
      <c r="K126" s="534"/>
      <c r="L126" s="534"/>
      <c r="M126" s="534"/>
      <c r="N126" s="534"/>
      <c r="O126" s="534"/>
      <c r="P126" s="534"/>
      <c r="Q126" s="534"/>
      <c r="R126" s="534"/>
      <c r="S126" s="534"/>
      <c r="T126" s="534"/>
      <c r="U126" s="534"/>
      <c r="V126" s="534"/>
      <c r="W126" s="534"/>
      <c r="X126" s="534"/>
      <c r="Y126" s="534"/>
      <c r="Z126" s="534"/>
      <c r="AA126" s="534"/>
      <c r="AB126" s="534"/>
      <c r="AC126" s="534"/>
      <c r="AD126" s="534"/>
      <c r="AE126" s="569"/>
      <c r="AF126" s="569"/>
      <c r="AG126" s="569"/>
      <c r="AH126" s="569"/>
      <c r="AI126" s="569"/>
      <c r="AJ126" s="569"/>
      <c r="AK126" s="569"/>
      <c r="AL126" s="569"/>
      <c r="AM126" s="534"/>
      <c r="AN126" s="534"/>
      <c r="AO126" s="534"/>
      <c r="AP126" s="534"/>
      <c r="AQ126" s="534"/>
      <c r="AR126" s="534"/>
      <c r="AS126" s="534"/>
      <c r="AT126" s="534"/>
      <c r="AU126" s="534"/>
      <c r="AV126" s="534"/>
      <c r="AW126" s="534"/>
      <c r="AX126" s="534"/>
      <c r="AY126" s="534"/>
      <c r="AZ126" s="534"/>
      <c r="BA126" s="534"/>
      <c r="BB126" s="534"/>
      <c r="BC126" s="534"/>
      <c r="BD126" s="534"/>
      <c r="BE126" s="534"/>
      <c r="BF126" s="534"/>
      <c r="BG126" s="534"/>
      <c r="BH126" s="534"/>
    </row>
    <row r="127" spans="1:60" s="40" customFormat="1" x14ac:dyDescent="0.2">
      <c r="A127" s="534"/>
      <c r="B127" s="534"/>
      <c r="C127" s="534"/>
      <c r="D127" s="534"/>
      <c r="E127" s="534"/>
      <c r="F127" s="534"/>
      <c r="G127" s="534"/>
      <c r="H127" s="534"/>
      <c r="I127" s="534"/>
      <c r="J127" s="534"/>
      <c r="K127" s="534"/>
      <c r="L127" s="534"/>
      <c r="M127" s="534"/>
      <c r="N127" s="534"/>
      <c r="O127" s="534"/>
      <c r="P127" s="534"/>
      <c r="Q127" s="534"/>
      <c r="R127" s="534"/>
      <c r="S127" s="534"/>
      <c r="T127" s="534"/>
      <c r="U127" s="534"/>
      <c r="V127" s="534"/>
      <c r="W127" s="534"/>
      <c r="X127" s="534"/>
      <c r="Y127" s="534"/>
      <c r="Z127" s="534"/>
      <c r="AA127" s="534"/>
      <c r="AB127" s="534"/>
      <c r="AC127" s="534"/>
      <c r="AD127" s="534"/>
      <c r="AE127" s="569"/>
      <c r="AF127" s="569"/>
      <c r="AG127" s="569"/>
      <c r="AH127" s="569"/>
      <c r="AI127" s="569"/>
      <c r="AJ127" s="569"/>
      <c r="AK127" s="569"/>
      <c r="AL127" s="569"/>
      <c r="AM127" s="534"/>
      <c r="AN127" s="534"/>
      <c r="AO127" s="534"/>
      <c r="AP127" s="534"/>
      <c r="AQ127" s="534"/>
      <c r="AR127" s="534"/>
      <c r="AS127" s="534"/>
      <c r="AT127" s="534"/>
      <c r="AU127" s="534"/>
      <c r="AV127" s="534"/>
      <c r="AW127" s="534"/>
      <c r="AX127" s="534"/>
      <c r="AY127" s="534"/>
      <c r="AZ127" s="534"/>
      <c r="BA127" s="534"/>
      <c r="BB127" s="534"/>
      <c r="BC127" s="534"/>
      <c r="BD127" s="534"/>
      <c r="BE127" s="534"/>
      <c r="BF127" s="534"/>
      <c r="BG127" s="534"/>
      <c r="BH127" s="534"/>
    </row>
    <row r="128" spans="1:60" s="40" customFormat="1" x14ac:dyDescent="0.2">
      <c r="A128" s="534"/>
      <c r="B128" s="534"/>
      <c r="C128" s="534"/>
      <c r="D128" s="534"/>
      <c r="E128" s="534"/>
      <c r="F128" s="534"/>
      <c r="G128" s="534"/>
      <c r="H128" s="534"/>
      <c r="I128" s="534"/>
      <c r="J128" s="534"/>
      <c r="K128" s="534"/>
      <c r="L128" s="534"/>
      <c r="M128" s="534"/>
      <c r="N128" s="534"/>
      <c r="O128" s="534"/>
      <c r="P128" s="534"/>
      <c r="Q128" s="534"/>
      <c r="R128" s="534"/>
      <c r="S128" s="534"/>
      <c r="T128" s="534"/>
      <c r="U128" s="534"/>
      <c r="V128" s="534"/>
      <c r="W128" s="534"/>
      <c r="X128" s="534"/>
      <c r="Y128" s="534"/>
      <c r="Z128" s="534"/>
      <c r="AA128" s="534"/>
      <c r="AB128" s="534"/>
      <c r="AC128" s="534"/>
      <c r="AD128" s="534"/>
      <c r="AE128" s="569"/>
      <c r="AF128" s="569"/>
      <c r="AG128" s="569"/>
      <c r="AH128" s="569"/>
      <c r="AI128" s="569"/>
      <c r="AJ128" s="569"/>
      <c r="AK128" s="569"/>
      <c r="AL128" s="569"/>
      <c r="AM128" s="534"/>
      <c r="AN128" s="534"/>
      <c r="AO128" s="534"/>
      <c r="AP128" s="534"/>
      <c r="AQ128" s="534"/>
      <c r="AR128" s="534"/>
      <c r="AS128" s="534"/>
      <c r="AT128" s="534"/>
      <c r="AU128" s="534"/>
      <c r="AV128" s="534"/>
      <c r="AW128" s="534"/>
      <c r="AX128" s="534"/>
      <c r="AY128" s="534"/>
      <c r="AZ128" s="534"/>
      <c r="BA128" s="534"/>
      <c r="BB128" s="534"/>
      <c r="BC128" s="534"/>
      <c r="BD128" s="534"/>
      <c r="BE128" s="534"/>
      <c r="BF128" s="534"/>
      <c r="BG128" s="534"/>
      <c r="BH128" s="534"/>
    </row>
    <row r="129" spans="1:60" s="40" customFormat="1" x14ac:dyDescent="0.2">
      <c r="A129" s="534"/>
      <c r="B129" s="534"/>
      <c r="C129" s="534"/>
      <c r="D129" s="534"/>
      <c r="E129" s="534"/>
      <c r="F129" s="534"/>
      <c r="G129" s="534"/>
      <c r="H129" s="534"/>
      <c r="I129" s="534"/>
      <c r="J129" s="534"/>
      <c r="K129" s="534"/>
      <c r="L129" s="534"/>
      <c r="M129" s="534"/>
      <c r="N129" s="534"/>
      <c r="O129" s="534"/>
      <c r="P129" s="534"/>
      <c r="Q129" s="534"/>
      <c r="R129" s="534"/>
      <c r="S129" s="534"/>
      <c r="T129" s="534"/>
      <c r="U129" s="534"/>
      <c r="V129" s="534"/>
      <c r="W129" s="534"/>
      <c r="X129" s="534"/>
      <c r="Y129" s="534"/>
      <c r="Z129" s="534"/>
      <c r="AA129" s="534"/>
      <c r="AB129" s="534"/>
      <c r="AC129" s="534"/>
      <c r="AD129" s="534"/>
      <c r="AE129" s="569"/>
      <c r="AF129" s="569"/>
      <c r="AG129" s="569"/>
      <c r="AH129" s="569"/>
      <c r="AI129" s="569"/>
      <c r="AJ129" s="569"/>
      <c r="AK129" s="569"/>
      <c r="AL129" s="569"/>
      <c r="AM129" s="534"/>
      <c r="AN129" s="534"/>
      <c r="AO129" s="534"/>
      <c r="AP129" s="534"/>
      <c r="AQ129" s="534"/>
      <c r="AR129" s="534"/>
      <c r="AS129" s="534"/>
      <c r="AT129" s="534"/>
      <c r="AU129" s="534"/>
      <c r="AV129" s="534"/>
      <c r="AW129" s="534"/>
      <c r="AX129" s="534"/>
      <c r="AY129" s="534"/>
      <c r="AZ129" s="534"/>
      <c r="BA129" s="534"/>
      <c r="BB129" s="534"/>
      <c r="BC129" s="534"/>
      <c r="BD129" s="534"/>
      <c r="BE129" s="534"/>
      <c r="BF129" s="534"/>
      <c r="BG129" s="534"/>
      <c r="BH129" s="534"/>
    </row>
    <row r="130" spans="1:60" s="40" customFormat="1" x14ac:dyDescent="0.2">
      <c r="A130" s="534"/>
      <c r="B130" s="534"/>
      <c r="C130" s="534"/>
      <c r="D130" s="534"/>
      <c r="E130" s="534"/>
      <c r="F130" s="534"/>
      <c r="G130" s="534"/>
      <c r="H130" s="534"/>
      <c r="I130" s="534"/>
      <c r="J130" s="534"/>
      <c r="K130" s="534"/>
      <c r="L130" s="534"/>
      <c r="M130" s="534"/>
      <c r="N130" s="534"/>
      <c r="O130" s="534"/>
      <c r="P130" s="534"/>
      <c r="Q130" s="534"/>
      <c r="R130" s="534"/>
      <c r="S130" s="534"/>
      <c r="T130" s="534"/>
      <c r="U130" s="534"/>
      <c r="V130" s="534"/>
      <c r="W130" s="534"/>
      <c r="X130" s="534"/>
      <c r="Y130" s="534"/>
      <c r="Z130" s="534"/>
      <c r="AA130" s="534"/>
      <c r="AB130" s="534"/>
      <c r="AC130" s="534"/>
      <c r="AD130" s="534"/>
      <c r="AE130" s="569"/>
      <c r="AF130" s="569"/>
      <c r="AG130" s="569"/>
      <c r="AH130" s="569"/>
      <c r="AI130" s="569"/>
      <c r="AJ130" s="569"/>
      <c r="AK130" s="569"/>
      <c r="AL130" s="569"/>
      <c r="AM130" s="534"/>
      <c r="AN130" s="534"/>
      <c r="AO130" s="534"/>
      <c r="AP130" s="534"/>
      <c r="AQ130" s="534"/>
      <c r="AR130" s="534"/>
      <c r="AS130" s="534"/>
      <c r="AT130" s="534"/>
      <c r="AU130" s="534"/>
      <c r="AV130" s="534"/>
      <c r="AW130" s="534"/>
      <c r="AX130" s="534"/>
      <c r="AY130" s="534"/>
      <c r="AZ130" s="534"/>
      <c r="BA130" s="534"/>
      <c r="BB130" s="534"/>
      <c r="BC130" s="534"/>
      <c r="BD130" s="534"/>
      <c r="BE130" s="534"/>
      <c r="BF130" s="534"/>
      <c r="BG130" s="534"/>
      <c r="BH130" s="534"/>
    </row>
    <row r="131" spans="1:60" s="40" customFormat="1" x14ac:dyDescent="0.2">
      <c r="A131" s="534"/>
      <c r="B131" s="534"/>
      <c r="C131" s="534"/>
      <c r="D131" s="534"/>
      <c r="E131" s="534"/>
      <c r="F131" s="534"/>
      <c r="G131" s="534"/>
      <c r="H131" s="534"/>
      <c r="I131" s="534"/>
      <c r="J131" s="534"/>
      <c r="K131" s="534"/>
      <c r="L131" s="534"/>
      <c r="M131" s="534"/>
      <c r="N131" s="534"/>
      <c r="O131" s="534"/>
      <c r="P131" s="534"/>
      <c r="Q131" s="534"/>
      <c r="R131" s="534"/>
      <c r="S131" s="534"/>
      <c r="T131" s="534"/>
      <c r="U131" s="534"/>
      <c r="V131" s="534"/>
      <c r="W131" s="534"/>
      <c r="X131" s="534"/>
      <c r="Y131" s="534"/>
      <c r="Z131" s="534"/>
      <c r="AA131" s="534"/>
      <c r="AB131" s="534"/>
      <c r="AC131" s="534"/>
      <c r="AD131" s="534"/>
      <c r="AE131" s="569"/>
      <c r="AF131" s="569"/>
      <c r="AG131" s="569"/>
      <c r="AH131" s="569"/>
      <c r="AI131" s="569"/>
      <c r="AJ131" s="569"/>
      <c r="AK131" s="569"/>
      <c r="AL131" s="569"/>
      <c r="AM131" s="534"/>
      <c r="AN131" s="534"/>
      <c r="AO131" s="534"/>
      <c r="AP131" s="534"/>
      <c r="AQ131" s="534"/>
      <c r="AR131" s="534"/>
      <c r="AS131" s="534"/>
      <c r="AT131" s="534"/>
      <c r="AU131" s="534"/>
      <c r="AV131" s="534"/>
      <c r="AW131" s="534"/>
      <c r="AX131" s="534"/>
      <c r="AY131" s="534"/>
      <c r="AZ131" s="534"/>
      <c r="BA131" s="534"/>
      <c r="BB131" s="534"/>
      <c r="BC131" s="534"/>
      <c r="BD131" s="534"/>
      <c r="BE131" s="534"/>
      <c r="BF131" s="534"/>
      <c r="BG131" s="534"/>
      <c r="BH131" s="534"/>
    </row>
    <row r="132" spans="1:60" s="40" customFormat="1" x14ac:dyDescent="0.2">
      <c r="A132" s="534"/>
      <c r="B132" s="534"/>
      <c r="C132" s="534"/>
      <c r="D132" s="534"/>
      <c r="E132" s="534"/>
      <c r="F132" s="534"/>
      <c r="G132" s="534"/>
      <c r="H132" s="534"/>
      <c r="I132" s="534"/>
      <c r="J132" s="534"/>
      <c r="K132" s="534"/>
      <c r="L132" s="534"/>
      <c r="M132" s="534"/>
      <c r="N132" s="534"/>
      <c r="O132" s="534"/>
      <c r="P132" s="534"/>
      <c r="Q132" s="534"/>
      <c r="R132" s="534"/>
      <c r="S132" s="534"/>
      <c r="T132" s="534"/>
      <c r="U132" s="534"/>
      <c r="V132" s="534"/>
      <c r="W132" s="534"/>
      <c r="X132" s="534"/>
      <c r="Y132" s="534"/>
      <c r="Z132" s="534"/>
      <c r="AA132" s="534"/>
      <c r="AB132" s="534"/>
      <c r="AC132" s="534"/>
      <c r="AD132" s="534"/>
      <c r="AE132" s="569"/>
      <c r="AF132" s="569"/>
      <c r="AG132" s="569"/>
      <c r="AH132" s="569"/>
      <c r="AI132" s="569"/>
      <c r="AJ132" s="569"/>
      <c r="AK132" s="569"/>
      <c r="AL132" s="569"/>
      <c r="AM132" s="534"/>
      <c r="AN132" s="534"/>
      <c r="AO132" s="534"/>
      <c r="AP132" s="534"/>
      <c r="AQ132" s="534"/>
      <c r="AR132" s="534"/>
      <c r="AS132" s="534"/>
      <c r="AT132" s="534"/>
      <c r="AU132" s="534"/>
      <c r="AV132" s="534"/>
      <c r="AW132" s="534"/>
      <c r="AX132" s="534"/>
      <c r="AY132" s="534"/>
      <c r="AZ132" s="534"/>
      <c r="BA132" s="534"/>
      <c r="BB132" s="534"/>
      <c r="BC132" s="534"/>
      <c r="BD132" s="534"/>
      <c r="BE132" s="534"/>
      <c r="BF132" s="534"/>
      <c r="BG132" s="534"/>
      <c r="BH132" s="534"/>
    </row>
    <row r="133" spans="1:60" s="40" customFormat="1" x14ac:dyDescent="0.2">
      <c r="A133" s="534"/>
      <c r="B133" s="534"/>
      <c r="C133" s="534"/>
      <c r="D133" s="534"/>
      <c r="E133" s="534"/>
      <c r="F133" s="534"/>
      <c r="G133" s="534"/>
      <c r="H133" s="534"/>
      <c r="I133" s="534"/>
      <c r="J133" s="534"/>
      <c r="K133" s="534"/>
      <c r="L133" s="534"/>
      <c r="M133" s="534"/>
      <c r="N133" s="534"/>
      <c r="O133" s="534"/>
      <c r="P133" s="534"/>
      <c r="Q133" s="534"/>
      <c r="R133" s="534"/>
      <c r="S133" s="534"/>
      <c r="T133" s="534"/>
      <c r="U133" s="534"/>
      <c r="V133" s="534"/>
      <c r="W133" s="534"/>
      <c r="X133" s="534"/>
      <c r="Y133" s="534"/>
      <c r="Z133" s="534"/>
      <c r="AA133" s="534"/>
      <c r="AB133" s="534"/>
      <c r="AC133" s="534"/>
      <c r="AD133" s="534"/>
      <c r="AE133" s="569"/>
      <c r="AF133" s="569"/>
      <c r="AG133" s="569"/>
      <c r="AH133" s="569"/>
      <c r="AI133" s="569"/>
      <c r="AJ133" s="569"/>
      <c r="AK133" s="569"/>
      <c r="AL133" s="569"/>
      <c r="AM133" s="534"/>
      <c r="AN133" s="534"/>
      <c r="AO133" s="534"/>
      <c r="AP133" s="534"/>
      <c r="AQ133" s="534"/>
      <c r="AR133" s="534"/>
      <c r="AS133" s="534"/>
      <c r="AT133" s="534"/>
      <c r="AU133" s="534"/>
      <c r="AV133" s="534"/>
      <c r="AW133" s="534"/>
      <c r="AX133" s="534"/>
      <c r="AY133" s="534"/>
      <c r="AZ133" s="534"/>
      <c r="BA133" s="534"/>
      <c r="BB133" s="534"/>
      <c r="BC133" s="534"/>
      <c r="BD133" s="534"/>
      <c r="BE133" s="534"/>
      <c r="BF133" s="534"/>
      <c r="BG133" s="534"/>
      <c r="BH133" s="534"/>
    </row>
    <row r="134" spans="1:60" s="40" customFormat="1" x14ac:dyDescent="0.2">
      <c r="A134" s="534"/>
      <c r="B134" s="534"/>
      <c r="C134" s="534"/>
      <c r="D134" s="534"/>
      <c r="E134" s="534"/>
      <c r="F134" s="534"/>
      <c r="G134" s="534"/>
      <c r="H134" s="534"/>
      <c r="I134" s="534"/>
      <c r="J134" s="534"/>
      <c r="K134" s="534"/>
      <c r="L134" s="534"/>
      <c r="M134" s="534"/>
      <c r="N134" s="534"/>
      <c r="O134" s="534"/>
      <c r="P134" s="534"/>
      <c r="Q134" s="534"/>
      <c r="R134" s="534"/>
      <c r="S134" s="534"/>
      <c r="T134" s="534"/>
      <c r="U134" s="534"/>
      <c r="V134" s="534"/>
      <c r="W134" s="534"/>
      <c r="X134" s="534"/>
      <c r="Y134" s="534"/>
      <c r="Z134" s="534"/>
      <c r="AA134" s="534"/>
      <c r="AB134" s="534"/>
      <c r="AC134" s="534"/>
      <c r="AD134" s="534"/>
      <c r="AE134" s="569"/>
      <c r="AF134" s="569"/>
      <c r="AG134" s="569"/>
      <c r="AH134" s="569"/>
      <c r="AI134" s="569"/>
      <c r="AJ134" s="569"/>
      <c r="AK134" s="569"/>
      <c r="AL134" s="569"/>
      <c r="AM134" s="534"/>
      <c r="AN134" s="534"/>
      <c r="AO134" s="534"/>
      <c r="AP134" s="534"/>
      <c r="AQ134" s="534"/>
      <c r="AR134" s="534"/>
      <c r="AS134" s="534"/>
      <c r="AT134" s="534"/>
      <c r="AU134" s="534"/>
      <c r="AV134" s="534"/>
      <c r="AW134" s="534"/>
      <c r="AX134" s="534"/>
      <c r="AY134" s="534"/>
      <c r="AZ134" s="534"/>
      <c r="BA134" s="534"/>
      <c r="BB134" s="534"/>
      <c r="BC134" s="534"/>
      <c r="BD134" s="534"/>
      <c r="BE134" s="534"/>
      <c r="BF134" s="534"/>
      <c r="BG134" s="534"/>
      <c r="BH134" s="534"/>
    </row>
    <row r="135" spans="1:60" s="40" customFormat="1" x14ac:dyDescent="0.2">
      <c r="A135" s="534"/>
      <c r="B135" s="534"/>
      <c r="C135" s="534"/>
      <c r="D135" s="534"/>
      <c r="E135" s="534"/>
      <c r="F135" s="534"/>
      <c r="G135" s="534"/>
      <c r="H135" s="534"/>
      <c r="I135" s="534"/>
      <c r="J135" s="534"/>
      <c r="K135" s="534"/>
      <c r="L135" s="534"/>
      <c r="M135" s="534"/>
      <c r="N135" s="534"/>
      <c r="O135" s="534"/>
      <c r="P135" s="534"/>
      <c r="Q135" s="534"/>
      <c r="R135" s="534"/>
      <c r="S135" s="534"/>
      <c r="T135" s="534"/>
      <c r="U135" s="534"/>
      <c r="V135" s="534"/>
      <c r="W135" s="534"/>
      <c r="X135" s="534"/>
      <c r="Y135" s="534"/>
      <c r="Z135" s="534"/>
      <c r="AA135" s="534"/>
      <c r="AB135" s="534"/>
      <c r="AC135" s="534"/>
      <c r="AD135" s="534"/>
      <c r="AE135" s="569"/>
      <c r="AF135" s="569"/>
      <c r="AG135" s="569"/>
      <c r="AH135" s="569"/>
      <c r="AI135" s="569"/>
      <c r="AJ135" s="569"/>
      <c r="AK135" s="569"/>
      <c r="AL135" s="569"/>
      <c r="AM135" s="534"/>
      <c r="AN135" s="534"/>
      <c r="AO135" s="534"/>
      <c r="AP135" s="534"/>
      <c r="AQ135" s="534"/>
      <c r="AR135" s="534"/>
      <c r="AS135" s="534"/>
      <c r="AT135" s="534"/>
      <c r="AU135" s="534"/>
      <c r="AV135" s="534"/>
      <c r="AW135" s="534"/>
      <c r="AX135" s="534"/>
      <c r="AY135" s="534"/>
      <c r="AZ135" s="534"/>
      <c r="BA135" s="534"/>
      <c r="BB135" s="534"/>
      <c r="BC135" s="534"/>
      <c r="BD135" s="534"/>
      <c r="BE135" s="534"/>
      <c r="BF135" s="534"/>
      <c r="BG135" s="534"/>
      <c r="BH135" s="534"/>
    </row>
    <row r="136" spans="1:60" s="40" customFormat="1" x14ac:dyDescent="0.2">
      <c r="A136" s="534"/>
      <c r="B136" s="534"/>
      <c r="C136" s="534"/>
      <c r="D136" s="534"/>
      <c r="E136" s="534"/>
      <c r="F136" s="534"/>
      <c r="G136" s="534"/>
      <c r="H136" s="534"/>
      <c r="I136" s="534"/>
      <c r="J136" s="534"/>
      <c r="K136" s="534"/>
      <c r="L136" s="534"/>
      <c r="M136" s="534"/>
      <c r="N136" s="534"/>
      <c r="O136" s="534"/>
      <c r="P136" s="534"/>
      <c r="Q136" s="534"/>
      <c r="R136" s="534"/>
      <c r="S136" s="534"/>
      <c r="T136" s="534"/>
      <c r="U136" s="534"/>
      <c r="V136" s="534"/>
      <c r="W136" s="534"/>
      <c r="X136" s="534"/>
      <c r="Y136" s="534"/>
      <c r="Z136" s="534"/>
      <c r="AA136" s="534"/>
      <c r="AB136" s="534"/>
      <c r="AC136" s="534"/>
      <c r="AD136" s="534"/>
      <c r="AE136" s="569"/>
      <c r="AF136" s="569"/>
      <c r="AG136" s="569"/>
      <c r="AH136" s="569"/>
      <c r="AI136" s="569"/>
      <c r="AJ136" s="569"/>
      <c r="AK136" s="569"/>
      <c r="AL136" s="569"/>
      <c r="AM136" s="534"/>
      <c r="AN136" s="534"/>
      <c r="AO136" s="534"/>
      <c r="AP136" s="534"/>
      <c r="AQ136" s="534"/>
      <c r="AR136" s="534"/>
      <c r="AS136" s="534"/>
      <c r="AT136" s="534"/>
      <c r="AU136" s="534"/>
      <c r="AV136" s="534"/>
      <c r="AW136" s="534"/>
      <c r="AX136" s="534"/>
      <c r="AY136" s="534"/>
      <c r="AZ136" s="534"/>
      <c r="BA136" s="534"/>
      <c r="BB136" s="534"/>
      <c r="BC136" s="534"/>
      <c r="BD136" s="534"/>
      <c r="BE136" s="534"/>
      <c r="BF136" s="534"/>
      <c r="BG136" s="534"/>
      <c r="BH136" s="534"/>
    </row>
    <row r="137" spans="1:60" s="40" customFormat="1" x14ac:dyDescent="0.2">
      <c r="A137" s="534"/>
      <c r="B137" s="534"/>
      <c r="C137" s="534"/>
      <c r="D137" s="534"/>
      <c r="E137" s="534"/>
      <c r="F137" s="534"/>
      <c r="G137" s="534"/>
      <c r="H137" s="534"/>
      <c r="I137" s="534"/>
      <c r="J137" s="534"/>
      <c r="K137" s="534"/>
      <c r="L137" s="534"/>
      <c r="M137" s="534"/>
      <c r="N137" s="534"/>
      <c r="O137" s="534"/>
      <c r="P137" s="534"/>
      <c r="Q137" s="534"/>
      <c r="R137" s="534"/>
      <c r="S137" s="534"/>
      <c r="T137" s="534"/>
      <c r="U137" s="534"/>
      <c r="V137" s="534"/>
      <c r="W137" s="534"/>
      <c r="X137" s="534"/>
      <c r="Y137" s="534"/>
      <c r="Z137" s="534"/>
      <c r="AA137" s="534"/>
      <c r="AB137" s="534"/>
      <c r="AC137" s="534"/>
      <c r="AD137" s="534"/>
      <c r="AE137" s="569"/>
      <c r="AF137" s="569"/>
      <c r="AG137" s="569"/>
      <c r="AH137" s="569"/>
      <c r="AI137" s="569"/>
      <c r="AJ137" s="569"/>
      <c r="AK137" s="569"/>
      <c r="AL137" s="569"/>
      <c r="AM137" s="534"/>
      <c r="AN137" s="534"/>
      <c r="AO137" s="534"/>
      <c r="AP137" s="534"/>
      <c r="AQ137" s="534"/>
      <c r="AR137" s="534"/>
      <c r="AS137" s="534"/>
      <c r="AT137" s="534"/>
      <c r="AU137" s="534"/>
      <c r="AV137" s="534"/>
      <c r="AW137" s="534"/>
      <c r="AX137" s="534"/>
      <c r="AY137" s="534"/>
      <c r="AZ137" s="534"/>
      <c r="BA137" s="534"/>
      <c r="BB137" s="534"/>
      <c r="BC137" s="534"/>
      <c r="BD137" s="534"/>
      <c r="BE137" s="534"/>
      <c r="BF137" s="534"/>
      <c r="BG137" s="534"/>
      <c r="BH137" s="534"/>
    </row>
    <row r="138" spans="1:60" s="40" customFormat="1" x14ac:dyDescent="0.2">
      <c r="A138" s="534"/>
      <c r="B138" s="534"/>
      <c r="C138" s="534"/>
      <c r="D138" s="534"/>
      <c r="E138" s="534"/>
      <c r="F138" s="534"/>
      <c r="G138" s="534"/>
      <c r="H138" s="534"/>
      <c r="I138" s="534"/>
      <c r="J138" s="534"/>
      <c r="K138" s="534"/>
      <c r="L138" s="534"/>
      <c r="M138" s="534"/>
      <c r="N138" s="534"/>
      <c r="O138" s="534"/>
      <c r="P138" s="534"/>
      <c r="Q138" s="534"/>
      <c r="R138" s="534"/>
      <c r="S138" s="534"/>
      <c r="T138" s="534"/>
      <c r="U138" s="534"/>
      <c r="V138" s="534"/>
      <c r="W138" s="534"/>
      <c r="X138" s="534"/>
      <c r="Y138" s="534"/>
      <c r="Z138" s="534"/>
      <c r="AA138" s="534"/>
      <c r="AB138" s="534"/>
      <c r="AC138" s="534"/>
      <c r="AD138" s="534"/>
      <c r="AE138" s="569"/>
      <c r="AF138" s="569"/>
      <c r="AG138" s="569"/>
      <c r="AH138" s="569"/>
      <c r="AI138" s="569"/>
      <c r="AJ138" s="569"/>
      <c r="AK138" s="569"/>
      <c r="AL138" s="569"/>
      <c r="AM138" s="534"/>
      <c r="AN138" s="534"/>
      <c r="AO138" s="534"/>
      <c r="AP138" s="534"/>
      <c r="AQ138" s="534"/>
      <c r="AR138" s="534"/>
      <c r="AS138" s="534"/>
      <c r="AT138" s="534"/>
      <c r="AU138" s="534"/>
      <c r="AV138" s="534"/>
      <c r="AW138" s="534"/>
      <c r="AX138" s="534"/>
      <c r="AY138" s="534"/>
      <c r="AZ138" s="534"/>
      <c r="BA138" s="534"/>
      <c r="BB138" s="534"/>
      <c r="BC138" s="534"/>
      <c r="BD138" s="534"/>
      <c r="BE138" s="534"/>
      <c r="BF138" s="534"/>
      <c r="BG138" s="534"/>
      <c r="BH138" s="534"/>
    </row>
    <row r="139" spans="1:60" s="40" customFormat="1" x14ac:dyDescent="0.2">
      <c r="A139" s="534"/>
      <c r="B139" s="534"/>
      <c r="C139" s="534"/>
      <c r="D139" s="534"/>
      <c r="E139" s="534"/>
      <c r="F139" s="534"/>
      <c r="G139" s="534"/>
      <c r="H139" s="534"/>
      <c r="I139" s="534"/>
      <c r="J139" s="534"/>
      <c r="K139" s="534"/>
      <c r="L139" s="534"/>
      <c r="M139" s="534"/>
      <c r="N139" s="534"/>
      <c r="O139" s="534"/>
      <c r="P139" s="534"/>
      <c r="Q139" s="534"/>
      <c r="R139" s="534"/>
      <c r="S139" s="534"/>
      <c r="T139" s="534"/>
      <c r="U139" s="534"/>
      <c r="V139" s="534"/>
      <c r="W139" s="534"/>
      <c r="X139" s="534"/>
      <c r="Y139" s="534"/>
      <c r="Z139" s="534"/>
      <c r="AA139" s="534"/>
      <c r="AB139" s="534"/>
      <c r="AC139" s="534"/>
      <c r="AD139" s="534"/>
      <c r="AE139" s="569"/>
      <c r="AF139" s="569"/>
      <c r="AG139" s="569"/>
      <c r="AH139" s="569"/>
      <c r="AI139" s="569"/>
      <c r="AJ139" s="569"/>
      <c r="AK139" s="569"/>
      <c r="AL139" s="569"/>
      <c r="AM139" s="534"/>
      <c r="AN139" s="534"/>
      <c r="AO139" s="534"/>
      <c r="AP139" s="534"/>
      <c r="AQ139" s="534"/>
      <c r="AR139" s="534"/>
      <c r="AS139" s="534"/>
      <c r="AT139" s="534"/>
      <c r="AU139" s="534"/>
      <c r="AV139" s="534"/>
      <c r="AW139" s="534"/>
      <c r="AX139" s="534"/>
      <c r="AY139" s="534"/>
      <c r="AZ139" s="534"/>
      <c r="BA139" s="534"/>
      <c r="BB139" s="534"/>
      <c r="BC139" s="534"/>
      <c r="BD139" s="534"/>
      <c r="BE139" s="534"/>
      <c r="BF139" s="534"/>
      <c r="BG139" s="534"/>
      <c r="BH139" s="534"/>
    </row>
    <row r="140" spans="1:60" s="40" customFormat="1" x14ac:dyDescent="0.2">
      <c r="A140" s="534"/>
      <c r="B140" s="534"/>
      <c r="C140" s="534"/>
      <c r="D140" s="534"/>
      <c r="E140" s="534"/>
      <c r="F140" s="534"/>
      <c r="G140" s="534"/>
      <c r="H140" s="534"/>
      <c r="I140" s="534"/>
      <c r="J140" s="534"/>
      <c r="K140" s="534"/>
      <c r="L140" s="534"/>
      <c r="M140" s="534"/>
      <c r="N140" s="534"/>
      <c r="O140" s="534"/>
      <c r="P140" s="534"/>
      <c r="Q140" s="534"/>
      <c r="R140" s="534"/>
      <c r="S140" s="534"/>
      <c r="T140" s="534"/>
      <c r="U140" s="534"/>
      <c r="V140" s="534"/>
      <c r="W140" s="534"/>
      <c r="X140" s="534"/>
      <c r="Y140" s="534"/>
      <c r="Z140" s="534"/>
      <c r="AA140" s="534"/>
      <c r="AB140" s="534"/>
      <c r="AC140" s="534"/>
      <c r="AD140" s="534"/>
      <c r="AE140" s="569"/>
      <c r="AF140" s="569"/>
      <c r="AG140" s="569"/>
      <c r="AH140" s="569"/>
      <c r="AI140" s="569"/>
      <c r="AJ140" s="569"/>
      <c r="AK140" s="569"/>
      <c r="AL140" s="569"/>
      <c r="AM140" s="534"/>
      <c r="AN140" s="534"/>
      <c r="AO140" s="534"/>
      <c r="AP140" s="534"/>
      <c r="AQ140" s="534"/>
      <c r="AR140" s="534"/>
      <c r="AS140" s="534"/>
      <c r="AT140" s="534"/>
      <c r="AU140" s="534"/>
      <c r="AV140" s="534"/>
      <c r="AW140" s="534"/>
      <c r="AX140" s="534"/>
      <c r="AY140" s="534"/>
      <c r="AZ140" s="534"/>
      <c r="BA140" s="534"/>
      <c r="BB140" s="534"/>
      <c r="BC140" s="534"/>
      <c r="BD140" s="534"/>
      <c r="BE140" s="534"/>
      <c r="BF140" s="534"/>
      <c r="BG140" s="534"/>
      <c r="BH140" s="534"/>
    </row>
    <row r="141" spans="1:60" s="40" customFormat="1" x14ac:dyDescent="0.2">
      <c r="A141" s="534"/>
      <c r="B141" s="534"/>
      <c r="C141" s="534"/>
      <c r="D141" s="534"/>
      <c r="E141" s="534"/>
      <c r="F141" s="534"/>
      <c r="G141" s="534"/>
      <c r="H141" s="534"/>
      <c r="I141" s="534"/>
      <c r="J141" s="534"/>
      <c r="K141" s="534"/>
      <c r="L141" s="534"/>
      <c r="M141" s="534"/>
      <c r="N141" s="534"/>
      <c r="O141" s="534"/>
      <c r="P141" s="534"/>
      <c r="Q141" s="534"/>
      <c r="R141" s="534"/>
      <c r="S141" s="534"/>
      <c r="T141" s="534"/>
      <c r="U141" s="534"/>
      <c r="V141" s="534"/>
      <c r="W141" s="534"/>
      <c r="X141" s="534"/>
      <c r="Y141" s="534"/>
      <c r="Z141" s="534"/>
      <c r="AA141" s="534"/>
      <c r="AB141" s="534"/>
      <c r="AC141" s="534"/>
      <c r="AD141" s="534"/>
      <c r="AE141" s="569"/>
      <c r="AF141" s="569"/>
      <c r="AG141" s="569"/>
      <c r="AH141" s="569"/>
      <c r="AI141" s="569"/>
      <c r="AJ141" s="569"/>
      <c r="AK141" s="569"/>
      <c r="AL141" s="569"/>
      <c r="AM141" s="534"/>
      <c r="AN141" s="534"/>
      <c r="AO141" s="534"/>
      <c r="AP141" s="534"/>
      <c r="AQ141" s="534"/>
      <c r="AR141" s="534"/>
      <c r="AS141" s="534"/>
      <c r="AT141" s="534"/>
      <c r="AU141" s="534"/>
      <c r="AV141" s="534"/>
      <c r="AW141" s="534"/>
      <c r="AX141" s="534"/>
      <c r="AY141" s="534"/>
      <c r="AZ141" s="534"/>
      <c r="BA141" s="534"/>
      <c r="BB141" s="534"/>
      <c r="BC141" s="534"/>
      <c r="BD141" s="534"/>
      <c r="BE141" s="534"/>
      <c r="BF141" s="534"/>
      <c r="BG141" s="534"/>
      <c r="BH141" s="534"/>
    </row>
    <row r="142" spans="1:60" s="40" customFormat="1" x14ac:dyDescent="0.2">
      <c r="A142" s="534"/>
      <c r="B142" s="534"/>
      <c r="C142" s="534"/>
      <c r="D142" s="534"/>
      <c r="E142" s="534"/>
      <c r="F142" s="534"/>
      <c r="G142" s="534"/>
      <c r="H142" s="534"/>
      <c r="I142" s="534"/>
      <c r="J142" s="534"/>
      <c r="K142" s="534"/>
      <c r="L142" s="534"/>
      <c r="M142" s="534"/>
      <c r="N142" s="534"/>
      <c r="O142" s="534"/>
      <c r="P142" s="534"/>
      <c r="Q142" s="534"/>
      <c r="R142" s="534"/>
      <c r="S142" s="534"/>
      <c r="T142" s="534"/>
      <c r="U142" s="534"/>
      <c r="V142" s="534"/>
      <c r="W142" s="534"/>
      <c r="X142" s="534"/>
      <c r="Y142" s="534"/>
      <c r="Z142" s="534"/>
      <c r="AA142" s="534"/>
      <c r="AB142" s="534"/>
      <c r="AC142" s="534"/>
      <c r="AD142" s="534"/>
      <c r="AE142" s="569"/>
      <c r="AF142" s="569"/>
      <c r="AG142" s="569"/>
      <c r="AH142" s="569"/>
      <c r="AI142" s="569"/>
      <c r="AJ142" s="569"/>
      <c r="AK142" s="569"/>
      <c r="AL142" s="569"/>
      <c r="AM142" s="534"/>
      <c r="AN142" s="534"/>
      <c r="AO142" s="534"/>
      <c r="AP142" s="534"/>
      <c r="AQ142" s="534"/>
      <c r="AR142" s="534"/>
      <c r="AS142" s="534"/>
      <c r="AT142" s="534"/>
      <c r="AU142" s="534"/>
      <c r="AV142" s="534"/>
      <c r="AW142" s="534"/>
      <c r="AX142" s="534"/>
      <c r="AY142" s="534"/>
      <c r="AZ142" s="534"/>
      <c r="BA142" s="534"/>
      <c r="BB142" s="534"/>
      <c r="BC142" s="534"/>
      <c r="BD142" s="534"/>
      <c r="BE142" s="534"/>
      <c r="BF142" s="534"/>
      <c r="BG142" s="534"/>
      <c r="BH142" s="534"/>
    </row>
    <row r="143" spans="1:60" s="40" customFormat="1" x14ac:dyDescent="0.2">
      <c r="A143" s="534"/>
      <c r="B143" s="534"/>
      <c r="C143" s="534"/>
      <c r="D143" s="534"/>
      <c r="E143" s="534"/>
      <c r="F143" s="534"/>
      <c r="G143" s="534"/>
      <c r="H143" s="534"/>
      <c r="I143" s="534"/>
      <c r="J143" s="534"/>
      <c r="K143" s="534"/>
      <c r="L143" s="534"/>
      <c r="M143" s="534"/>
      <c r="N143" s="534"/>
      <c r="O143" s="534"/>
      <c r="P143" s="534"/>
      <c r="Q143" s="534"/>
      <c r="R143" s="534"/>
      <c r="S143" s="534"/>
      <c r="T143" s="534"/>
      <c r="U143" s="534"/>
      <c r="V143" s="534"/>
      <c r="W143" s="534"/>
      <c r="X143" s="534"/>
      <c r="Y143" s="534"/>
      <c r="Z143" s="534"/>
      <c r="AA143" s="534"/>
      <c r="AB143" s="534"/>
      <c r="AC143" s="534"/>
      <c r="AD143" s="534"/>
      <c r="AE143" s="569"/>
      <c r="AF143" s="569"/>
      <c r="AG143" s="569"/>
      <c r="AH143" s="569"/>
      <c r="AI143" s="569"/>
      <c r="AJ143" s="569"/>
      <c r="AK143" s="569"/>
      <c r="AL143" s="569"/>
      <c r="AM143" s="534"/>
      <c r="AN143" s="534"/>
      <c r="AO143" s="534"/>
      <c r="AP143" s="534"/>
      <c r="AQ143" s="534"/>
      <c r="AR143" s="534"/>
      <c r="AS143" s="534"/>
      <c r="AT143" s="534"/>
      <c r="AU143" s="534"/>
      <c r="AV143" s="534"/>
      <c r="AW143" s="534"/>
      <c r="AX143" s="534"/>
      <c r="AY143" s="534"/>
      <c r="AZ143" s="534"/>
      <c r="BA143" s="534"/>
      <c r="BB143" s="534"/>
      <c r="BC143" s="534"/>
      <c r="BD143" s="534"/>
      <c r="BE143" s="534"/>
      <c r="BF143" s="534"/>
      <c r="BG143" s="534"/>
      <c r="BH143" s="534"/>
    </row>
    <row r="144" spans="1:60" s="40" customFormat="1" x14ac:dyDescent="0.2">
      <c r="A144" s="534"/>
      <c r="B144" s="534"/>
      <c r="C144" s="534"/>
      <c r="D144" s="534"/>
      <c r="E144" s="534"/>
      <c r="F144" s="534"/>
      <c r="G144" s="534"/>
      <c r="H144" s="534"/>
      <c r="I144" s="534"/>
      <c r="J144" s="534"/>
      <c r="K144" s="534"/>
      <c r="L144" s="534"/>
      <c r="M144" s="534"/>
      <c r="N144" s="534"/>
      <c r="O144" s="534"/>
      <c r="P144" s="534"/>
      <c r="Q144" s="534"/>
      <c r="R144" s="534"/>
      <c r="S144" s="534"/>
      <c r="T144" s="534"/>
      <c r="U144" s="534"/>
      <c r="V144" s="534"/>
      <c r="W144" s="534"/>
      <c r="X144" s="534"/>
      <c r="Y144" s="534"/>
      <c r="Z144" s="534"/>
      <c r="AA144" s="534"/>
      <c r="AB144" s="534"/>
      <c r="AC144" s="534"/>
      <c r="AD144" s="534"/>
      <c r="AE144" s="569"/>
      <c r="AF144" s="569"/>
      <c r="AG144" s="569"/>
      <c r="AH144" s="569"/>
      <c r="AI144" s="569"/>
      <c r="AJ144" s="569"/>
      <c r="AK144" s="569"/>
      <c r="AL144" s="569"/>
      <c r="AM144" s="534"/>
      <c r="AN144" s="534"/>
      <c r="AO144" s="534"/>
      <c r="AP144" s="534"/>
      <c r="AQ144" s="534"/>
      <c r="AR144" s="534"/>
      <c r="AS144" s="534"/>
      <c r="AT144" s="534"/>
      <c r="AU144" s="534"/>
      <c r="AV144" s="534"/>
      <c r="AW144" s="534"/>
      <c r="AX144" s="534"/>
      <c r="AY144" s="534"/>
      <c r="AZ144" s="534"/>
      <c r="BA144" s="534"/>
      <c r="BB144" s="534"/>
      <c r="BC144" s="534"/>
      <c r="BD144" s="534"/>
      <c r="BE144" s="534"/>
      <c r="BF144" s="534"/>
      <c r="BG144" s="534"/>
      <c r="BH144" s="534"/>
    </row>
    <row r="145" spans="1:60" s="40" customFormat="1" x14ac:dyDescent="0.2">
      <c r="A145" s="534"/>
      <c r="B145" s="534"/>
      <c r="C145" s="534"/>
      <c r="D145" s="534"/>
      <c r="E145" s="534"/>
      <c r="F145" s="534"/>
      <c r="G145" s="534"/>
      <c r="H145" s="534"/>
      <c r="I145" s="534"/>
      <c r="J145" s="534"/>
      <c r="K145" s="534"/>
      <c r="L145" s="534"/>
      <c r="M145" s="534"/>
      <c r="N145" s="534"/>
      <c r="O145" s="534"/>
      <c r="P145" s="534"/>
      <c r="Q145" s="534"/>
      <c r="R145" s="534"/>
      <c r="S145" s="534"/>
      <c r="T145" s="534"/>
      <c r="U145" s="534"/>
      <c r="V145" s="534"/>
      <c r="W145" s="534"/>
      <c r="X145" s="534"/>
      <c r="Y145" s="534"/>
      <c r="Z145" s="534"/>
      <c r="AA145" s="534"/>
      <c r="AB145" s="534"/>
      <c r="AC145" s="534"/>
      <c r="AD145" s="534"/>
      <c r="AE145" s="569"/>
      <c r="AF145" s="569"/>
      <c r="AG145" s="569"/>
      <c r="AH145" s="569"/>
      <c r="AI145" s="569"/>
      <c r="AJ145" s="569"/>
      <c r="AK145" s="569"/>
      <c r="AL145" s="569"/>
      <c r="AM145" s="534"/>
      <c r="AN145" s="534"/>
      <c r="AO145" s="534"/>
      <c r="AP145" s="534"/>
      <c r="AQ145" s="534"/>
      <c r="AR145" s="534"/>
      <c r="AS145" s="534"/>
      <c r="AT145" s="534"/>
      <c r="AU145" s="534"/>
      <c r="AV145" s="534"/>
      <c r="AW145" s="534"/>
      <c r="AX145" s="534"/>
      <c r="AY145" s="534"/>
      <c r="AZ145" s="534"/>
      <c r="BA145" s="534"/>
      <c r="BB145" s="534"/>
      <c r="BC145" s="534"/>
      <c r="BD145" s="534"/>
      <c r="BE145" s="534"/>
      <c r="BF145" s="534"/>
      <c r="BG145" s="534"/>
      <c r="BH145" s="534"/>
    </row>
    <row r="146" spans="1:60" s="40" customFormat="1" x14ac:dyDescent="0.2">
      <c r="A146" s="534"/>
      <c r="B146" s="534"/>
      <c r="C146" s="534"/>
      <c r="D146" s="534"/>
      <c r="E146" s="534"/>
      <c r="F146" s="534"/>
      <c r="G146" s="534"/>
      <c r="H146" s="534"/>
      <c r="I146" s="534"/>
      <c r="J146" s="534"/>
      <c r="K146" s="534"/>
      <c r="L146" s="534"/>
      <c r="M146" s="534"/>
      <c r="N146" s="534"/>
      <c r="O146" s="534"/>
      <c r="P146" s="534"/>
      <c r="Q146" s="534"/>
      <c r="R146" s="534"/>
      <c r="S146" s="534"/>
      <c r="T146" s="534"/>
      <c r="U146" s="534"/>
      <c r="V146" s="534"/>
      <c r="W146" s="534"/>
      <c r="X146" s="534"/>
      <c r="Y146" s="534"/>
      <c r="Z146" s="534"/>
      <c r="AA146" s="534"/>
      <c r="AB146" s="534"/>
      <c r="AC146" s="534"/>
      <c r="AD146" s="534"/>
      <c r="AE146" s="569"/>
      <c r="AF146" s="569"/>
      <c r="AG146" s="569"/>
      <c r="AH146" s="569"/>
      <c r="AI146" s="569"/>
      <c r="AJ146" s="569"/>
      <c r="AK146" s="569"/>
      <c r="AL146" s="569"/>
      <c r="AM146" s="534"/>
      <c r="AN146" s="534"/>
      <c r="AO146" s="534"/>
      <c r="AP146" s="534"/>
      <c r="AQ146" s="534"/>
      <c r="AR146" s="534"/>
      <c r="AS146" s="534"/>
      <c r="AT146" s="534"/>
      <c r="AU146" s="534"/>
      <c r="AV146" s="534"/>
      <c r="AW146" s="534"/>
      <c r="AX146" s="534"/>
      <c r="AY146" s="534"/>
      <c r="AZ146" s="534"/>
      <c r="BA146" s="534"/>
      <c r="BB146" s="534"/>
      <c r="BC146" s="534"/>
      <c r="BD146" s="534"/>
      <c r="BE146" s="534"/>
      <c r="BF146" s="534"/>
      <c r="BG146" s="534"/>
      <c r="BH146" s="534"/>
    </row>
    <row r="147" spans="1:60" s="40" customFormat="1" x14ac:dyDescent="0.2">
      <c r="A147" s="534"/>
      <c r="B147" s="534"/>
      <c r="C147" s="534"/>
      <c r="D147" s="534"/>
      <c r="E147" s="534"/>
      <c r="F147" s="534"/>
      <c r="G147" s="534"/>
      <c r="H147" s="534"/>
      <c r="I147" s="534"/>
      <c r="J147" s="534"/>
      <c r="K147" s="534"/>
      <c r="L147" s="534"/>
      <c r="M147" s="534"/>
      <c r="N147" s="534"/>
      <c r="O147" s="534"/>
      <c r="P147" s="534"/>
      <c r="Q147" s="534"/>
      <c r="R147" s="534"/>
      <c r="S147" s="534"/>
      <c r="T147" s="534"/>
      <c r="U147" s="534"/>
      <c r="V147" s="534"/>
      <c r="W147" s="534"/>
      <c r="X147" s="534"/>
      <c r="Y147" s="534"/>
      <c r="Z147" s="534"/>
      <c r="AA147" s="534"/>
      <c r="AB147" s="534"/>
      <c r="AC147" s="534"/>
      <c r="AD147" s="534"/>
      <c r="AE147" s="569"/>
      <c r="AF147" s="569"/>
      <c r="AG147" s="569"/>
      <c r="AH147" s="569"/>
      <c r="AI147" s="569"/>
      <c r="AJ147" s="569"/>
      <c r="AK147" s="569"/>
      <c r="AL147" s="569"/>
      <c r="AM147" s="534"/>
      <c r="AN147" s="534"/>
      <c r="AO147" s="534"/>
      <c r="AP147" s="534"/>
      <c r="AQ147" s="534"/>
      <c r="AR147" s="534"/>
      <c r="AS147" s="534"/>
      <c r="AT147" s="534"/>
      <c r="AU147" s="534"/>
      <c r="AV147" s="534"/>
      <c r="AW147" s="534"/>
      <c r="AX147" s="534"/>
      <c r="AY147" s="534"/>
      <c r="AZ147" s="534"/>
      <c r="BA147" s="534"/>
      <c r="BB147" s="534"/>
      <c r="BC147" s="534"/>
      <c r="BD147" s="534"/>
      <c r="BE147" s="534"/>
      <c r="BF147" s="534"/>
      <c r="BG147" s="534"/>
      <c r="BH147" s="534"/>
    </row>
    <row r="148" spans="1:60" s="40" customFormat="1" x14ac:dyDescent="0.2">
      <c r="A148" s="534"/>
      <c r="B148" s="534"/>
      <c r="C148" s="534"/>
      <c r="D148" s="534"/>
      <c r="E148" s="534"/>
      <c r="F148" s="534"/>
      <c r="G148" s="534"/>
      <c r="H148" s="534"/>
      <c r="I148" s="534"/>
      <c r="J148" s="534"/>
      <c r="K148" s="534"/>
      <c r="L148" s="534"/>
      <c r="M148" s="534"/>
      <c r="N148" s="534"/>
      <c r="O148" s="534"/>
      <c r="P148" s="534"/>
      <c r="Q148" s="534"/>
      <c r="R148" s="534"/>
      <c r="S148" s="534"/>
      <c r="T148" s="534"/>
      <c r="U148" s="534"/>
      <c r="V148" s="534"/>
      <c r="W148" s="534"/>
      <c r="X148" s="534"/>
      <c r="Y148" s="534"/>
      <c r="Z148" s="534"/>
      <c r="AA148" s="534"/>
      <c r="AB148" s="534"/>
      <c r="AC148" s="534"/>
      <c r="AD148" s="534"/>
      <c r="AE148" s="569"/>
      <c r="AF148" s="569"/>
      <c r="AG148" s="569"/>
      <c r="AH148" s="569"/>
      <c r="AI148" s="569"/>
      <c r="AJ148" s="569"/>
      <c r="AK148" s="569"/>
      <c r="AL148" s="569"/>
      <c r="AM148" s="534"/>
      <c r="AN148" s="534"/>
      <c r="AO148" s="534"/>
      <c r="AP148" s="534"/>
      <c r="AQ148" s="534"/>
      <c r="AR148" s="534"/>
      <c r="AS148" s="534"/>
      <c r="AT148" s="534"/>
      <c r="AU148" s="534"/>
      <c r="AV148" s="534"/>
      <c r="AW148" s="534"/>
      <c r="AX148" s="534"/>
      <c r="AY148" s="534"/>
      <c r="AZ148" s="534"/>
      <c r="BA148" s="534"/>
      <c r="BB148" s="534"/>
      <c r="BC148" s="534"/>
      <c r="BD148" s="534"/>
      <c r="BE148" s="534"/>
      <c r="BF148" s="534"/>
      <c r="BG148" s="534"/>
      <c r="BH148" s="534"/>
    </row>
    <row r="149" spans="1:60" s="40" customFormat="1" x14ac:dyDescent="0.2">
      <c r="A149" s="534"/>
      <c r="B149" s="534"/>
      <c r="C149" s="534"/>
      <c r="D149" s="534"/>
      <c r="E149" s="534"/>
      <c r="F149" s="534"/>
      <c r="G149" s="534"/>
      <c r="H149" s="534"/>
      <c r="I149" s="534"/>
      <c r="J149" s="534"/>
      <c r="K149" s="534"/>
      <c r="L149" s="534"/>
      <c r="M149" s="534"/>
      <c r="N149" s="534"/>
      <c r="O149" s="534"/>
      <c r="P149" s="534"/>
      <c r="Q149" s="534"/>
      <c r="R149" s="534"/>
      <c r="S149" s="534"/>
      <c r="T149" s="534"/>
      <c r="U149" s="534"/>
      <c r="V149" s="534"/>
      <c r="W149" s="534"/>
      <c r="X149" s="534"/>
      <c r="Y149" s="534"/>
      <c r="Z149" s="534"/>
      <c r="AA149" s="534"/>
      <c r="AB149" s="534"/>
      <c r="AC149" s="534"/>
      <c r="AD149" s="534"/>
      <c r="AE149" s="569"/>
      <c r="AF149" s="569"/>
      <c r="AG149" s="569"/>
      <c r="AH149" s="569"/>
      <c r="AI149" s="569"/>
      <c r="AJ149" s="569"/>
      <c r="AK149" s="569"/>
      <c r="AL149" s="569"/>
      <c r="AM149" s="534"/>
      <c r="AN149" s="534"/>
      <c r="AO149" s="534"/>
      <c r="AP149" s="534"/>
      <c r="AQ149" s="534"/>
      <c r="AR149" s="534"/>
      <c r="AS149" s="534"/>
      <c r="AT149" s="534"/>
      <c r="AU149" s="534"/>
      <c r="AV149" s="534"/>
      <c r="AW149" s="534"/>
      <c r="AX149" s="534"/>
      <c r="AY149" s="534"/>
      <c r="AZ149" s="534"/>
      <c r="BA149" s="534"/>
      <c r="BB149" s="534"/>
      <c r="BC149" s="534"/>
      <c r="BD149" s="534"/>
      <c r="BE149" s="534"/>
      <c r="BF149" s="534"/>
      <c r="BG149" s="534"/>
      <c r="BH149" s="534"/>
    </row>
    <row r="150" spans="1:60" s="40" customFormat="1" x14ac:dyDescent="0.2">
      <c r="A150" s="534"/>
      <c r="B150" s="534"/>
      <c r="C150" s="534"/>
      <c r="D150" s="534"/>
      <c r="E150" s="534"/>
      <c r="F150" s="534"/>
      <c r="G150" s="534"/>
      <c r="H150" s="534"/>
      <c r="I150" s="534"/>
      <c r="J150" s="534"/>
      <c r="K150" s="534"/>
      <c r="L150" s="534"/>
      <c r="M150" s="534"/>
      <c r="N150" s="534"/>
      <c r="O150" s="534"/>
      <c r="P150" s="534"/>
      <c r="Q150" s="534"/>
      <c r="R150" s="534"/>
      <c r="S150" s="534"/>
      <c r="T150" s="534"/>
      <c r="U150" s="534"/>
      <c r="V150" s="534"/>
      <c r="W150" s="534"/>
      <c r="X150" s="534"/>
      <c r="Y150" s="534"/>
      <c r="Z150" s="534"/>
      <c r="AA150" s="534"/>
      <c r="AB150" s="534"/>
      <c r="AC150" s="534"/>
      <c r="AD150" s="534"/>
      <c r="AE150" s="569"/>
      <c r="AF150" s="569"/>
      <c r="AG150" s="569"/>
      <c r="AH150" s="569"/>
      <c r="AI150" s="569"/>
      <c r="AJ150" s="569"/>
      <c r="AK150" s="569"/>
      <c r="AL150" s="569"/>
      <c r="AM150" s="534"/>
      <c r="AN150" s="534"/>
      <c r="AO150" s="534"/>
      <c r="AP150" s="534"/>
      <c r="AQ150" s="534"/>
      <c r="AR150" s="534"/>
      <c r="AS150" s="534"/>
      <c r="AT150" s="534"/>
      <c r="AU150" s="534"/>
      <c r="AV150" s="534"/>
      <c r="AW150" s="534"/>
      <c r="AX150" s="534"/>
      <c r="AY150" s="534"/>
      <c r="AZ150" s="534"/>
      <c r="BA150" s="534"/>
      <c r="BB150" s="534"/>
      <c r="BC150" s="534"/>
      <c r="BD150" s="534"/>
      <c r="BE150" s="534"/>
      <c r="BF150" s="534"/>
      <c r="BG150" s="534"/>
      <c r="BH150" s="534"/>
    </row>
    <row r="151" spans="1:60" s="40" customFormat="1" x14ac:dyDescent="0.2">
      <c r="A151" s="534"/>
      <c r="B151" s="534"/>
      <c r="C151" s="534"/>
      <c r="D151" s="534"/>
      <c r="E151" s="534"/>
      <c r="F151" s="534"/>
      <c r="G151" s="534"/>
      <c r="H151" s="534"/>
      <c r="I151" s="534"/>
      <c r="J151" s="534"/>
      <c r="K151" s="534"/>
      <c r="L151" s="534"/>
      <c r="M151" s="534"/>
      <c r="N151" s="534"/>
      <c r="O151" s="534"/>
      <c r="P151" s="534"/>
      <c r="Q151" s="534"/>
      <c r="R151" s="534"/>
      <c r="S151" s="534"/>
      <c r="T151" s="534"/>
      <c r="U151" s="534"/>
      <c r="V151" s="534"/>
      <c r="W151" s="534"/>
      <c r="X151" s="534"/>
      <c r="Y151" s="534"/>
      <c r="Z151" s="534"/>
      <c r="AA151" s="534"/>
      <c r="AB151" s="534"/>
      <c r="AC151" s="534"/>
      <c r="AD151" s="534"/>
      <c r="AE151" s="569"/>
      <c r="AF151" s="569"/>
      <c r="AG151" s="569"/>
      <c r="AH151" s="569"/>
      <c r="AI151" s="569"/>
      <c r="AJ151" s="569"/>
      <c r="AK151" s="569"/>
      <c r="AL151" s="569"/>
      <c r="AM151" s="534"/>
      <c r="AN151" s="534"/>
      <c r="AO151" s="534"/>
      <c r="AP151" s="534"/>
      <c r="AQ151" s="534"/>
      <c r="AR151" s="534"/>
      <c r="AS151" s="534"/>
      <c r="AT151" s="534"/>
      <c r="AU151" s="534"/>
      <c r="AV151" s="534"/>
      <c r="AW151" s="534"/>
      <c r="AX151" s="534"/>
      <c r="AY151" s="534"/>
      <c r="AZ151" s="534"/>
      <c r="BA151" s="534"/>
      <c r="BB151" s="534"/>
      <c r="BC151" s="534"/>
      <c r="BD151" s="534"/>
      <c r="BE151" s="534"/>
      <c r="BF151" s="534"/>
      <c r="BG151" s="534"/>
      <c r="BH151" s="534"/>
    </row>
    <row r="152" spans="1:60" s="40" customFormat="1" x14ac:dyDescent="0.2">
      <c r="A152" s="534"/>
      <c r="B152" s="534"/>
      <c r="C152" s="534"/>
      <c r="D152" s="534"/>
      <c r="E152" s="534"/>
      <c r="F152" s="534"/>
      <c r="G152" s="534"/>
      <c r="H152" s="534"/>
      <c r="I152" s="534"/>
      <c r="J152" s="534"/>
      <c r="K152" s="534"/>
      <c r="L152" s="534"/>
      <c r="M152" s="534"/>
      <c r="N152" s="534"/>
      <c r="O152" s="534"/>
      <c r="P152" s="534"/>
      <c r="Q152" s="534"/>
      <c r="R152" s="534"/>
      <c r="S152" s="534"/>
      <c r="T152" s="534"/>
      <c r="U152" s="534"/>
      <c r="V152" s="534"/>
      <c r="W152" s="534"/>
      <c r="X152" s="534"/>
      <c r="Y152" s="534"/>
      <c r="Z152" s="534"/>
      <c r="AA152" s="534"/>
      <c r="AB152" s="534"/>
      <c r="AC152" s="534"/>
      <c r="AD152" s="534"/>
      <c r="AE152" s="569"/>
      <c r="AF152" s="569"/>
      <c r="AG152" s="569"/>
      <c r="AH152" s="569"/>
      <c r="AI152" s="569"/>
      <c r="AJ152" s="569"/>
      <c r="AK152" s="569"/>
      <c r="AL152" s="569"/>
      <c r="AM152" s="534"/>
      <c r="AN152" s="534"/>
      <c r="AO152" s="534"/>
      <c r="AP152" s="534"/>
      <c r="AQ152" s="534"/>
      <c r="AR152" s="534"/>
      <c r="AS152" s="534"/>
      <c r="AT152" s="534"/>
      <c r="AU152" s="534"/>
      <c r="AV152" s="534"/>
      <c r="AW152" s="534"/>
      <c r="AX152" s="534"/>
      <c r="AY152" s="534"/>
      <c r="AZ152" s="534"/>
      <c r="BA152" s="534"/>
      <c r="BB152" s="534"/>
      <c r="BC152" s="534"/>
      <c r="BD152" s="534"/>
      <c r="BE152" s="534"/>
      <c r="BF152" s="534"/>
      <c r="BG152" s="534"/>
      <c r="BH152" s="534"/>
    </row>
    <row r="153" spans="1:60" s="40" customFormat="1" x14ac:dyDescent="0.2">
      <c r="A153" s="534"/>
      <c r="B153" s="534"/>
      <c r="C153" s="534"/>
      <c r="D153" s="534"/>
      <c r="E153" s="534"/>
      <c r="F153" s="534"/>
      <c r="G153" s="534"/>
      <c r="H153" s="534"/>
      <c r="I153" s="534"/>
      <c r="J153" s="534"/>
      <c r="K153" s="534"/>
      <c r="L153" s="534"/>
      <c r="M153" s="534"/>
      <c r="N153" s="534"/>
      <c r="O153" s="534"/>
      <c r="P153" s="534"/>
      <c r="Q153" s="534"/>
      <c r="R153" s="534"/>
      <c r="S153" s="534"/>
      <c r="T153" s="534"/>
      <c r="U153" s="534"/>
      <c r="V153" s="534"/>
      <c r="W153" s="534"/>
      <c r="X153" s="534"/>
      <c r="Y153" s="534"/>
      <c r="Z153" s="534"/>
      <c r="AA153" s="534"/>
      <c r="AB153" s="534"/>
      <c r="AC153" s="534"/>
      <c r="AD153" s="534"/>
      <c r="AE153" s="569"/>
      <c r="AF153" s="569"/>
      <c r="AG153" s="569"/>
      <c r="AH153" s="569"/>
      <c r="AI153" s="569"/>
      <c r="AJ153" s="569"/>
      <c r="AK153" s="569"/>
      <c r="AL153" s="569"/>
      <c r="AM153" s="534"/>
      <c r="AN153" s="534"/>
      <c r="AO153" s="534"/>
      <c r="AP153" s="534"/>
      <c r="AQ153" s="534"/>
      <c r="AR153" s="534"/>
      <c r="AS153" s="534"/>
      <c r="AT153" s="534"/>
      <c r="AU153" s="534"/>
      <c r="AV153" s="534"/>
      <c r="AW153" s="534"/>
      <c r="AX153" s="534"/>
      <c r="AY153" s="534"/>
      <c r="AZ153" s="534"/>
      <c r="BA153" s="534"/>
      <c r="BB153" s="534"/>
      <c r="BC153" s="534"/>
      <c r="BD153" s="534"/>
      <c r="BE153" s="534"/>
      <c r="BF153" s="534"/>
      <c r="BG153" s="534"/>
      <c r="BH153" s="534"/>
    </row>
    <row r="154" spans="1:60" s="40" customFormat="1" x14ac:dyDescent="0.2">
      <c r="A154" s="534"/>
      <c r="B154" s="534"/>
      <c r="C154" s="534"/>
      <c r="D154" s="534"/>
      <c r="E154" s="534"/>
      <c r="F154" s="534"/>
      <c r="G154" s="534"/>
      <c r="H154" s="534"/>
      <c r="I154" s="534"/>
      <c r="J154" s="534"/>
      <c r="K154" s="534"/>
      <c r="L154" s="534"/>
      <c r="M154" s="534"/>
      <c r="N154" s="534"/>
      <c r="O154" s="534"/>
      <c r="P154" s="534"/>
      <c r="Q154" s="534"/>
      <c r="R154" s="534"/>
      <c r="S154" s="534"/>
      <c r="T154" s="534"/>
      <c r="U154" s="534"/>
      <c r="V154" s="534"/>
      <c r="W154" s="534"/>
      <c r="X154" s="534"/>
      <c r="Y154" s="534"/>
      <c r="Z154" s="534"/>
      <c r="AA154" s="534"/>
      <c r="AB154" s="534"/>
      <c r="AC154" s="534"/>
      <c r="AD154" s="534"/>
      <c r="AE154" s="569"/>
      <c r="AF154" s="569"/>
      <c r="AG154" s="569"/>
      <c r="AH154" s="569"/>
      <c r="AI154" s="569"/>
      <c r="AJ154" s="569"/>
      <c r="AK154" s="569"/>
      <c r="AL154" s="569"/>
      <c r="AM154" s="534"/>
      <c r="AN154" s="534"/>
      <c r="AO154" s="534"/>
      <c r="AP154" s="534"/>
      <c r="AQ154" s="534"/>
      <c r="AR154" s="534"/>
      <c r="AS154" s="534"/>
      <c r="AT154" s="534"/>
      <c r="AU154" s="534"/>
      <c r="AV154" s="534"/>
      <c r="AW154" s="534"/>
      <c r="AX154" s="534"/>
      <c r="AY154" s="534"/>
      <c r="AZ154" s="534"/>
      <c r="BA154" s="534"/>
      <c r="BB154" s="534"/>
      <c r="BC154" s="534"/>
      <c r="BD154" s="534"/>
      <c r="BE154" s="534"/>
      <c r="BF154" s="534"/>
      <c r="BG154" s="534"/>
      <c r="BH154" s="534"/>
    </row>
    <row r="155" spans="1:60" s="40" customFormat="1" x14ac:dyDescent="0.2">
      <c r="A155" s="534"/>
      <c r="B155" s="534"/>
      <c r="C155" s="534"/>
      <c r="D155" s="534"/>
      <c r="E155" s="534"/>
      <c r="F155" s="534"/>
      <c r="G155" s="534"/>
      <c r="H155" s="534"/>
      <c r="I155" s="534"/>
      <c r="J155" s="534"/>
      <c r="K155" s="534"/>
      <c r="L155" s="534"/>
      <c r="M155" s="534"/>
      <c r="N155" s="534"/>
      <c r="O155" s="534"/>
      <c r="P155" s="534"/>
      <c r="Q155" s="534"/>
      <c r="R155" s="534"/>
      <c r="S155" s="534"/>
      <c r="T155" s="534"/>
      <c r="U155" s="534"/>
      <c r="V155" s="534"/>
      <c r="W155" s="534"/>
      <c r="X155" s="534"/>
      <c r="Y155" s="534"/>
      <c r="Z155" s="534"/>
      <c r="AA155" s="534"/>
      <c r="AB155" s="534"/>
      <c r="AC155" s="534"/>
      <c r="AD155" s="534"/>
      <c r="AE155" s="569"/>
      <c r="AF155" s="569"/>
      <c r="AG155" s="569"/>
      <c r="AH155" s="569"/>
      <c r="AI155" s="569"/>
      <c r="AJ155" s="569"/>
      <c r="AK155" s="569"/>
      <c r="AL155" s="569"/>
      <c r="AM155" s="534"/>
      <c r="AN155" s="534"/>
      <c r="AO155" s="534"/>
      <c r="AP155" s="534"/>
      <c r="AQ155" s="534"/>
      <c r="AR155" s="534"/>
      <c r="AS155" s="534"/>
      <c r="AT155" s="534"/>
      <c r="AU155" s="534"/>
      <c r="AV155" s="534"/>
      <c r="AW155" s="534"/>
      <c r="AX155" s="534"/>
      <c r="AY155" s="534"/>
      <c r="AZ155" s="534"/>
      <c r="BA155" s="534"/>
      <c r="BB155" s="534"/>
      <c r="BC155" s="534"/>
      <c r="BD155" s="534"/>
      <c r="BE155" s="534"/>
      <c r="BF155" s="534"/>
      <c r="BG155" s="534"/>
      <c r="BH155" s="534"/>
    </row>
    <row r="156" spans="1:60" s="40" customFormat="1" x14ac:dyDescent="0.2">
      <c r="A156" s="534"/>
      <c r="B156" s="534"/>
      <c r="C156" s="534"/>
      <c r="D156" s="534"/>
      <c r="E156" s="534"/>
      <c r="F156" s="534"/>
      <c r="G156" s="534"/>
      <c r="H156" s="534"/>
      <c r="I156" s="534"/>
      <c r="J156" s="534"/>
      <c r="K156" s="534"/>
      <c r="L156" s="534"/>
      <c r="M156" s="534"/>
      <c r="N156" s="534"/>
      <c r="O156" s="534"/>
      <c r="P156" s="534"/>
      <c r="Q156" s="534"/>
      <c r="R156" s="534"/>
      <c r="S156" s="534"/>
      <c r="T156" s="534"/>
      <c r="U156" s="534"/>
      <c r="V156" s="534"/>
      <c r="W156" s="534"/>
      <c r="X156" s="534"/>
      <c r="Y156" s="534"/>
      <c r="Z156" s="534"/>
      <c r="AA156" s="534"/>
      <c r="AB156" s="534"/>
      <c r="AC156" s="534"/>
      <c r="AD156" s="534"/>
      <c r="AE156" s="569"/>
      <c r="AF156" s="569"/>
      <c r="AG156" s="569"/>
      <c r="AH156" s="569"/>
      <c r="AI156" s="569"/>
      <c r="AJ156" s="569"/>
      <c r="AK156" s="569"/>
      <c r="AL156" s="569"/>
      <c r="AM156" s="534"/>
      <c r="AN156" s="534"/>
      <c r="AO156" s="534"/>
      <c r="AP156" s="534"/>
      <c r="AQ156" s="534"/>
      <c r="AR156" s="534"/>
      <c r="AS156" s="534"/>
      <c r="AT156" s="534"/>
      <c r="AU156" s="534"/>
      <c r="AV156" s="534"/>
      <c r="AW156" s="534"/>
      <c r="AX156" s="534"/>
      <c r="AY156" s="534"/>
      <c r="AZ156" s="534"/>
      <c r="BA156" s="534"/>
      <c r="BB156" s="534"/>
      <c r="BC156" s="534"/>
      <c r="BD156" s="534"/>
      <c r="BE156" s="534"/>
      <c r="BF156" s="534"/>
      <c r="BG156" s="534"/>
      <c r="BH156" s="534"/>
    </row>
    <row r="157" spans="1:60" s="40" customFormat="1" x14ac:dyDescent="0.2">
      <c r="A157" s="534"/>
      <c r="B157" s="534"/>
      <c r="C157" s="534"/>
      <c r="D157" s="534"/>
      <c r="E157" s="534"/>
      <c r="F157" s="534"/>
      <c r="G157" s="534"/>
      <c r="H157" s="534"/>
      <c r="I157" s="534"/>
      <c r="J157" s="534"/>
      <c r="K157" s="534"/>
      <c r="L157" s="534"/>
      <c r="M157" s="534"/>
      <c r="N157" s="534"/>
      <c r="O157" s="534"/>
      <c r="P157" s="534"/>
      <c r="Q157" s="534"/>
      <c r="R157" s="534"/>
      <c r="S157" s="534"/>
      <c r="T157" s="534"/>
      <c r="U157" s="534"/>
      <c r="V157" s="534"/>
      <c r="W157" s="534"/>
      <c r="X157" s="534"/>
      <c r="Y157" s="534"/>
      <c r="Z157" s="534"/>
      <c r="AA157" s="534"/>
      <c r="AB157" s="534"/>
      <c r="AC157" s="534"/>
      <c r="AD157" s="534"/>
      <c r="AE157" s="569"/>
      <c r="AF157" s="569"/>
      <c r="AG157" s="569"/>
      <c r="AH157" s="569"/>
      <c r="AI157" s="569"/>
      <c r="AJ157" s="569"/>
      <c r="AK157" s="569"/>
      <c r="AL157" s="569"/>
      <c r="AM157" s="534"/>
      <c r="AN157" s="534"/>
      <c r="AO157" s="534"/>
      <c r="AP157" s="534"/>
      <c r="AQ157" s="534"/>
      <c r="AR157" s="534"/>
      <c r="AS157" s="534"/>
      <c r="AT157" s="534"/>
      <c r="AU157" s="534"/>
      <c r="AV157" s="534"/>
      <c r="AW157" s="534"/>
      <c r="AX157" s="534"/>
      <c r="AY157" s="534"/>
      <c r="AZ157" s="534"/>
      <c r="BA157" s="534"/>
      <c r="BB157" s="534"/>
      <c r="BC157" s="534"/>
      <c r="BD157" s="534"/>
      <c r="BE157" s="534"/>
      <c r="BF157" s="534"/>
      <c r="BG157" s="534"/>
      <c r="BH157" s="534"/>
    </row>
    <row r="158" spans="1:60" s="40" customFormat="1" x14ac:dyDescent="0.2">
      <c r="A158" s="534"/>
      <c r="B158" s="534"/>
      <c r="C158" s="534"/>
      <c r="D158" s="534"/>
      <c r="E158" s="534"/>
      <c r="F158" s="534"/>
      <c r="G158" s="534"/>
      <c r="H158" s="534"/>
      <c r="I158" s="534"/>
      <c r="J158" s="534"/>
      <c r="K158" s="534"/>
      <c r="L158" s="534"/>
      <c r="M158" s="534"/>
      <c r="N158" s="534"/>
      <c r="O158" s="534"/>
      <c r="P158" s="534"/>
      <c r="Q158" s="534"/>
      <c r="R158" s="534"/>
      <c r="S158" s="534"/>
      <c r="T158" s="534"/>
      <c r="U158" s="534"/>
      <c r="V158" s="534"/>
      <c r="W158" s="534"/>
      <c r="X158" s="534"/>
      <c r="Y158" s="534"/>
      <c r="Z158" s="534"/>
      <c r="AA158" s="534"/>
      <c r="AB158" s="534"/>
      <c r="AC158" s="534"/>
      <c r="AD158" s="534"/>
      <c r="AE158" s="569"/>
      <c r="AF158" s="569"/>
      <c r="AG158" s="569"/>
      <c r="AH158" s="569"/>
      <c r="AI158" s="569"/>
      <c r="AJ158" s="569"/>
      <c r="AK158" s="569"/>
      <c r="AL158" s="569"/>
      <c r="AM158" s="534"/>
      <c r="AN158" s="534"/>
      <c r="AO158" s="534"/>
      <c r="AP158" s="534"/>
      <c r="AQ158" s="534"/>
      <c r="AR158" s="534"/>
      <c r="AS158" s="534"/>
      <c r="AT158" s="534"/>
      <c r="AU158" s="534"/>
      <c r="AV158" s="534"/>
      <c r="AW158" s="534"/>
      <c r="AX158" s="534"/>
      <c r="AY158" s="534"/>
      <c r="AZ158" s="534"/>
      <c r="BA158" s="534"/>
      <c r="BB158" s="534"/>
      <c r="BC158" s="534"/>
      <c r="BD158" s="534"/>
      <c r="BE158" s="534"/>
      <c r="BF158" s="534"/>
      <c r="BG158" s="534"/>
      <c r="BH158" s="534"/>
    </row>
    <row r="159" spans="1:60" s="40" customFormat="1" x14ac:dyDescent="0.2">
      <c r="A159" s="534"/>
      <c r="B159" s="534"/>
      <c r="C159" s="534"/>
      <c r="D159" s="534"/>
      <c r="E159" s="534"/>
      <c r="F159" s="534"/>
      <c r="G159" s="534"/>
      <c r="H159" s="534"/>
      <c r="I159" s="534"/>
      <c r="J159" s="534"/>
      <c r="K159" s="534"/>
      <c r="L159" s="534"/>
      <c r="M159" s="534"/>
      <c r="N159" s="534"/>
      <c r="O159" s="534"/>
      <c r="P159" s="534"/>
      <c r="Q159" s="534"/>
      <c r="R159" s="534"/>
      <c r="S159" s="534"/>
      <c r="T159" s="534"/>
      <c r="U159" s="534"/>
      <c r="V159" s="534"/>
      <c r="W159" s="534"/>
      <c r="X159" s="534"/>
      <c r="Y159" s="534"/>
      <c r="Z159" s="534"/>
      <c r="AA159" s="534"/>
      <c r="AB159" s="534"/>
      <c r="AC159" s="534"/>
      <c r="AD159" s="534"/>
      <c r="AE159" s="569"/>
      <c r="AF159" s="569"/>
      <c r="AG159" s="569"/>
      <c r="AH159" s="569"/>
      <c r="AI159" s="569"/>
      <c r="AJ159" s="569"/>
      <c r="AK159" s="569"/>
      <c r="AL159" s="569"/>
      <c r="AM159" s="534"/>
      <c r="AN159" s="534"/>
      <c r="AO159" s="534"/>
      <c r="AP159" s="534"/>
      <c r="AQ159" s="534"/>
      <c r="AR159" s="534"/>
      <c r="AS159" s="534"/>
      <c r="AT159" s="534"/>
      <c r="AU159" s="534"/>
      <c r="AV159" s="534"/>
      <c r="AW159" s="534"/>
      <c r="AX159" s="534"/>
      <c r="AY159" s="534"/>
      <c r="AZ159" s="534"/>
      <c r="BA159" s="534"/>
      <c r="BB159" s="534"/>
      <c r="BC159" s="534"/>
      <c r="BD159" s="534"/>
      <c r="BE159" s="534"/>
      <c r="BF159" s="534"/>
      <c r="BG159" s="534"/>
      <c r="BH159" s="534"/>
    </row>
    <row r="160" spans="1:60" s="40" customFormat="1" x14ac:dyDescent="0.2">
      <c r="A160" s="534"/>
      <c r="B160" s="534"/>
      <c r="C160" s="534"/>
      <c r="D160" s="534"/>
      <c r="E160" s="534"/>
      <c r="F160" s="534"/>
      <c r="G160" s="534"/>
      <c r="H160" s="534"/>
      <c r="I160" s="534"/>
      <c r="J160" s="534"/>
      <c r="K160" s="534"/>
      <c r="L160" s="534"/>
      <c r="M160" s="534"/>
      <c r="N160" s="534"/>
      <c r="O160" s="534"/>
      <c r="P160" s="534"/>
      <c r="Q160" s="534"/>
      <c r="R160" s="534"/>
      <c r="S160" s="534"/>
      <c r="T160" s="534"/>
      <c r="U160" s="534"/>
      <c r="V160" s="534"/>
      <c r="W160" s="534"/>
      <c r="X160" s="534"/>
      <c r="Y160" s="534"/>
      <c r="Z160" s="534"/>
      <c r="AA160" s="534"/>
      <c r="AB160" s="534"/>
      <c r="AC160" s="534"/>
      <c r="AD160" s="534"/>
      <c r="AE160" s="569"/>
      <c r="AF160" s="569"/>
      <c r="AG160" s="569"/>
      <c r="AH160" s="569"/>
      <c r="AI160" s="569"/>
      <c r="AJ160" s="569"/>
      <c r="AK160" s="569"/>
      <c r="AL160" s="569"/>
      <c r="AM160" s="534"/>
      <c r="AN160" s="534"/>
      <c r="AO160" s="534"/>
      <c r="AP160" s="534"/>
      <c r="AQ160" s="534"/>
      <c r="AR160" s="534"/>
      <c r="AS160" s="534"/>
      <c r="AT160" s="534"/>
      <c r="AU160" s="534"/>
      <c r="AV160" s="534"/>
      <c r="AW160" s="534"/>
      <c r="AX160" s="534"/>
      <c r="AY160" s="534"/>
      <c r="AZ160" s="534"/>
      <c r="BA160" s="534"/>
      <c r="BB160" s="534"/>
      <c r="BC160" s="534"/>
      <c r="BD160" s="534"/>
      <c r="BE160" s="534"/>
      <c r="BF160" s="534"/>
      <c r="BG160" s="534"/>
      <c r="BH160" s="534"/>
    </row>
    <row r="161" spans="1:60" s="40" customFormat="1" x14ac:dyDescent="0.2">
      <c r="A161" s="534"/>
      <c r="B161" s="534"/>
      <c r="C161" s="534"/>
      <c r="D161" s="534"/>
      <c r="E161" s="534"/>
      <c r="F161" s="534"/>
      <c r="G161" s="534"/>
      <c r="H161" s="534"/>
      <c r="I161" s="534"/>
      <c r="J161" s="534"/>
      <c r="K161" s="534"/>
      <c r="L161" s="534"/>
      <c r="M161" s="534"/>
      <c r="N161" s="534"/>
      <c r="O161" s="534"/>
      <c r="P161" s="534"/>
      <c r="Q161" s="534"/>
      <c r="R161" s="534"/>
      <c r="S161" s="534"/>
      <c r="T161" s="534"/>
      <c r="U161" s="534"/>
      <c r="V161" s="534"/>
      <c r="W161" s="534"/>
      <c r="X161" s="534"/>
      <c r="Y161" s="534"/>
      <c r="Z161" s="534"/>
      <c r="AA161" s="534"/>
      <c r="AB161" s="534"/>
      <c r="AC161" s="534"/>
      <c r="AD161" s="534"/>
      <c r="AE161" s="569"/>
      <c r="AF161" s="569"/>
      <c r="AG161" s="569"/>
      <c r="AH161" s="569"/>
      <c r="AI161" s="569"/>
      <c r="AJ161" s="569"/>
      <c r="AK161" s="569"/>
      <c r="AL161" s="569"/>
      <c r="AM161" s="534"/>
      <c r="AN161" s="534"/>
      <c r="AO161" s="534"/>
      <c r="AP161" s="534"/>
      <c r="AQ161" s="534"/>
      <c r="AR161" s="534"/>
      <c r="AS161" s="534"/>
      <c r="AT161" s="534"/>
      <c r="AU161" s="534"/>
      <c r="AV161" s="534"/>
      <c r="AW161" s="534"/>
      <c r="AX161" s="534"/>
      <c r="AY161" s="534"/>
      <c r="AZ161" s="534"/>
      <c r="BA161" s="534"/>
      <c r="BB161" s="534"/>
      <c r="BC161" s="534"/>
      <c r="BD161" s="534"/>
      <c r="BE161" s="534"/>
      <c r="BF161" s="534"/>
      <c r="BG161" s="534"/>
      <c r="BH161" s="534"/>
    </row>
    <row r="162" spans="1:60" s="40" customFormat="1" x14ac:dyDescent="0.2">
      <c r="A162" s="534"/>
      <c r="B162" s="534"/>
      <c r="C162" s="534"/>
      <c r="D162" s="534"/>
      <c r="E162" s="534"/>
      <c r="F162" s="534"/>
      <c r="G162" s="534"/>
      <c r="H162" s="534"/>
      <c r="I162" s="534"/>
      <c r="J162" s="534"/>
      <c r="K162" s="534"/>
      <c r="L162" s="534"/>
      <c r="M162" s="534"/>
      <c r="N162" s="534"/>
      <c r="O162" s="534"/>
      <c r="P162" s="534"/>
      <c r="Q162" s="534"/>
      <c r="R162" s="534"/>
      <c r="S162" s="534"/>
      <c r="T162" s="534"/>
      <c r="U162" s="534"/>
      <c r="V162" s="534"/>
      <c r="W162" s="534"/>
      <c r="X162" s="534"/>
      <c r="Y162" s="534"/>
      <c r="Z162" s="534"/>
      <c r="AA162" s="534"/>
      <c r="AB162" s="534"/>
      <c r="AC162" s="534"/>
      <c r="AD162" s="534"/>
      <c r="AE162" s="569"/>
      <c r="AF162" s="569"/>
      <c r="AG162" s="569"/>
      <c r="AH162" s="569"/>
      <c r="AI162" s="569"/>
      <c r="AJ162" s="569"/>
      <c r="AK162" s="569"/>
      <c r="AL162" s="569"/>
      <c r="AM162" s="534"/>
      <c r="AN162" s="534"/>
      <c r="AO162" s="534"/>
      <c r="AP162" s="534"/>
      <c r="AQ162" s="534"/>
      <c r="AR162" s="534"/>
      <c r="AS162" s="534"/>
      <c r="AT162" s="534"/>
      <c r="AU162" s="534"/>
      <c r="AV162" s="534"/>
      <c r="AW162" s="534"/>
      <c r="AX162" s="534"/>
      <c r="AY162" s="534"/>
      <c r="AZ162" s="534"/>
      <c r="BA162" s="534"/>
      <c r="BB162" s="534"/>
      <c r="BC162" s="534"/>
      <c r="BD162" s="534"/>
      <c r="BE162" s="534"/>
      <c r="BF162" s="534"/>
      <c r="BG162" s="534"/>
      <c r="BH162" s="534"/>
    </row>
    <row r="163" spans="1:60" s="40" customFormat="1" x14ac:dyDescent="0.2">
      <c r="A163" s="534"/>
      <c r="B163" s="534"/>
      <c r="C163" s="534"/>
      <c r="D163" s="534"/>
      <c r="E163" s="534"/>
      <c r="F163" s="534"/>
      <c r="G163" s="534"/>
      <c r="H163" s="534"/>
      <c r="I163" s="534"/>
      <c r="J163" s="534"/>
      <c r="K163" s="534"/>
      <c r="L163" s="534"/>
      <c r="M163" s="534"/>
      <c r="N163" s="534"/>
      <c r="O163" s="534"/>
      <c r="P163" s="534"/>
      <c r="Q163" s="534"/>
      <c r="R163" s="534"/>
      <c r="S163" s="534"/>
      <c r="T163" s="534"/>
      <c r="U163" s="534"/>
      <c r="V163" s="534"/>
      <c r="W163" s="534"/>
      <c r="X163" s="534"/>
      <c r="Y163" s="534"/>
      <c r="Z163" s="534"/>
      <c r="AA163" s="534"/>
      <c r="AB163" s="534"/>
      <c r="AC163" s="534"/>
      <c r="AD163" s="534"/>
      <c r="AE163" s="569"/>
      <c r="AF163" s="569"/>
      <c r="AG163" s="569"/>
      <c r="AH163" s="569"/>
      <c r="AI163" s="569"/>
      <c r="AJ163" s="569"/>
      <c r="AK163" s="569"/>
      <c r="AL163" s="569"/>
      <c r="AM163" s="534"/>
      <c r="AN163" s="534"/>
      <c r="AO163" s="534"/>
      <c r="AP163" s="534"/>
      <c r="AQ163" s="534"/>
      <c r="AR163" s="534"/>
      <c r="AS163" s="534"/>
      <c r="AT163" s="534"/>
      <c r="AU163" s="534"/>
      <c r="AV163" s="534"/>
      <c r="AW163" s="534"/>
      <c r="AX163" s="534"/>
      <c r="AY163" s="534"/>
      <c r="AZ163" s="534"/>
      <c r="BA163" s="534"/>
      <c r="BB163" s="534"/>
      <c r="BC163" s="534"/>
      <c r="BD163" s="534"/>
      <c r="BE163" s="534"/>
      <c r="BF163" s="534"/>
      <c r="BG163" s="534"/>
      <c r="BH163" s="534"/>
    </row>
    <row r="164" spans="1:60" s="40" customFormat="1" x14ac:dyDescent="0.2">
      <c r="A164" s="534"/>
      <c r="B164" s="534"/>
      <c r="C164" s="534"/>
      <c r="D164" s="534"/>
      <c r="E164" s="534"/>
      <c r="F164" s="534"/>
      <c r="G164" s="534"/>
      <c r="H164" s="534"/>
      <c r="I164" s="534"/>
      <c r="J164" s="534"/>
      <c r="K164" s="534"/>
      <c r="L164" s="534"/>
      <c r="M164" s="534"/>
      <c r="N164" s="534"/>
      <c r="O164" s="534"/>
      <c r="P164" s="534"/>
      <c r="Q164" s="534"/>
      <c r="R164" s="534"/>
      <c r="S164" s="534"/>
      <c r="T164" s="534"/>
      <c r="U164" s="534"/>
      <c r="V164" s="534"/>
      <c r="W164" s="534"/>
      <c r="X164" s="534"/>
      <c r="Y164" s="534"/>
      <c r="Z164" s="534"/>
      <c r="AA164" s="534"/>
      <c r="AB164" s="534"/>
      <c r="AC164" s="534"/>
      <c r="AD164" s="534"/>
      <c r="AE164" s="569"/>
      <c r="AF164" s="569"/>
      <c r="AG164" s="569"/>
      <c r="AH164" s="569"/>
      <c r="AI164" s="569"/>
      <c r="AJ164" s="569"/>
      <c r="AK164" s="569"/>
      <c r="AL164" s="569"/>
      <c r="AM164" s="534"/>
      <c r="AN164" s="534"/>
      <c r="AO164" s="534"/>
      <c r="AP164" s="534"/>
      <c r="AQ164" s="534"/>
      <c r="AR164" s="534"/>
      <c r="AS164" s="534"/>
      <c r="AT164" s="534"/>
      <c r="AU164" s="534"/>
      <c r="AV164" s="534"/>
      <c r="AW164" s="534"/>
      <c r="AX164" s="534"/>
      <c r="AY164" s="534"/>
      <c r="AZ164" s="534"/>
      <c r="BA164" s="534"/>
      <c r="BB164" s="534"/>
      <c r="BC164" s="534"/>
      <c r="BD164" s="534"/>
      <c r="BE164" s="534"/>
      <c r="BF164" s="534"/>
      <c r="BG164" s="534"/>
      <c r="BH164" s="534"/>
    </row>
    <row r="165" spans="1:60" s="40" customFormat="1" x14ac:dyDescent="0.2">
      <c r="A165" s="534"/>
      <c r="B165" s="534"/>
      <c r="C165" s="534"/>
      <c r="D165" s="534"/>
      <c r="E165" s="534"/>
      <c r="F165" s="534"/>
      <c r="G165" s="534"/>
      <c r="H165" s="534"/>
      <c r="I165" s="534"/>
      <c r="J165" s="534"/>
      <c r="K165" s="534"/>
      <c r="L165" s="534"/>
      <c r="M165" s="534"/>
      <c r="N165" s="534"/>
      <c r="O165" s="534"/>
      <c r="P165" s="534"/>
      <c r="Q165" s="534"/>
      <c r="R165" s="534"/>
      <c r="S165" s="534"/>
      <c r="T165" s="534"/>
      <c r="U165" s="534"/>
      <c r="V165" s="534"/>
      <c r="W165" s="534"/>
      <c r="X165" s="534"/>
      <c r="Y165" s="534"/>
      <c r="Z165" s="534"/>
      <c r="AA165" s="534"/>
      <c r="AB165" s="534"/>
      <c r="AC165" s="534"/>
      <c r="AD165" s="534"/>
      <c r="AE165" s="569"/>
      <c r="AF165" s="569"/>
      <c r="AG165" s="569"/>
      <c r="AH165" s="569"/>
      <c r="AI165" s="569"/>
      <c r="AJ165" s="569"/>
      <c r="AK165" s="569"/>
      <c r="AL165" s="569"/>
      <c r="AM165" s="534"/>
      <c r="AN165" s="534"/>
      <c r="AO165" s="534"/>
      <c r="AP165" s="534"/>
      <c r="AQ165" s="534"/>
      <c r="AR165" s="534"/>
      <c r="AS165" s="534"/>
      <c r="AT165" s="534"/>
      <c r="AU165" s="534"/>
      <c r="AV165" s="534"/>
      <c r="AW165" s="534"/>
      <c r="AX165" s="534"/>
      <c r="AY165" s="534"/>
      <c r="AZ165" s="534"/>
      <c r="BA165" s="534"/>
      <c r="BB165" s="534"/>
      <c r="BC165" s="534"/>
      <c r="BD165" s="534"/>
      <c r="BE165" s="534"/>
      <c r="BF165" s="534"/>
      <c r="BG165" s="534"/>
      <c r="BH165" s="534"/>
    </row>
    <row r="166" spans="1:60" s="40" customFormat="1" x14ac:dyDescent="0.2">
      <c r="A166" s="534"/>
      <c r="B166" s="534"/>
      <c r="C166" s="534"/>
      <c r="D166" s="534"/>
      <c r="E166" s="534"/>
      <c r="F166" s="534"/>
      <c r="G166" s="534"/>
      <c r="H166" s="534"/>
      <c r="I166" s="534"/>
      <c r="J166" s="534"/>
      <c r="K166" s="534"/>
      <c r="L166" s="534"/>
      <c r="M166" s="534"/>
      <c r="N166" s="534"/>
      <c r="O166" s="534"/>
      <c r="P166" s="534"/>
      <c r="Q166" s="534"/>
      <c r="R166" s="534"/>
      <c r="S166" s="534"/>
      <c r="T166" s="534"/>
      <c r="U166" s="534"/>
      <c r="V166" s="534"/>
      <c r="W166" s="534"/>
      <c r="X166" s="534"/>
      <c r="Y166" s="534"/>
      <c r="Z166" s="534"/>
      <c r="AA166" s="534"/>
      <c r="AB166" s="534"/>
      <c r="AC166" s="534"/>
      <c r="AD166" s="534"/>
      <c r="AE166" s="569"/>
      <c r="AF166" s="569"/>
      <c r="AG166" s="569"/>
      <c r="AH166" s="569"/>
      <c r="AI166" s="569"/>
      <c r="AJ166" s="569"/>
      <c r="AK166" s="569"/>
      <c r="AL166" s="569"/>
      <c r="AM166" s="534"/>
      <c r="AN166" s="534"/>
      <c r="AO166" s="534"/>
      <c r="AP166" s="534"/>
      <c r="AQ166" s="534"/>
      <c r="AR166" s="534"/>
      <c r="AS166" s="534"/>
      <c r="AT166" s="534"/>
      <c r="AU166" s="534"/>
      <c r="AV166" s="534"/>
      <c r="AW166" s="534"/>
      <c r="AX166" s="534"/>
      <c r="AY166" s="534"/>
      <c r="AZ166" s="534"/>
      <c r="BA166" s="534"/>
      <c r="BB166" s="534"/>
      <c r="BC166" s="534"/>
      <c r="BD166" s="534"/>
      <c r="BE166" s="534"/>
      <c r="BF166" s="534"/>
      <c r="BG166" s="534"/>
      <c r="BH166" s="534"/>
    </row>
    <row r="167" spans="1:60" s="40" customFormat="1" x14ac:dyDescent="0.2">
      <c r="A167" s="534"/>
      <c r="B167" s="534"/>
      <c r="C167" s="534"/>
      <c r="D167" s="534"/>
      <c r="E167" s="534"/>
      <c r="F167" s="534"/>
      <c r="G167" s="534"/>
      <c r="H167" s="534"/>
      <c r="I167" s="534"/>
      <c r="J167" s="534"/>
      <c r="K167" s="534"/>
      <c r="L167" s="534"/>
      <c r="M167" s="534"/>
      <c r="N167" s="534"/>
      <c r="O167" s="534"/>
      <c r="P167" s="534"/>
      <c r="Q167" s="534"/>
      <c r="R167" s="534"/>
      <c r="S167" s="534"/>
      <c r="T167" s="534"/>
      <c r="U167" s="534"/>
      <c r="V167" s="534"/>
      <c r="W167" s="534"/>
      <c r="X167" s="534"/>
      <c r="Y167" s="534"/>
      <c r="Z167" s="534"/>
      <c r="AA167" s="534"/>
      <c r="AB167" s="534"/>
      <c r="AC167" s="534"/>
      <c r="AD167" s="534"/>
      <c r="AE167" s="569"/>
      <c r="AF167" s="569"/>
      <c r="AG167" s="569"/>
      <c r="AH167" s="569"/>
      <c r="AI167" s="569"/>
      <c r="AJ167" s="569"/>
      <c r="AK167" s="569"/>
      <c r="AL167" s="569"/>
      <c r="AM167" s="534"/>
      <c r="AN167" s="534"/>
      <c r="AO167" s="534"/>
      <c r="AP167" s="534"/>
      <c r="AQ167" s="534"/>
      <c r="AR167" s="534"/>
      <c r="AS167" s="534"/>
      <c r="AT167" s="534"/>
      <c r="AU167" s="534"/>
      <c r="AV167" s="534"/>
      <c r="AW167" s="534"/>
      <c r="AX167" s="534"/>
      <c r="AY167" s="534"/>
      <c r="AZ167" s="534"/>
      <c r="BA167" s="534"/>
      <c r="BB167" s="534"/>
      <c r="BC167" s="534"/>
      <c r="BD167" s="534"/>
      <c r="BE167" s="534"/>
      <c r="BF167" s="534"/>
      <c r="BG167" s="534"/>
      <c r="BH167" s="534"/>
    </row>
    <row r="168" spans="1:60" s="40" customFormat="1" x14ac:dyDescent="0.2">
      <c r="A168" s="534"/>
      <c r="B168" s="534"/>
      <c r="C168" s="534"/>
      <c r="D168" s="534"/>
      <c r="E168" s="534"/>
      <c r="F168" s="534"/>
      <c r="G168" s="534"/>
      <c r="H168" s="534"/>
      <c r="I168" s="534"/>
      <c r="J168" s="534"/>
      <c r="K168" s="534"/>
      <c r="L168" s="534"/>
      <c r="M168" s="534"/>
      <c r="N168" s="534"/>
      <c r="O168" s="534"/>
      <c r="P168" s="534"/>
      <c r="Q168" s="534"/>
      <c r="R168" s="534"/>
      <c r="S168" s="534"/>
      <c r="T168" s="534"/>
      <c r="U168" s="534"/>
      <c r="V168" s="534"/>
      <c r="W168" s="534"/>
      <c r="X168" s="534"/>
      <c r="Y168" s="534"/>
      <c r="Z168" s="534"/>
      <c r="AA168" s="534"/>
      <c r="AB168" s="534"/>
      <c r="AC168" s="534"/>
      <c r="AD168" s="534"/>
      <c r="AE168" s="569"/>
      <c r="AF168" s="569"/>
      <c r="AG168" s="569"/>
      <c r="AH168" s="569"/>
      <c r="AI168" s="569"/>
      <c r="AJ168" s="569"/>
      <c r="AK168" s="569"/>
      <c r="AL168" s="569"/>
      <c r="AM168" s="534"/>
      <c r="AN168" s="534"/>
      <c r="AO168" s="534"/>
      <c r="AP168" s="534"/>
      <c r="AQ168" s="534"/>
      <c r="AR168" s="534"/>
      <c r="AS168" s="534"/>
      <c r="AT168" s="534"/>
      <c r="AU168" s="534"/>
      <c r="AV168" s="534"/>
      <c r="AW168" s="534"/>
      <c r="AX168" s="534"/>
      <c r="AY168" s="534"/>
      <c r="AZ168" s="534"/>
      <c r="BA168" s="534"/>
      <c r="BB168" s="534"/>
      <c r="BC168" s="534"/>
      <c r="BD168" s="534"/>
      <c r="BE168" s="534"/>
      <c r="BF168" s="534"/>
      <c r="BG168" s="534"/>
      <c r="BH168" s="534"/>
    </row>
    <row r="169" spans="1:60" s="40" customFormat="1" x14ac:dyDescent="0.2">
      <c r="A169" s="534"/>
      <c r="B169" s="534"/>
      <c r="C169" s="534"/>
      <c r="D169" s="534"/>
      <c r="E169" s="534"/>
      <c r="F169" s="534"/>
      <c r="G169" s="534"/>
      <c r="H169" s="534"/>
      <c r="I169" s="534"/>
      <c r="J169" s="534"/>
      <c r="K169" s="534"/>
      <c r="L169" s="534"/>
      <c r="M169" s="534"/>
      <c r="N169" s="534"/>
      <c r="O169" s="534"/>
      <c r="P169" s="534"/>
      <c r="Q169" s="534"/>
      <c r="R169" s="534"/>
      <c r="S169" s="534"/>
      <c r="T169" s="534"/>
      <c r="U169" s="534"/>
      <c r="V169" s="534"/>
      <c r="W169" s="534"/>
      <c r="X169" s="534"/>
      <c r="Y169" s="534"/>
      <c r="Z169" s="534"/>
      <c r="AA169" s="534"/>
      <c r="AB169" s="534"/>
      <c r="AC169" s="534"/>
      <c r="AD169" s="534"/>
      <c r="AE169" s="569"/>
      <c r="AF169" s="569"/>
      <c r="AG169" s="569"/>
      <c r="AH169" s="569"/>
      <c r="AI169" s="569"/>
      <c r="AJ169" s="569"/>
      <c r="AK169" s="569"/>
      <c r="AL169" s="569"/>
      <c r="AM169" s="534"/>
      <c r="AN169" s="534"/>
      <c r="AO169" s="534"/>
      <c r="AP169" s="534"/>
      <c r="AQ169" s="534"/>
      <c r="AR169" s="534"/>
      <c r="AS169" s="534"/>
      <c r="AT169" s="534"/>
      <c r="AU169" s="534"/>
      <c r="AV169" s="534"/>
      <c r="AW169" s="534"/>
      <c r="AX169" s="534"/>
      <c r="AY169" s="534"/>
      <c r="AZ169" s="534"/>
      <c r="BA169" s="534"/>
      <c r="BB169" s="534"/>
      <c r="BC169" s="534"/>
      <c r="BD169" s="534"/>
      <c r="BE169" s="534"/>
      <c r="BF169" s="534"/>
      <c r="BG169" s="534"/>
      <c r="BH169" s="534"/>
    </row>
    <row r="170" spans="1:60" s="40" customFormat="1" x14ac:dyDescent="0.2">
      <c r="A170" s="534"/>
      <c r="B170" s="534"/>
      <c r="C170" s="534"/>
      <c r="D170" s="534"/>
      <c r="E170" s="534"/>
      <c r="F170" s="534"/>
      <c r="G170" s="534"/>
      <c r="H170" s="534"/>
      <c r="I170" s="534"/>
      <c r="J170" s="534"/>
      <c r="K170" s="534"/>
      <c r="L170" s="534"/>
      <c r="M170" s="534"/>
      <c r="N170" s="534"/>
      <c r="O170" s="534"/>
      <c r="P170" s="534"/>
      <c r="Q170" s="534"/>
      <c r="R170" s="534"/>
      <c r="S170" s="534"/>
      <c r="T170" s="534"/>
      <c r="U170" s="534"/>
      <c r="V170" s="534"/>
      <c r="W170" s="534"/>
      <c r="X170" s="534"/>
      <c r="Y170" s="534"/>
      <c r="Z170" s="534"/>
      <c r="AA170" s="534"/>
      <c r="AB170" s="534"/>
      <c r="AC170" s="534"/>
      <c r="AD170" s="534"/>
      <c r="AE170" s="569"/>
      <c r="AF170" s="569"/>
      <c r="AG170" s="569"/>
      <c r="AH170" s="569"/>
      <c r="AI170" s="569"/>
      <c r="AJ170" s="569"/>
      <c r="AK170" s="569"/>
      <c r="AL170" s="569"/>
      <c r="AM170" s="534"/>
      <c r="AN170" s="534"/>
      <c r="AO170" s="534"/>
      <c r="AP170" s="534"/>
      <c r="AQ170" s="534"/>
      <c r="AR170" s="534"/>
      <c r="AS170" s="534"/>
      <c r="AT170" s="534"/>
      <c r="AU170" s="534"/>
      <c r="AV170" s="534"/>
      <c r="AW170" s="534"/>
      <c r="AX170" s="534"/>
      <c r="AY170" s="534"/>
      <c r="AZ170" s="534"/>
      <c r="BA170" s="534"/>
      <c r="BB170" s="534"/>
      <c r="BC170" s="534"/>
      <c r="BD170" s="534"/>
      <c r="BE170" s="534"/>
      <c r="BF170" s="534"/>
      <c r="BG170" s="534"/>
      <c r="BH170" s="534"/>
    </row>
    <row r="171" spans="1:60" s="40" customFormat="1" x14ac:dyDescent="0.2">
      <c r="AE171" s="42"/>
      <c r="AF171" s="42"/>
      <c r="AG171" s="42"/>
      <c r="AH171" s="42"/>
      <c r="AI171" s="42"/>
      <c r="AJ171" s="42"/>
      <c r="AK171" s="42"/>
      <c r="AL171" s="42"/>
    </row>
    <row r="172" spans="1:60" s="40" customFormat="1" x14ac:dyDescent="0.2">
      <c r="AE172" s="42"/>
      <c r="AF172" s="42"/>
      <c r="AG172" s="42"/>
      <c r="AH172" s="42"/>
      <c r="AI172" s="42"/>
      <c r="AJ172" s="42"/>
      <c r="AK172" s="42"/>
      <c r="AL172" s="42"/>
    </row>
    <row r="173" spans="1:60" s="40" customFormat="1" x14ac:dyDescent="0.2">
      <c r="AE173" s="42"/>
      <c r="AF173" s="42"/>
      <c r="AG173" s="42"/>
      <c r="AH173" s="42"/>
      <c r="AI173" s="42"/>
      <c r="AJ173" s="42"/>
      <c r="AK173" s="42"/>
      <c r="AL173" s="42"/>
    </row>
    <row r="174" spans="1:60" s="40" customFormat="1" x14ac:dyDescent="0.2">
      <c r="AE174" s="42"/>
      <c r="AF174" s="42"/>
      <c r="AG174" s="42"/>
      <c r="AH174" s="42"/>
      <c r="AI174" s="42"/>
      <c r="AJ174" s="42"/>
      <c r="AK174" s="42"/>
      <c r="AL174" s="42"/>
    </row>
    <row r="175" spans="1:60" s="40" customFormat="1" x14ac:dyDescent="0.2">
      <c r="AE175" s="42"/>
      <c r="AF175" s="42"/>
      <c r="AG175" s="42"/>
      <c r="AH175" s="42"/>
      <c r="AI175" s="42"/>
      <c r="AJ175" s="42"/>
      <c r="AK175" s="42"/>
      <c r="AL175" s="42"/>
    </row>
    <row r="176" spans="1:60" s="40" customFormat="1" x14ac:dyDescent="0.2">
      <c r="AE176" s="42"/>
      <c r="AF176" s="42"/>
      <c r="AG176" s="42"/>
      <c r="AH176" s="42"/>
      <c r="AI176" s="42"/>
      <c r="AJ176" s="42"/>
      <c r="AK176" s="42"/>
      <c r="AL176" s="42"/>
    </row>
    <row r="177" spans="31:38" s="40" customFormat="1" x14ac:dyDescent="0.2">
      <c r="AE177" s="42"/>
      <c r="AF177" s="42"/>
      <c r="AG177" s="42"/>
      <c r="AH177" s="42"/>
      <c r="AI177" s="42"/>
      <c r="AJ177" s="42"/>
      <c r="AK177" s="42"/>
      <c r="AL177" s="42"/>
    </row>
    <row r="178" spans="31:38" s="40" customFormat="1" x14ac:dyDescent="0.2">
      <c r="AE178" s="42"/>
      <c r="AF178" s="42"/>
      <c r="AG178" s="42"/>
      <c r="AH178" s="42"/>
      <c r="AI178" s="42"/>
      <c r="AJ178" s="42"/>
      <c r="AK178" s="42"/>
      <c r="AL178" s="42"/>
    </row>
    <row r="179" spans="31:38" s="40" customFormat="1" x14ac:dyDescent="0.2">
      <c r="AE179" s="42"/>
      <c r="AF179" s="42"/>
      <c r="AG179" s="42"/>
      <c r="AH179" s="42"/>
      <c r="AI179" s="42"/>
      <c r="AJ179" s="42"/>
      <c r="AK179" s="42"/>
      <c r="AL179" s="42"/>
    </row>
    <row r="180" spans="31:38" s="40" customFormat="1" x14ac:dyDescent="0.2">
      <c r="AE180" s="42"/>
      <c r="AF180" s="42"/>
      <c r="AG180" s="42"/>
      <c r="AH180" s="42"/>
      <c r="AI180" s="42"/>
      <c r="AJ180" s="42"/>
      <c r="AK180" s="42"/>
      <c r="AL180" s="42"/>
    </row>
    <row r="181" spans="31:38" s="40" customFormat="1" x14ac:dyDescent="0.2">
      <c r="AE181" s="42"/>
      <c r="AF181" s="42"/>
      <c r="AG181" s="42"/>
      <c r="AH181" s="42"/>
      <c r="AI181" s="42"/>
      <c r="AJ181" s="42"/>
      <c r="AK181" s="42"/>
      <c r="AL181" s="42"/>
    </row>
    <row r="182" spans="31:38" s="40" customFormat="1" x14ac:dyDescent="0.2">
      <c r="AE182" s="42"/>
      <c r="AF182" s="42"/>
      <c r="AG182" s="42"/>
      <c r="AH182" s="42"/>
      <c r="AI182" s="42"/>
      <c r="AJ182" s="42"/>
      <c r="AK182" s="42"/>
      <c r="AL182" s="42"/>
    </row>
    <row r="183" spans="31:38" s="40" customFormat="1" x14ac:dyDescent="0.2">
      <c r="AE183" s="42"/>
      <c r="AF183" s="42"/>
      <c r="AG183" s="42"/>
      <c r="AH183" s="42"/>
      <c r="AI183" s="42"/>
      <c r="AJ183" s="42"/>
      <c r="AK183" s="42"/>
      <c r="AL183" s="42"/>
    </row>
    <row r="184" spans="31:38" s="40" customFormat="1" x14ac:dyDescent="0.2">
      <c r="AE184" s="42"/>
      <c r="AF184" s="42"/>
      <c r="AG184" s="42"/>
      <c r="AH184" s="42"/>
      <c r="AI184" s="42"/>
      <c r="AJ184" s="42"/>
      <c r="AK184" s="42"/>
      <c r="AL184" s="42"/>
    </row>
    <row r="185" spans="31:38" s="40" customFormat="1" x14ac:dyDescent="0.2">
      <c r="AE185" s="42"/>
      <c r="AF185" s="42"/>
      <c r="AG185" s="42"/>
      <c r="AH185" s="42"/>
      <c r="AI185" s="42"/>
      <c r="AJ185" s="42"/>
      <c r="AK185" s="42"/>
      <c r="AL185" s="42"/>
    </row>
    <row r="186" spans="31:38" s="40" customFormat="1" x14ac:dyDescent="0.2">
      <c r="AE186" s="42"/>
      <c r="AF186" s="42"/>
      <c r="AG186" s="42"/>
      <c r="AH186" s="42"/>
      <c r="AI186" s="42"/>
      <c r="AJ186" s="42"/>
      <c r="AK186" s="42"/>
      <c r="AL186" s="42"/>
    </row>
    <row r="187" spans="31:38" s="40" customFormat="1" x14ac:dyDescent="0.2">
      <c r="AE187" s="42"/>
      <c r="AF187" s="42"/>
      <c r="AG187" s="42"/>
      <c r="AH187" s="42"/>
      <c r="AI187" s="42"/>
      <c r="AJ187" s="42"/>
      <c r="AK187" s="42"/>
      <c r="AL187" s="42"/>
    </row>
    <row r="188" spans="31:38" s="40" customFormat="1" x14ac:dyDescent="0.2">
      <c r="AE188" s="42"/>
      <c r="AF188" s="42"/>
      <c r="AG188" s="42"/>
      <c r="AH188" s="42"/>
      <c r="AI188" s="42"/>
      <c r="AJ188" s="42"/>
      <c r="AK188" s="42"/>
      <c r="AL188" s="42"/>
    </row>
    <row r="189" spans="31:38" s="40" customFormat="1" x14ac:dyDescent="0.2">
      <c r="AE189" s="42"/>
      <c r="AF189" s="42"/>
      <c r="AG189" s="42"/>
      <c r="AH189" s="42"/>
      <c r="AI189" s="42"/>
      <c r="AJ189" s="42"/>
      <c r="AK189" s="42"/>
      <c r="AL189" s="42"/>
    </row>
    <row r="190" spans="31:38" s="40" customFormat="1" x14ac:dyDescent="0.2">
      <c r="AE190" s="42"/>
      <c r="AF190" s="42"/>
      <c r="AG190" s="42"/>
      <c r="AH190" s="42"/>
      <c r="AI190" s="42"/>
      <c r="AJ190" s="42"/>
      <c r="AK190" s="42"/>
      <c r="AL190" s="42"/>
    </row>
    <row r="191" spans="31:38" s="40" customFormat="1" x14ac:dyDescent="0.2">
      <c r="AE191" s="42"/>
      <c r="AF191" s="42"/>
      <c r="AG191" s="42"/>
      <c r="AH191" s="42"/>
      <c r="AI191" s="42"/>
      <c r="AJ191" s="42"/>
      <c r="AK191" s="42"/>
      <c r="AL191" s="42"/>
    </row>
    <row r="192" spans="31:38" s="40" customFormat="1" x14ac:dyDescent="0.2">
      <c r="AE192" s="42"/>
      <c r="AF192" s="42"/>
      <c r="AG192" s="42"/>
      <c r="AH192" s="42"/>
      <c r="AI192" s="42"/>
      <c r="AJ192" s="42"/>
      <c r="AK192" s="42"/>
      <c r="AL192" s="42"/>
    </row>
    <row r="193" spans="31:38" s="40" customFormat="1" x14ac:dyDescent="0.2">
      <c r="AE193" s="42"/>
      <c r="AF193" s="42"/>
      <c r="AG193" s="42"/>
      <c r="AH193" s="42"/>
      <c r="AI193" s="42"/>
      <c r="AJ193" s="42"/>
      <c r="AK193" s="42"/>
      <c r="AL193" s="42"/>
    </row>
    <row r="194" spans="31:38" s="40" customFormat="1" x14ac:dyDescent="0.2">
      <c r="AE194" s="42"/>
      <c r="AF194" s="42"/>
      <c r="AG194" s="42"/>
      <c r="AH194" s="42"/>
      <c r="AI194" s="42"/>
      <c r="AJ194" s="42"/>
      <c r="AK194" s="42"/>
      <c r="AL194" s="42"/>
    </row>
    <row r="195" spans="31:38" s="40" customFormat="1" x14ac:dyDescent="0.2">
      <c r="AE195" s="42"/>
      <c r="AF195" s="42"/>
      <c r="AG195" s="42"/>
      <c r="AH195" s="42"/>
      <c r="AI195" s="42"/>
      <c r="AJ195" s="42"/>
      <c r="AK195" s="42"/>
      <c r="AL195" s="42"/>
    </row>
    <row r="196" spans="31:38" s="40" customFormat="1" x14ac:dyDescent="0.2">
      <c r="AE196" s="42"/>
      <c r="AF196" s="42"/>
      <c r="AG196" s="42"/>
      <c r="AH196" s="42"/>
      <c r="AI196" s="42"/>
      <c r="AJ196" s="42"/>
      <c r="AK196" s="42"/>
      <c r="AL196" s="42"/>
    </row>
    <row r="197" spans="31:38" s="40" customFormat="1" x14ac:dyDescent="0.2">
      <c r="AE197" s="42"/>
      <c r="AF197" s="42"/>
      <c r="AG197" s="42"/>
      <c r="AH197" s="42"/>
      <c r="AI197" s="42"/>
      <c r="AJ197" s="42"/>
      <c r="AK197" s="42"/>
      <c r="AL197" s="42"/>
    </row>
    <row r="198" spans="31:38" s="40" customFormat="1" x14ac:dyDescent="0.2">
      <c r="AE198" s="42"/>
      <c r="AF198" s="42"/>
      <c r="AG198" s="42"/>
      <c r="AH198" s="42"/>
      <c r="AI198" s="42"/>
      <c r="AJ198" s="42"/>
      <c r="AK198" s="42"/>
      <c r="AL198" s="42"/>
    </row>
    <row r="199" spans="31:38" s="40" customFormat="1" x14ac:dyDescent="0.2">
      <c r="AE199" s="42"/>
      <c r="AF199" s="42"/>
      <c r="AG199" s="42"/>
      <c r="AH199" s="42"/>
      <c r="AI199" s="42"/>
      <c r="AJ199" s="42"/>
      <c r="AK199" s="42"/>
      <c r="AL199" s="42"/>
    </row>
    <row r="200" spans="31:38" s="40" customFormat="1" x14ac:dyDescent="0.2">
      <c r="AE200" s="42"/>
      <c r="AF200" s="42"/>
      <c r="AG200" s="42"/>
      <c r="AH200" s="42"/>
      <c r="AI200" s="42"/>
      <c r="AJ200" s="42"/>
      <c r="AK200" s="42"/>
      <c r="AL200" s="42"/>
    </row>
    <row r="201" spans="31:38" s="40" customFormat="1" x14ac:dyDescent="0.2">
      <c r="AE201" s="42"/>
      <c r="AF201" s="42"/>
      <c r="AG201" s="42"/>
      <c r="AH201" s="42"/>
      <c r="AI201" s="42"/>
      <c r="AJ201" s="42"/>
      <c r="AK201" s="42"/>
      <c r="AL201" s="42"/>
    </row>
    <row r="202" spans="31:38" s="40" customFormat="1" x14ac:dyDescent="0.2">
      <c r="AE202" s="42"/>
      <c r="AF202" s="42"/>
      <c r="AG202" s="42"/>
      <c r="AH202" s="42"/>
      <c r="AI202" s="42"/>
      <c r="AJ202" s="42"/>
      <c r="AK202" s="42"/>
      <c r="AL202" s="42"/>
    </row>
    <row r="203" spans="31:38" s="40" customFormat="1" x14ac:dyDescent="0.2">
      <c r="AE203" s="42"/>
      <c r="AF203" s="42"/>
      <c r="AG203" s="42"/>
      <c r="AH203" s="42"/>
      <c r="AI203" s="42"/>
      <c r="AJ203" s="42"/>
      <c r="AK203" s="42"/>
      <c r="AL203" s="42"/>
    </row>
    <row r="204" spans="31:38" s="40" customFormat="1" x14ac:dyDescent="0.2">
      <c r="AE204" s="42"/>
      <c r="AF204" s="42"/>
      <c r="AG204" s="42"/>
      <c r="AH204" s="42"/>
      <c r="AI204" s="42"/>
      <c r="AJ204" s="42"/>
      <c r="AK204" s="42"/>
      <c r="AL204" s="42"/>
    </row>
    <row r="205" spans="31:38" s="40" customFormat="1" x14ac:dyDescent="0.2">
      <c r="AE205" s="42"/>
      <c r="AF205" s="42"/>
      <c r="AG205" s="42"/>
      <c r="AH205" s="42"/>
      <c r="AI205" s="42"/>
      <c r="AJ205" s="42"/>
      <c r="AK205" s="42"/>
      <c r="AL205" s="42"/>
    </row>
    <row r="206" spans="31:38" s="40" customFormat="1" x14ac:dyDescent="0.2">
      <c r="AE206" s="42"/>
      <c r="AF206" s="42"/>
      <c r="AG206" s="42"/>
      <c r="AH206" s="42"/>
      <c r="AI206" s="42"/>
      <c r="AJ206" s="42"/>
      <c r="AK206" s="42"/>
      <c r="AL206" s="42"/>
    </row>
    <row r="207" spans="31:38" s="40" customFormat="1" x14ac:dyDescent="0.2">
      <c r="AE207" s="42"/>
      <c r="AF207" s="42"/>
      <c r="AG207" s="42"/>
      <c r="AH207" s="42"/>
      <c r="AI207" s="42"/>
      <c r="AJ207" s="42"/>
      <c r="AK207" s="42"/>
      <c r="AL207" s="42"/>
    </row>
    <row r="208" spans="31:38" s="40" customFormat="1" x14ac:dyDescent="0.2">
      <c r="AE208" s="42"/>
      <c r="AF208" s="42"/>
      <c r="AG208" s="42"/>
      <c r="AH208" s="42"/>
      <c r="AI208" s="42"/>
      <c r="AJ208" s="42"/>
      <c r="AK208" s="42"/>
      <c r="AL208" s="42"/>
    </row>
    <row r="209" spans="31:38" s="40" customFormat="1" x14ac:dyDescent="0.2">
      <c r="AE209" s="42"/>
      <c r="AF209" s="42"/>
      <c r="AG209" s="42"/>
      <c r="AH209" s="42"/>
      <c r="AI209" s="42"/>
      <c r="AJ209" s="42"/>
      <c r="AK209" s="42"/>
      <c r="AL209" s="42"/>
    </row>
    <row r="210" spans="31:38" s="40" customFormat="1" x14ac:dyDescent="0.2">
      <c r="AE210" s="42"/>
      <c r="AF210" s="42"/>
      <c r="AG210" s="42"/>
      <c r="AH210" s="42"/>
      <c r="AI210" s="42"/>
      <c r="AJ210" s="42"/>
      <c r="AK210" s="42"/>
      <c r="AL210" s="42"/>
    </row>
    <row r="211" spans="31:38" s="40" customFormat="1" x14ac:dyDescent="0.2">
      <c r="AE211" s="42"/>
      <c r="AF211" s="42"/>
      <c r="AG211" s="42"/>
      <c r="AH211" s="42"/>
      <c r="AI211" s="42"/>
      <c r="AJ211" s="42"/>
      <c r="AK211" s="42"/>
      <c r="AL211" s="42"/>
    </row>
    <row r="212" spans="31:38" s="40" customFormat="1" x14ac:dyDescent="0.2">
      <c r="AE212" s="42"/>
      <c r="AF212" s="42"/>
      <c r="AG212" s="42"/>
      <c r="AH212" s="42"/>
      <c r="AI212" s="42"/>
      <c r="AJ212" s="42"/>
      <c r="AK212" s="42"/>
      <c r="AL212" s="42"/>
    </row>
    <row r="213" spans="31:38" s="40" customFormat="1" x14ac:dyDescent="0.2">
      <c r="AE213" s="42"/>
      <c r="AF213" s="42"/>
      <c r="AG213" s="42"/>
      <c r="AH213" s="42"/>
      <c r="AI213" s="42"/>
      <c r="AJ213" s="42"/>
      <c r="AK213" s="42"/>
      <c r="AL213" s="42"/>
    </row>
    <row r="214" spans="31:38" s="40" customFormat="1" x14ac:dyDescent="0.2">
      <c r="AE214" s="42"/>
      <c r="AF214" s="42"/>
      <c r="AG214" s="42"/>
      <c r="AH214" s="42"/>
      <c r="AI214" s="42"/>
      <c r="AJ214" s="42"/>
      <c r="AK214" s="42"/>
      <c r="AL214" s="42"/>
    </row>
    <row r="215" spans="31:38" s="40" customFormat="1" x14ac:dyDescent="0.2">
      <c r="AE215" s="42"/>
      <c r="AF215" s="42"/>
      <c r="AG215" s="42"/>
      <c r="AH215" s="42"/>
      <c r="AI215" s="42"/>
      <c r="AJ215" s="42"/>
      <c r="AK215" s="42"/>
      <c r="AL215" s="42"/>
    </row>
    <row r="216" spans="31:38" s="40" customFormat="1" x14ac:dyDescent="0.2">
      <c r="AE216" s="42"/>
      <c r="AF216" s="42"/>
      <c r="AG216" s="42"/>
      <c r="AH216" s="42"/>
      <c r="AI216" s="42"/>
      <c r="AJ216" s="42"/>
      <c r="AK216" s="42"/>
      <c r="AL216" s="42"/>
    </row>
    <row r="217" spans="31:38" s="40" customFormat="1" x14ac:dyDescent="0.2">
      <c r="AE217" s="42"/>
      <c r="AF217" s="42"/>
      <c r="AG217" s="42"/>
      <c r="AH217" s="42"/>
      <c r="AI217" s="42"/>
      <c r="AJ217" s="42"/>
      <c r="AK217" s="42"/>
      <c r="AL217" s="42"/>
    </row>
    <row r="218" spans="31:38" s="40" customFormat="1" x14ac:dyDescent="0.2">
      <c r="AE218" s="42"/>
      <c r="AF218" s="42"/>
      <c r="AG218" s="42"/>
      <c r="AH218" s="42"/>
      <c r="AI218" s="42"/>
      <c r="AJ218" s="42"/>
      <c r="AK218" s="42"/>
      <c r="AL218" s="42"/>
    </row>
    <row r="219" spans="31:38" s="40" customFormat="1" x14ac:dyDescent="0.2">
      <c r="AE219" s="42"/>
      <c r="AF219" s="42"/>
      <c r="AG219" s="42"/>
      <c r="AH219" s="42"/>
      <c r="AI219" s="42"/>
      <c r="AJ219" s="42"/>
      <c r="AK219" s="42"/>
      <c r="AL219" s="42"/>
    </row>
    <row r="220" spans="31:38" s="40" customFormat="1" x14ac:dyDescent="0.2">
      <c r="AE220" s="42"/>
      <c r="AF220" s="42"/>
      <c r="AG220" s="42"/>
      <c r="AH220" s="42"/>
      <c r="AI220" s="42"/>
      <c r="AJ220" s="42"/>
      <c r="AK220" s="42"/>
      <c r="AL220" s="42"/>
    </row>
    <row r="221" spans="31:38" s="40" customFormat="1" x14ac:dyDescent="0.2">
      <c r="AE221" s="42"/>
      <c r="AF221" s="42"/>
      <c r="AG221" s="42"/>
      <c r="AH221" s="42"/>
      <c r="AI221" s="42"/>
      <c r="AJ221" s="42"/>
      <c r="AK221" s="42"/>
      <c r="AL221" s="42"/>
    </row>
    <row r="222" spans="31:38" s="40" customFormat="1" x14ac:dyDescent="0.2">
      <c r="AE222" s="42"/>
      <c r="AF222" s="42"/>
      <c r="AG222" s="42"/>
      <c r="AH222" s="42"/>
      <c r="AI222" s="42"/>
      <c r="AJ222" s="42"/>
      <c r="AK222" s="42"/>
      <c r="AL222" s="42"/>
    </row>
    <row r="223" spans="31:38" s="40" customFormat="1" x14ac:dyDescent="0.2">
      <c r="AE223" s="42"/>
      <c r="AF223" s="42"/>
      <c r="AG223" s="42"/>
      <c r="AH223" s="42"/>
      <c r="AI223" s="42"/>
      <c r="AJ223" s="42"/>
      <c r="AK223" s="42"/>
      <c r="AL223" s="42"/>
    </row>
    <row r="224" spans="31:38" s="40" customFormat="1" x14ac:dyDescent="0.2">
      <c r="AE224" s="42"/>
      <c r="AF224" s="42"/>
      <c r="AG224" s="42"/>
      <c r="AH224" s="42"/>
      <c r="AI224" s="42"/>
      <c r="AJ224" s="42"/>
      <c r="AK224" s="42"/>
      <c r="AL224" s="42"/>
    </row>
    <row r="225" spans="31:38" s="40" customFormat="1" x14ac:dyDescent="0.2">
      <c r="AE225" s="42"/>
      <c r="AF225" s="42"/>
      <c r="AG225" s="42"/>
      <c r="AH225" s="42"/>
      <c r="AI225" s="42"/>
      <c r="AJ225" s="42"/>
      <c r="AK225" s="42"/>
      <c r="AL225" s="42"/>
    </row>
    <row r="226" spans="31:38" s="40" customFormat="1" x14ac:dyDescent="0.2">
      <c r="AE226" s="42"/>
      <c r="AF226" s="42"/>
      <c r="AG226" s="42"/>
      <c r="AH226" s="42"/>
      <c r="AI226" s="42"/>
      <c r="AJ226" s="42"/>
      <c r="AK226" s="42"/>
      <c r="AL226" s="42"/>
    </row>
    <row r="227" spans="31:38" s="40" customFormat="1" x14ac:dyDescent="0.2">
      <c r="AE227" s="42"/>
      <c r="AF227" s="42"/>
      <c r="AG227" s="42"/>
      <c r="AH227" s="42"/>
      <c r="AI227" s="42"/>
      <c r="AJ227" s="42"/>
      <c r="AK227" s="42"/>
      <c r="AL227" s="42"/>
    </row>
    <row r="228" spans="31:38" s="40" customFormat="1" x14ac:dyDescent="0.2">
      <c r="AE228" s="42"/>
      <c r="AF228" s="42"/>
      <c r="AG228" s="42"/>
      <c r="AH228" s="42"/>
      <c r="AI228" s="42"/>
      <c r="AJ228" s="42"/>
      <c r="AK228" s="42"/>
      <c r="AL228" s="42"/>
    </row>
    <row r="229" spans="31:38" s="40" customFormat="1" x14ac:dyDescent="0.2">
      <c r="AE229" s="42"/>
      <c r="AF229" s="42"/>
      <c r="AG229" s="42"/>
      <c r="AH229" s="42"/>
      <c r="AI229" s="42"/>
      <c r="AJ229" s="42"/>
      <c r="AK229" s="42"/>
      <c r="AL229" s="42"/>
    </row>
    <row r="230" spans="31:38" s="40" customFormat="1" x14ac:dyDescent="0.2">
      <c r="AE230" s="42"/>
      <c r="AF230" s="42"/>
      <c r="AG230" s="42"/>
      <c r="AH230" s="42"/>
      <c r="AI230" s="42"/>
      <c r="AJ230" s="42"/>
      <c r="AK230" s="42"/>
      <c r="AL230" s="42"/>
    </row>
    <row r="231" spans="31:38" s="40" customFormat="1" x14ac:dyDescent="0.2">
      <c r="AE231" s="42"/>
      <c r="AF231" s="42"/>
      <c r="AG231" s="42"/>
      <c r="AH231" s="42"/>
      <c r="AI231" s="42"/>
      <c r="AJ231" s="42"/>
      <c r="AK231" s="42"/>
      <c r="AL231" s="42"/>
    </row>
    <row r="232" spans="31:38" s="40" customFormat="1" x14ac:dyDescent="0.2">
      <c r="AE232" s="42"/>
      <c r="AF232" s="42"/>
      <c r="AG232" s="42"/>
      <c r="AH232" s="42"/>
      <c r="AI232" s="42"/>
      <c r="AJ232" s="42"/>
      <c r="AK232" s="42"/>
      <c r="AL232" s="42"/>
    </row>
    <row r="233" spans="31:38" s="40" customFormat="1" x14ac:dyDescent="0.2">
      <c r="AE233" s="42"/>
      <c r="AF233" s="42"/>
      <c r="AG233" s="42"/>
      <c r="AH233" s="42"/>
      <c r="AI233" s="42"/>
      <c r="AJ233" s="42"/>
      <c r="AK233" s="42"/>
      <c r="AL233" s="42"/>
    </row>
    <row r="234" spans="31:38" s="40" customFormat="1" x14ac:dyDescent="0.2">
      <c r="AE234" s="42"/>
      <c r="AF234" s="42"/>
      <c r="AG234" s="42"/>
      <c r="AH234" s="42"/>
      <c r="AI234" s="42"/>
      <c r="AJ234" s="42"/>
      <c r="AK234" s="42"/>
      <c r="AL234" s="42"/>
    </row>
    <row r="235" spans="31:38" s="40" customFormat="1" x14ac:dyDescent="0.2">
      <c r="AE235" s="42"/>
      <c r="AF235" s="42"/>
      <c r="AG235" s="42"/>
      <c r="AH235" s="42"/>
      <c r="AI235" s="42"/>
      <c r="AJ235" s="42"/>
      <c r="AK235" s="42"/>
      <c r="AL235" s="42"/>
    </row>
    <row r="236" spans="31:38" s="40" customFormat="1" x14ac:dyDescent="0.2">
      <c r="AE236" s="42"/>
      <c r="AF236" s="42"/>
      <c r="AG236" s="42"/>
      <c r="AH236" s="42"/>
      <c r="AI236" s="42"/>
      <c r="AJ236" s="42"/>
      <c r="AK236" s="42"/>
      <c r="AL236" s="42"/>
    </row>
    <row r="237" spans="31:38" s="40" customFormat="1" x14ac:dyDescent="0.2">
      <c r="AE237" s="42"/>
      <c r="AF237" s="42"/>
      <c r="AG237" s="42"/>
      <c r="AH237" s="42"/>
      <c r="AI237" s="42"/>
      <c r="AJ237" s="42"/>
      <c r="AK237" s="42"/>
      <c r="AL237" s="42"/>
    </row>
    <row r="238" spans="31:38" s="40" customFormat="1" x14ac:dyDescent="0.2">
      <c r="AE238" s="42"/>
      <c r="AF238" s="42"/>
      <c r="AG238" s="42"/>
      <c r="AH238" s="42"/>
      <c r="AI238" s="42"/>
      <c r="AJ238" s="42"/>
      <c r="AK238" s="42"/>
      <c r="AL238" s="42"/>
    </row>
    <row r="239" spans="31:38" s="40" customFormat="1" x14ac:dyDescent="0.2">
      <c r="AE239" s="42"/>
      <c r="AF239" s="42"/>
      <c r="AG239" s="42"/>
      <c r="AH239" s="42"/>
      <c r="AI239" s="42"/>
      <c r="AJ239" s="42"/>
      <c r="AK239" s="42"/>
      <c r="AL239" s="42"/>
    </row>
    <row r="240" spans="31:38" s="40" customFormat="1" x14ac:dyDescent="0.2">
      <c r="AE240" s="42"/>
      <c r="AF240" s="42"/>
      <c r="AG240" s="42"/>
      <c r="AH240" s="42"/>
      <c r="AI240" s="42"/>
      <c r="AJ240" s="42"/>
      <c r="AK240" s="42"/>
      <c r="AL240" s="42"/>
    </row>
    <row r="241" spans="31:38" s="40" customFormat="1" x14ac:dyDescent="0.2">
      <c r="AE241" s="42"/>
      <c r="AF241" s="42"/>
      <c r="AG241" s="42"/>
      <c r="AH241" s="42"/>
      <c r="AI241" s="42"/>
      <c r="AJ241" s="42"/>
      <c r="AK241" s="42"/>
      <c r="AL241" s="42"/>
    </row>
    <row r="242" spans="31:38" s="40" customFormat="1" x14ac:dyDescent="0.2">
      <c r="AE242" s="42"/>
      <c r="AF242" s="42"/>
      <c r="AG242" s="42"/>
      <c r="AH242" s="42"/>
      <c r="AI242" s="42"/>
      <c r="AJ242" s="42"/>
      <c r="AK242" s="42"/>
      <c r="AL242" s="42"/>
    </row>
    <row r="243" spans="31:38" s="40" customFormat="1" x14ac:dyDescent="0.2">
      <c r="AE243" s="42"/>
      <c r="AF243" s="42"/>
      <c r="AG243" s="42"/>
      <c r="AH243" s="42"/>
      <c r="AI243" s="42"/>
      <c r="AJ243" s="42"/>
      <c r="AK243" s="42"/>
      <c r="AL243" s="42"/>
    </row>
    <row r="244" spans="31:38" s="40" customFormat="1" x14ac:dyDescent="0.2">
      <c r="AE244" s="42"/>
      <c r="AF244" s="42"/>
      <c r="AG244" s="42"/>
      <c r="AH244" s="42"/>
      <c r="AI244" s="42"/>
      <c r="AJ244" s="42"/>
      <c r="AK244" s="42"/>
      <c r="AL244" s="42"/>
    </row>
    <row r="245" spans="31:38" s="40" customFormat="1" x14ac:dyDescent="0.2">
      <c r="AE245" s="42"/>
      <c r="AF245" s="42"/>
      <c r="AG245" s="42"/>
      <c r="AH245" s="42"/>
      <c r="AI245" s="42"/>
      <c r="AJ245" s="42"/>
      <c r="AK245" s="42"/>
      <c r="AL245" s="42"/>
    </row>
    <row r="246" spans="31:38" s="40" customFormat="1" x14ac:dyDescent="0.2">
      <c r="AE246" s="42"/>
      <c r="AF246" s="42"/>
      <c r="AG246" s="42"/>
      <c r="AH246" s="42"/>
      <c r="AI246" s="42"/>
      <c r="AJ246" s="42"/>
      <c r="AK246" s="42"/>
      <c r="AL246" s="42"/>
    </row>
    <row r="247" spans="31:38" s="40" customFormat="1" x14ac:dyDescent="0.2">
      <c r="AE247" s="42"/>
      <c r="AF247" s="42"/>
      <c r="AG247" s="42"/>
      <c r="AH247" s="42"/>
      <c r="AI247" s="42"/>
      <c r="AJ247" s="42"/>
      <c r="AK247" s="42"/>
      <c r="AL247" s="42"/>
    </row>
    <row r="248" spans="31:38" s="40" customFormat="1" x14ac:dyDescent="0.2">
      <c r="AE248" s="42"/>
      <c r="AF248" s="42"/>
      <c r="AG248" s="42"/>
      <c r="AH248" s="42"/>
      <c r="AI248" s="42"/>
      <c r="AJ248" s="42"/>
      <c r="AK248" s="42"/>
      <c r="AL248" s="42"/>
    </row>
    <row r="249" spans="31:38" s="40" customFormat="1" x14ac:dyDescent="0.2">
      <c r="AE249" s="42"/>
      <c r="AF249" s="42"/>
      <c r="AG249" s="42"/>
      <c r="AH249" s="42"/>
      <c r="AI249" s="42"/>
      <c r="AJ249" s="42"/>
      <c r="AK249" s="42"/>
      <c r="AL249" s="42"/>
    </row>
    <row r="250" spans="31:38" s="40" customFormat="1" x14ac:dyDescent="0.2">
      <c r="AE250" s="42"/>
      <c r="AF250" s="42"/>
      <c r="AG250" s="42"/>
      <c r="AH250" s="42"/>
      <c r="AI250" s="42"/>
      <c r="AJ250" s="42"/>
      <c r="AK250" s="42"/>
      <c r="AL250" s="42"/>
    </row>
    <row r="251" spans="31:38" s="40" customFormat="1" x14ac:dyDescent="0.2">
      <c r="AE251" s="42"/>
      <c r="AF251" s="42"/>
      <c r="AG251" s="42"/>
      <c r="AH251" s="42"/>
      <c r="AI251" s="42"/>
      <c r="AJ251" s="42"/>
      <c r="AK251" s="42"/>
      <c r="AL251" s="42"/>
    </row>
    <row r="252" spans="31:38" s="40" customFormat="1" x14ac:dyDescent="0.2">
      <c r="AE252" s="42"/>
      <c r="AF252" s="42"/>
      <c r="AG252" s="42"/>
      <c r="AH252" s="42"/>
      <c r="AI252" s="42"/>
      <c r="AJ252" s="42"/>
      <c r="AK252" s="42"/>
      <c r="AL252" s="42"/>
    </row>
    <row r="253" spans="31:38" s="40" customFormat="1" x14ac:dyDescent="0.2">
      <c r="AE253" s="42"/>
      <c r="AF253" s="42"/>
      <c r="AG253" s="42"/>
      <c r="AH253" s="42"/>
      <c r="AI253" s="42"/>
      <c r="AJ253" s="42"/>
      <c r="AK253" s="42"/>
      <c r="AL253" s="42"/>
    </row>
    <row r="254" spans="31:38" s="40" customFormat="1" x14ac:dyDescent="0.2">
      <c r="AE254" s="42"/>
      <c r="AF254" s="42"/>
      <c r="AG254" s="42"/>
      <c r="AH254" s="42"/>
      <c r="AI254" s="42"/>
      <c r="AJ254" s="42"/>
      <c r="AK254" s="42"/>
      <c r="AL254" s="42"/>
    </row>
    <row r="255" spans="31:38" s="40" customFormat="1" x14ac:dyDescent="0.2">
      <c r="AE255" s="42"/>
      <c r="AF255" s="42"/>
      <c r="AG255" s="42"/>
      <c r="AH255" s="42"/>
      <c r="AI255" s="42"/>
      <c r="AJ255" s="42"/>
      <c r="AK255" s="42"/>
      <c r="AL255" s="42"/>
    </row>
    <row r="256" spans="31:38" s="40" customFormat="1" x14ac:dyDescent="0.2">
      <c r="AE256" s="42"/>
      <c r="AF256" s="42"/>
      <c r="AG256" s="42"/>
      <c r="AH256" s="42"/>
      <c r="AI256" s="42"/>
      <c r="AJ256" s="42"/>
      <c r="AK256" s="42"/>
      <c r="AL256" s="42"/>
    </row>
    <row r="257" spans="31:38" s="40" customFormat="1" x14ac:dyDescent="0.2">
      <c r="AE257" s="42"/>
      <c r="AF257" s="42"/>
      <c r="AG257" s="42"/>
      <c r="AH257" s="42"/>
      <c r="AI257" s="42"/>
      <c r="AJ257" s="42"/>
      <c r="AK257" s="42"/>
      <c r="AL257" s="42"/>
    </row>
    <row r="258" spans="31:38" s="40" customFormat="1" x14ac:dyDescent="0.2">
      <c r="AE258" s="42"/>
      <c r="AF258" s="42"/>
      <c r="AG258" s="42"/>
      <c r="AH258" s="42"/>
      <c r="AI258" s="42"/>
      <c r="AJ258" s="42"/>
      <c r="AK258" s="42"/>
      <c r="AL258" s="42"/>
    </row>
    <row r="259" spans="31:38" s="40" customFormat="1" x14ac:dyDescent="0.2">
      <c r="AE259" s="42"/>
      <c r="AF259" s="42"/>
      <c r="AG259" s="42"/>
      <c r="AH259" s="42"/>
      <c r="AI259" s="42"/>
      <c r="AJ259" s="42"/>
      <c r="AK259" s="42"/>
      <c r="AL259" s="42"/>
    </row>
    <row r="260" spans="31:38" s="40" customFormat="1" x14ac:dyDescent="0.2">
      <c r="AE260" s="42"/>
      <c r="AF260" s="42"/>
      <c r="AG260" s="42"/>
      <c r="AH260" s="42"/>
      <c r="AI260" s="42"/>
      <c r="AJ260" s="42"/>
      <c r="AK260" s="42"/>
      <c r="AL260" s="42"/>
    </row>
    <row r="261" spans="31:38" s="40" customFormat="1" x14ac:dyDescent="0.2">
      <c r="AE261" s="42"/>
      <c r="AF261" s="42"/>
      <c r="AG261" s="42"/>
      <c r="AH261" s="42"/>
      <c r="AI261" s="42"/>
      <c r="AJ261" s="42"/>
      <c r="AK261" s="42"/>
      <c r="AL261" s="42"/>
    </row>
    <row r="262" spans="31:38" s="40" customFormat="1" x14ac:dyDescent="0.2">
      <c r="AE262" s="42"/>
      <c r="AF262" s="42"/>
      <c r="AG262" s="42"/>
      <c r="AH262" s="42"/>
      <c r="AI262" s="42"/>
      <c r="AJ262" s="42"/>
      <c r="AK262" s="42"/>
      <c r="AL262" s="42"/>
    </row>
    <row r="263" spans="31:38" s="40" customFormat="1" x14ac:dyDescent="0.2">
      <c r="AE263" s="42"/>
      <c r="AF263" s="42"/>
      <c r="AG263" s="42"/>
      <c r="AH263" s="42"/>
      <c r="AI263" s="42"/>
      <c r="AJ263" s="42"/>
      <c r="AK263" s="42"/>
      <c r="AL263" s="42"/>
    </row>
    <row r="264" spans="31:38" s="40" customFormat="1" x14ac:dyDescent="0.2">
      <c r="AE264" s="42"/>
      <c r="AF264" s="42"/>
      <c r="AG264" s="42"/>
      <c r="AH264" s="42"/>
      <c r="AI264" s="42"/>
      <c r="AJ264" s="42"/>
      <c r="AK264" s="42"/>
      <c r="AL264" s="42"/>
    </row>
    <row r="265" spans="31:38" s="40" customFormat="1" x14ac:dyDescent="0.2">
      <c r="AE265" s="42"/>
      <c r="AF265" s="42"/>
      <c r="AG265" s="42"/>
      <c r="AH265" s="42"/>
      <c r="AI265" s="42"/>
      <c r="AJ265" s="42"/>
      <c r="AK265" s="42"/>
      <c r="AL265" s="42"/>
    </row>
    <row r="266" spans="31:38" s="40" customFormat="1" x14ac:dyDescent="0.2">
      <c r="AE266" s="42"/>
      <c r="AF266" s="42"/>
      <c r="AG266" s="42"/>
      <c r="AH266" s="42"/>
      <c r="AI266" s="42"/>
      <c r="AJ266" s="42"/>
      <c r="AK266" s="42"/>
      <c r="AL266" s="42"/>
    </row>
    <row r="267" spans="31:38" s="40" customFormat="1" x14ac:dyDescent="0.2">
      <c r="AE267" s="42"/>
      <c r="AF267" s="42"/>
      <c r="AG267" s="42"/>
      <c r="AH267" s="42"/>
      <c r="AI267" s="42"/>
      <c r="AJ267" s="42"/>
      <c r="AK267" s="42"/>
      <c r="AL267" s="42"/>
    </row>
    <row r="268" spans="31:38" s="40" customFormat="1" x14ac:dyDescent="0.2">
      <c r="AE268" s="42"/>
      <c r="AF268" s="42"/>
      <c r="AG268" s="42"/>
      <c r="AH268" s="42"/>
      <c r="AI268" s="42"/>
      <c r="AJ268" s="42"/>
      <c r="AK268" s="42"/>
      <c r="AL268" s="42"/>
    </row>
    <row r="269" spans="31:38" s="40" customFormat="1" x14ac:dyDescent="0.2">
      <c r="AE269" s="42"/>
      <c r="AF269" s="42"/>
      <c r="AG269" s="42"/>
      <c r="AH269" s="42"/>
      <c r="AI269" s="42"/>
      <c r="AJ269" s="42"/>
      <c r="AK269" s="42"/>
      <c r="AL269" s="42"/>
    </row>
    <row r="270" spans="31:38" s="40" customFormat="1" x14ac:dyDescent="0.2">
      <c r="AE270" s="42"/>
      <c r="AF270" s="42"/>
      <c r="AG270" s="42"/>
      <c r="AH270" s="42"/>
      <c r="AI270" s="42"/>
      <c r="AJ270" s="42"/>
      <c r="AK270" s="42"/>
      <c r="AL270" s="42"/>
    </row>
    <row r="271" spans="31:38" s="40" customFormat="1" x14ac:dyDescent="0.2">
      <c r="AE271" s="42"/>
      <c r="AF271" s="42"/>
      <c r="AG271" s="42"/>
      <c r="AH271" s="42"/>
      <c r="AI271" s="42"/>
      <c r="AJ271" s="42"/>
      <c r="AK271" s="42"/>
      <c r="AL271" s="42"/>
    </row>
    <row r="272" spans="31:38" s="40" customFormat="1" x14ac:dyDescent="0.2">
      <c r="AE272" s="42"/>
      <c r="AF272" s="42"/>
      <c r="AG272" s="42"/>
      <c r="AH272" s="42"/>
      <c r="AI272" s="42"/>
      <c r="AJ272" s="42"/>
      <c r="AK272" s="42"/>
      <c r="AL272" s="42"/>
    </row>
    <row r="273" spans="31:38" s="40" customFormat="1" x14ac:dyDescent="0.2">
      <c r="AE273" s="42"/>
      <c r="AF273" s="42"/>
      <c r="AG273" s="42"/>
      <c r="AH273" s="42"/>
      <c r="AI273" s="42"/>
      <c r="AJ273" s="42"/>
      <c r="AK273" s="42"/>
      <c r="AL273" s="42"/>
    </row>
    <row r="274" spans="31:38" s="40" customFormat="1" x14ac:dyDescent="0.2">
      <c r="AE274" s="42"/>
      <c r="AF274" s="42"/>
      <c r="AG274" s="42"/>
      <c r="AH274" s="42"/>
      <c r="AI274" s="42"/>
      <c r="AJ274" s="42"/>
      <c r="AK274" s="42"/>
      <c r="AL274" s="42"/>
    </row>
    <row r="275" spans="31:38" s="40" customFormat="1" x14ac:dyDescent="0.2">
      <c r="AE275" s="42"/>
      <c r="AF275" s="42"/>
      <c r="AG275" s="42"/>
      <c r="AH275" s="42"/>
      <c r="AI275" s="42"/>
      <c r="AJ275" s="42"/>
      <c r="AK275" s="42"/>
      <c r="AL275" s="42"/>
    </row>
    <row r="276" spans="31:38" s="40" customFormat="1" x14ac:dyDescent="0.2">
      <c r="AE276" s="42"/>
      <c r="AF276" s="42"/>
      <c r="AG276" s="42"/>
      <c r="AH276" s="42"/>
      <c r="AI276" s="42"/>
      <c r="AJ276" s="42"/>
      <c r="AK276" s="42"/>
      <c r="AL276" s="42"/>
    </row>
    <row r="277" spans="31:38" s="40" customFormat="1" x14ac:dyDescent="0.2">
      <c r="AE277" s="42"/>
      <c r="AF277" s="42"/>
      <c r="AG277" s="42"/>
      <c r="AH277" s="42"/>
      <c r="AI277" s="42"/>
      <c r="AJ277" s="42"/>
      <c r="AK277" s="42"/>
      <c r="AL277" s="42"/>
    </row>
    <row r="278" spans="31:38" s="40" customFormat="1" x14ac:dyDescent="0.2">
      <c r="AE278" s="42"/>
      <c r="AF278" s="42"/>
      <c r="AG278" s="42"/>
      <c r="AH278" s="42"/>
      <c r="AI278" s="42"/>
      <c r="AJ278" s="42"/>
      <c r="AK278" s="42"/>
      <c r="AL278" s="42"/>
    </row>
    <row r="279" spans="31:38" s="40" customFormat="1" x14ac:dyDescent="0.2">
      <c r="AE279" s="42"/>
      <c r="AF279" s="42"/>
      <c r="AG279" s="42"/>
      <c r="AH279" s="42"/>
      <c r="AI279" s="42"/>
      <c r="AJ279" s="42"/>
      <c r="AK279" s="42"/>
      <c r="AL279" s="42"/>
    </row>
    <row r="280" spans="31:38" s="40" customFormat="1" x14ac:dyDescent="0.2">
      <c r="AE280" s="42"/>
      <c r="AF280" s="42"/>
      <c r="AG280" s="42"/>
      <c r="AH280" s="42"/>
      <c r="AI280" s="42"/>
      <c r="AJ280" s="42"/>
      <c r="AK280" s="42"/>
      <c r="AL280" s="42"/>
    </row>
    <row r="281" spans="31:38" s="40" customFormat="1" x14ac:dyDescent="0.2">
      <c r="AE281" s="42"/>
      <c r="AF281" s="42"/>
      <c r="AG281" s="42"/>
      <c r="AH281" s="42"/>
      <c r="AI281" s="42"/>
      <c r="AJ281" s="42"/>
      <c r="AK281" s="42"/>
      <c r="AL281" s="42"/>
    </row>
    <row r="282" spans="31:38" s="40" customFormat="1" x14ac:dyDescent="0.2">
      <c r="AE282" s="42"/>
      <c r="AF282" s="42"/>
      <c r="AG282" s="42"/>
      <c r="AH282" s="42"/>
      <c r="AI282" s="42"/>
      <c r="AJ282" s="42"/>
      <c r="AK282" s="42"/>
      <c r="AL282" s="42"/>
    </row>
    <row r="283" spans="31:38" s="40" customFormat="1" x14ac:dyDescent="0.2">
      <c r="AE283" s="42"/>
      <c r="AF283" s="42"/>
      <c r="AG283" s="42"/>
      <c r="AH283" s="42"/>
      <c r="AI283" s="42"/>
      <c r="AJ283" s="42"/>
      <c r="AK283" s="42"/>
      <c r="AL283" s="42"/>
    </row>
    <row r="284" spans="31:38" s="40" customFormat="1" x14ac:dyDescent="0.2">
      <c r="AE284" s="42"/>
      <c r="AF284" s="42"/>
      <c r="AG284" s="42"/>
      <c r="AH284" s="42"/>
      <c r="AI284" s="42"/>
      <c r="AJ284" s="42"/>
      <c r="AK284" s="42"/>
      <c r="AL284" s="42"/>
    </row>
    <row r="285" spans="31:38" s="40" customFormat="1" x14ac:dyDescent="0.2">
      <c r="AE285" s="42"/>
      <c r="AF285" s="42"/>
      <c r="AG285" s="42"/>
      <c r="AH285" s="42"/>
      <c r="AI285" s="42"/>
      <c r="AJ285" s="42"/>
      <c r="AK285" s="42"/>
      <c r="AL285" s="42"/>
    </row>
    <row r="286" spans="31:38" s="40" customFormat="1" x14ac:dyDescent="0.2">
      <c r="AE286" s="42"/>
      <c r="AF286" s="42"/>
      <c r="AG286" s="42"/>
      <c r="AH286" s="42"/>
      <c r="AI286" s="42"/>
      <c r="AJ286" s="42"/>
      <c r="AK286" s="42"/>
      <c r="AL286" s="42"/>
    </row>
    <row r="287" spans="31:38" s="40" customFormat="1" x14ac:dyDescent="0.2">
      <c r="AE287" s="42"/>
      <c r="AF287" s="42"/>
      <c r="AG287" s="42"/>
      <c r="AH287" s="42"/>
      <c r="AI287" s="42"/>
      <c r="AJ287" s="42"/>
      <c r="AK287" s="42"/>
      <c r="AL287" s="42"/>
    </row>
    <row r="288" spans="31:38" s="40" customFormat="1" x14ac:dyDescent="0.2">
      <c r="AE288" s="42"/>
      <c r="AF288" s="42"/>
      <c r="AG288" s="42"/>
      <c r="AH288" s="42"/>
      <c r="AI288" s="42"/>
      <c r="AJ288" s="42"/>
      <c r="AK288" s="42"/>
      <c r="AL288" s="42"/>
    </row>
    <row r="289" spans="31:38" s="40" customFormat="1" x14ac:dyDescent="0.2">
      <c r="AE289" s="42"/>
      <c r="AF289" s="42"/>
      <c r="AG289" s="42"/>
      <c r="AH289" s="42"/>
      <c r="AI289" s="42"/>
      <c r="AJ289" s="42"/>
      <c r="AK289" s="42"/>
      <c r="AL289" s="42"/>
    </row>
    <row r="290" spans="31:38" s="40" customFormat="1" x14ac:dyDescent="0.2">
      <c r="AE290" s="42"/>
      <c r="AF290" s="42"/>
      <c r="AG290" s="42"/>
      <c r="AH290" s="42"/>
      <c r="AI290" s="42"/>
      <c r="AJ290" s="42"/>
      <c r="AK290" s="42"/>
      <c r="AL290" s="42"/>
    </row>
    <row r="291" spans="31:38" s="40" customFormat="1" x14ac:dyDescent="0.2">
      <c r="AE291" s="42"/>
      <c r="AF291" s="42"/>
      <c r="AG291" s="42"/>
      <c r="AH291" s="42"/>
      <c r="AI291" s="42"/>
      <c r="AJ291" s="42"/>
      <c r="AK291" s="42"/>
      <c r="AL291" s="42"/>
    </row>
    <row r="292" spans="31:38" s="40" customFormat="1" x14ac:dyDescent="0.2">
      <c r="AE292" s="42"/>
      <c r="AF292" s="42"/>
      <c r="AG292" s="42"/>
      <c r="AH292" s="42"/>
      <c r="AI292" s="42"/>
      <c r="AJ292" s="42"/>
      <c r="AK292" s="42"/>
      <c r="AL292" s="42"/>
    </row>
    <row r="293" spans="31:38" s="40" customFormat="1" x14ac:dyDescent="0.2">
      <c r="AE293" s="42"/>
      <c r="AF293" s="42"/>
      <c r="AG293" s="42"/>
      <c r="AH293" s="42"/>
      <c r="AI293" s="42"/>
      <c r="AJ293" s="42"/>
      <c r="AK293" s="42"/>
      <c r="AL293" s="42"/>
    </row>
    <row r="294" spans="31:38" s="40" customFormat="1" x14ac:dyDescent="0.2">
      <c r="AE294" s="42"/>
      <c r="AF294" s="42"/>
      <c r="AG294" s="42"/>
      <c r="AH294" s="42"/>
      <c r="AI294" s="42"/>
      <c r="AJ294" s="42"/>
      <c r="AK294" s="42"/>
      <c r="AL294" s="42"/>
    </row>
    <row r="295" spans="31:38" s="40" customFormat="1" x14ac:dyDescent="0.2">
      <c r="AE295" s="42"/>
      <c r="AF295" s="42"/>
      <c r="AG295" s="42"/>
      <c r="AH295" s="42"/>
      <c r="AI295" s="42"/>
      <c r="AJ295" s="42"/>
      <c r="AK295" s="42"/>
      <c r="AL295" s="42"/>
    </row>
    <row r="296" spans="31:38" s="40" customFormat="1" x14ac:dyDescent="0.2">
      <c r="AE296" s="42"/>
      <c r="AF296" s="42"/>
      <c r="AG296" s="42"/>
      <c r="AH296" s="42"/>
      <c r="AI296" s="42"/>
      <c r="AJ296" s="42"/>
      <c r="AK296" s="42"/>
      <c r="AL296" s="42"/>
    </row>
    <row r="297" spans="31:38" s="40" customFormat="1" x14ac:dyDescent="0.2">
      <c r="AE297" s="42"/>
      <c r="AF297" s="42"/>
      <c r="AG297" s="42"/>
      <c r="AH297" s="42"/>
      <c r="AI297" s="42"/>
      <c r="AJ297" s="42"/>
      <c r="AK297" s="42"/>
      <c r="AL297" s="42"/>
    </row>
    <row r="298" spans="31:38" s="40" customFormat="1" x14ac:dyDescent="0.2">
      <c r="AE298" s="42"/>
      <c r="AF298" s="42"/>
      <c r="AG298" s="42"/>
      <c r="AH298" s="42"/>
      <c r="AI298" s="42"/>
      <c r="AJ298" s="42"/>
      <c r="AK298" s="42"/>
      <c r="AL298" s="42"/>
    </row>
    <row r="299" spans="31:38" s="40" customFormat="1" x14ac:dyDescent="0.2">
      <c r="AE299" s="42"/>
      <c r="AF299" s="42"/>
      <c r="AG299" s="42"/>
      <c r="AH299" s="42"/>
      <c r="AI299" s="42"/>
      <c r="AJ299" s="42"/>
      <c r="AK299" s="42"/>
      <c r="AL299" s="42"/>
    </row>
    <row r="300" spans="31:38" s="40" customFormat="1" x14ac:dyDescent="0.2">
      <c r="AE300" s="42"/>
      <c r="AF300" s="42"/>
      <c r="AG300" s="42"/>
      <c r="AH300" s="42"/>
      <c r="AI300" s="42"/>
      <c r="AJ300" s="42"/>
      <c r="AK300" s="42"/>
      <c r="AL300" s="42"/>
    </row>
    <row r="301" spans="31:38" s="40" customFormat="1" x14ac:dyDescent="0.2">
      <c r="AE301" s="42"/>
      <c r="AF301" s="42"/>
      <c r="AG301" s="42"/>
      <c r="AH301" s="42"/>
      <c r="AI301" s="42"/>
      <c r="AJ301" s="42"/>
      <c r="AK301" s="42"/>
      <c r="AL301" s="42"/>
    </row>
    <row r="302" spans="31:38" s="40" customFormat="1" x14ac:dyDescent="0.2">
      <c r="AE302" s="42"/>
      <c r="AF302" s="42"/>
      <c r="AG302" s="42"/>
      <c r="AH302" s="42"/>
      <c r="AI302" s="42"/>
      <c r="AJ302" s="42"/>
      <c r="AK302" s="42"/>
      <c r="AL302" s="42"/>
    </row>
    <row r="303" spans="31:38" s="40" customFormat="1" x14ac:dyDescent="0.2">
      <c r="AE303" s="42"/>
      <c r="AF303" s="42"/>
      <c r="AG303" s="42"/>
      <c r="AH303" s="42"/>
      <c r="AI303" s="42"/>
      <c r="AJ303" s="42"/>
      <c r="AK303" s="42"/>
      <c r="AL303" s="42"/>
    </row>
    <row r="304" spans="31:38" s="40" customFormat="1" x14ac:dyDescent="0.2">
      <c r="AE304" s="42"/>
      <c r="AF304" s="42"/>
      <c r="AG304" s="42"/>
      <c r="AH304" s="42"/>
      <c r="AI304" s="42"/>
      <c r="AJ304" s="42"/>
      <c r="AK304" s="42"/>
      <c r="AL304" s="42"/>
    </row>
    <row r="305" spans="31:38" s="40" customFormat="1" x14ac:dyDescent="0.2">
      <c r="AE305" s="42"/>
      <c r="AF305" s="42"/>
      <c r="AG305" s="42"/>
      <c r="AH305" s="42"/>
      <c r="AI305" s="42"/>
      <c r="AJ305" s="42"/>
      <c r="AK305" s="42"/>
      <c r="AL305" s="42"/>
    </row>
    <row r="306" spans="31:38" s="40" customFormat="1" x14ac:dyDescent="0.2">
      <c r="AE306" s="42"/>
      <c r="AF306" s="42"/>
      <c r="AG306" s="42"/>
      <c r="AH306" s="42"/>
      <c r="AI306" s="42"/>
      <c r="AJ306" s="42"/>
      <c r="AK306" s="42"/>
      <c r="AL306" s="42"/>
    </row>
    <row r="307" spans="31:38" s="40" customFormat="1" x14ac:dyDescent="0.2">
      <c r="AE307" s="42"/>
      <c r="AF307" s="42"/>
      <c r="AG307" s="42"/>
      <c r="AH307" s="42"/>
      <c r="AI307" s="42"/>
      <c r="AJ307" s="42"/>
      <c r="AK307" s="42"/>
      <c r="AL307" s="42"/>
    </row>
    <row r="308" spans="31:38" s="40" customFormat="1" x14ac:dyDescent="0.2">
      <c r="AE308" s="42"/>
      <c r="AF308" s="42"/>
      <c r="AG308" s="42"/>
      <c r="AH308" s="42"/>
      <c r="AI308" s="42"/>
      <c r="AJ308" s="42"/>
      <c r="AK308" s="42"/>
      <c r="AL308" s="42"/>
    </row>
    <row r="309" spans="31:38" s="40" customFormat="1" x14ac:dyDescent="0.2">
      <c r="AE309" s="42"/>
      <c r="AF309" s="42"/>
      <c r="AG309" s="42"/>
      <c r="AH309" s="42"/>
      <c r="AI309" s="42"/>
      <c r="AJ309" s="42"/>
      <c r="AK309" s="42"/>
      <c r="AL309" s="42"/>
    </row>
    <row r="310" spans="31:38" s="40" customFormat="1" x14ac:dyDescent="0.2">
      <c r="AE310" s="42"/>
      <c r="AF310" s="42"/>
      <c r="AG310" s="42"/>
      <c r="AH310" s="42"/>
      <c r="AI310" s="42"/>
      <c r="AJ310" s="42"/>
      <c r="AK310" s="42"/>
      <c r="AL310" s="42"/>
    </row>
    <row r="311" spans="31:38" s="40" customFormat="1" x14ac:dyDescent="0.2">
      <c r="AE311" s="42"/>
      <c r="AF311" s="42"/>
      <c r="AG311" s="42"/>
      <c r="AH311" s="42"/>
      <c r="AI311" s="42"/>
      <c r="AJ311" s="42"/>
      <c r="AK311" s="42"/>
      <c r="AL311" s="42"/>
    </row>
    <row r="312" spans="31:38" s="40" customFormat="1" x14ac:dyDescent="0.2">
      <c r="AE312" s="42"/>
      <c r="AF312" s="42"/>
      <c r="AG312" s="42"/>
      <c r="AH312" s="42"/>
      <c r="AI312" s="42"/>
      <c r="AJ312" s="42"/>
      <c r="AK312" s="42"/>
      <c r="AL312" s="42"/>
    </row>
    <row r="313" spans="31:38" s="40" customFormat="1" x14ac:dyDescent="0.2">
      <c r="AE313" s="42"/>
      <c r="AF313" s="42"/>
      <c r="AG313" s="42"/>
      <c r="AH313" s="42"/>
      <c r="AI313" s="42"/>
      <c r="AJ313" s="42"/>
      <c r="AK313" s="42"/>
      <c r="AL313" s="42"/>
    </row>
    <row r="314" spans="31:38" s="40" customFormat="1" x14ac:dyDescent="0.2">
      <c r="AE314" s="42"/>
      <c r="AF314" s="42"/>
      <c r="AG314" s="42"/>
      <c r="AH314" s="42"/>
      <c r="AI314" s="42"/>
      <c r="AJ314" s="42"/>
      <c r="AK314" s="42"/>
      <c r="AL314" s="42"/>
    </row>
    <row r="315" spans="31:38" s="40" customFormat="1" x14ac:dyDescent="0.2">
      <c r="AE315" s="42"/>
      <c r="AF315" s="42"/>
      <c r="AG315" s="42"/>
      <c r="AH315" s="42"/>
      <c r="AI315" s="42"/>
      <c r="AJ315" s="42"/>
      <c r="AK315" s="42"/>
      <c r="AL315" s="42"/>
    </row>
    <row r="316" spans="31:38" s="40" customFormat="1" x14ac:dyDescent="0.2">
      <c r="AE316" s="42"/>
      <c r="AF316" s="42"/>
      <c r="AG316" s="42"/>
      <c r="AH316" s="42"/>
      <c r="AI316" s="42"/>
      <c r="AJ316" s="42"/>
      <c r="AK316" s="42"/>
      <c r="AL316" s="42"/>
    </row>
    <row r="317" spans="31:38" s="40" customFormat="1" x14ac:dyDescent="0.2">
      <c r="AE317" s="42"/>
      <c r="AF317" s="42"/>
      <c r="AG317" s="42"/>
      <c r="AH317" s="42"/>
      <c r="AI317" s="42"/>
      <c r="AJ317" s="42"/>
      <c r="AK317" s="42"/>
      <c r="AL317" s="42"/>
    </row>
    <row r="318" spans="31:38" s="40" customFormat="1" x14ac:dyDescent="0.2">
      <c r="AE318" s="42"/>
      <c r="AF318" s="42"/>
      <c r="AG318" s="42"/>
      <c r="AH318" s="42"/>
      <c r="AI318" s="42"/>
      <c r="AJ318" s="42"/>
      <c r="AK318" s="42"/>
      <c r="AL318" s="42"/>
    </row>
    <row r="319" spans="31:38" s="40" customFormat="1" x14ac:dyDescent="0.2">
      <c r="AE319" s="42"/>
      <c r="AF319" s="42"/>
      <c r="AG319" s="42"/>
      <c r="AH319" s="42"/>
      <c r="AI319" s="42"/>
      <c r="AJ319" s="42"/>
      <c r="AK319" s="42"/>
      <c r="AL319" s="42"/>
    </row>
    <row r="320" spans="31:38" s="40" customFormat="1" x14ac:dyDescent="0.2">
      <c r="AE320" s="42"/>
      <c r="AF320" s="42"/>
      <c r="AG320" s="42"/>
      <c r="AH320" s="42"/>
      <c r="AI320" s="42"/>
      <c r="AJ320" s="42"/>
      <c r="AK320" s="42"/>
      <c r="AL320" s="42"/>
    </row>
    <row r="321" spans="31:38" s="40" customFormat="1" x14ac:dyDescent="0.2">
      <c r="AE321" s="42"/>
      <c r="AF321" s="42"/>
      <c r="AG321" s="42"/>
      <c r="AH321" s="42"/>
      <c r="AI321" s="42"/>
      <c r="AJ321" s="42"/>
      <c r="AK321" s="42"/>
      <c r="AL321" s="42"/>
    </row>
    <row r="322" spans="31:38" s="40" customFormat="1" x14ac:dyDescent="0.2">
      <c r="AE322" s="42"/>
      <c r="AF322" s="42"/>
      <c r="AG322" s="42"/>
      <c r="AH322" s="42"/>
      <c r="AI322" s="42"/>
      <c r="AJ322" s="42"/>
      <c r="AK322" s="42"/>
      <c r="AL322" s="42"/>
    </row>
    <row r="323" spans="31:38" s="40" customFormat="1" x14ac:dyDescent="0.2">
      <c r="AE323" s="42"/>
      <c r="AF323" s="42"/>
      <c r="AG323" s="42"/>
      <c r="AH323" s="42"/>
      <c r="AI323" s="42"/>
      <c r="AJ323" s="42"/>
      <c r="AK323" s="42"/>
      <c r="AL323" s="42"/>
    </row>
    <row r="324" spans="31:38" s="40" customFormat="1" x14ac:dyDescent="0.2">
      <c r="AE324" s="42"/>
      <c r="AF324" s="42"/>
      <c r="AG324" s="42"/>
      <c r="AH324" s="42"/>
      <c r="AI324" s="42"/>
      <c r="AJ324" s="42"/>
      <c r="AK324" s="42"/>
      <c r="AL324" s="42"/>
    </row>
    <row r="325" spans="31:38" s="40" customFormat="1" x14ac:dyDescent="0.2">
      <c r="AE325" s="42"/>
      <c r="AF325" s="42"/>
      <c r="AG325" s="42"/>
      <c r="AH325" s="42"/>
      <c r="AI325" s="42"/>
      <c r="AJ325" s="42"/>
      <c r="AK325" s="42"/>
      <c r="AL325" s="42"/>
    </row>
    <row r="326" spans="31:38" s="40" customFormat="1" x14ac:dyDescent="0.2">
      <c r="AE326" s="42"/>
      <c r="AF326" s="42"/>
      <c r="AG326" s="42"/>
      <c r="AH326" s="42"/>
      <c r="AI326" s="42"/>
      <c r="AJ326" s="42"/>
      <c r="AK326" s="42"/>
      <c r="AL326" s="42"/>
    </row>
    <row r="327" spans="31:38" s="40" customFormat="1" x14ac:dyDescent="0.2">
      <c r="AE327" s="42"/>
      <c r="AF327" s="42"/>
      <c r="AG327" s="42"/>
      <c r="AH327" s="42"/>
      <c r="AI327" s="42"/>
      <c r="AJ327" s="42"/>
      <c r="AK327" s="42"/>
      <c r="AL327" s="42"/>
    </row>
    <row r="328" spans="31:38" s="40" customFormat="1" x14ac:dyDescent="0.2">
      <c r="AE328" s="42"/>
      <c r="AF328" s="42"/>
      <c r="AG328" s="42"/>
      <c r="AH328" s="42"/>
      <c r="AI328" s="42"/>
      <c r="AJ328" s="42"/>
      <c r="AK328" s="42"/>
      <c r="AL328" s="42"/>
    </row>
    <row r="329" spans="31:38" s="40" customFormat="1" x14ac:dyDescent="0.2">
      <c r="AE329" s="42"/>
      <c r="AF329" s="42"/>
      <c r="AG329" s="42"/>
      <c r="AH329" s="42"/>
      <c r="AI329" s="42"/>
      <c r="AJ329" s="42"/>
      <c r="AK329" s="42"/>
      <c r="AL329" s="42"/>
    </row>
    <row r="330" spans="31:38" s="40" customFormat="1" x14ac:dyDescent="0.2">
      <c r="AE330" s="42"/>
      <c r="AF330" s="42"/>
      <c r="AG330" s="42"/>
      <c r="AH330" s="42"/>
      <c r="AI330" s="42"/>
      <c r="AJ330" s="42"/>
      <c r="AK330" s="42"/>
      <c r="AL330" s="42"/>
    </row>
    <row r="331" spans="31:38" s="40" customFormat="1" x14ac:dyDescent="0.2">
      <c r="AE331" s="42"/>
      <c r="AF331" s="42"/>
      <c r="AG331" s="42"/>
      <c r="AH331" s="42"/>
      <c r="AI331" s="42"/>
      <c r="AJ331" s="42"/>
      <c r="AK331" s="42"/>
      <c r="AL331" s="42"/>
    </row>
    <row r="332" spans="31:38" s="40" customFormat="1" x14ac:dyDescent="0.2">
      <c r="AE332" s="42"/>
      <c r="AF332" s="42"/>
      <c r="AG332" s="42"/>
      <c r="AH332" s="42"/>
      <c r="AI332" s="42"/>
      <c r="AJ332" s="42"/>
      <c r="AK332" s="42"/>
      <c r="AL332" s="42"/>
    </row>
    <row r="333" spans="31:38" s="40" customFormat="1" x14ac:dyDescent="0.2">
      <c r="AE333" s="42"/>
      <c r="AF333" s="42"/>
      <c r="AG333" s="42"/>
      <c r="AH333" s="42"/>
      <c r="AI333" s="42"/>
      <c r="AJ333" s="42"/>
      <c r="AK333" s="42"/>
      <c r="AL333" s="42"/>
    </row>
    <row r="334" spans="31:38" s="40" customFormat="1" x14ac:dyDescent="0.2">
      <c r="AE334" s="42"/>
      <c r="AF334" s="42"/>
      <c r="AG334" s="42"/>
      <c r="AH334" s="42"/>
      <c r="AI334" s="42"/>
      <c r="AJ334" s="42"/>
      <c r="AK334" s="42"/>
      <c r="AL334" s="42"/>
    </row>
    <row r="335" spans="31:38" s="40" customFormat="1" x14ac:dyDescent="0.2">
      <c r="AE335" s="42"/>
      <c r="AF335" s="42"/>
      <c r="AG335" s="42"/>
      <c r="AH335" s="42"/>
      <c r="AI335" s="42"/>
      <c r="AJ335" s="42"/>
      <c r="AK335" s="42"/>
      <c r="AL335" s="42"/>
    </row>
    <row r="336" spans="31:38" s="40" customFormat="1" x14ac:dyDescent="0.2">
      <c r="AE336" s="42"/>
      <c r="AF336" s="42"/>
      <c r="AG336" s="42"/>
      <c r="AH336" s="42"/>
      <c r="AI336" s="42"/>
      <c r="AJ336" s="42"/>
      <c r="AK336" s="42"/>
      <c r="AL336" s="42"/>
    </row>
    <row r="337" spans="31:38" s="40" customFormat="1" x14ac:dyDescent="0.2">
      <c r="AE337" s="42"/>
      <c r="AF337" s="42"/>
      <c r="AG337" s="42"/>
      <c r="AH337" s="42"/>
      <c r="AI337" s="42"/>
      <c r="AJ337" s="42"/>
      <c r="AK337" s="42"/>
      <c r="AL337" s="42"/>
    </row>
    <row r="338" spans="31:38" s="40" customFormat="1" x14ac:dyDescent="0.2">
      <c r="AE338" s="42"/>
      <c r="AF338" s="42"/>
      <c r="AG338" s="42"/>
      <c r="AH338" s="42"/>
      <c r="AI338" s="42"/>
      <c r="AJ338" s="42"/>
      <c r="AK338" s="42"/>
      <c r="AL338" s="42"/>
    </row>
    <row r="339" spans="31:38" s="40" customFormat="1" x14ac:dyDescent="0.2">
      <c r="AE339" s="42"/>
      <c r="AF339" s="42"/>
      <c r="AG339" s="42"/>
      <c r="AH339" s="42"/>
      <c r="AI339" s="42"/>
      <c r="AJ339" s="42"/>
      <c r="AK339" s="42"/>
      <c r="AL339" s="42"/>
    </row>
    <row r="340" spans="31:38" s="40" customFormat="1" x14ac:dyDescent="0.2">
      <c r="AE340" s="42"/>
      <c r="AF340" s="42"/>
      <c r="AG340" s="42"/>
      <c r="AH340" s="42"/>
      <c r="AI340" s="42"/>
      <c r="AJ340" s="42"/>
      <c r="AK340" s="42"/>
      <c r="AL340" s="42"/>
    </row>
    <row r="341" spans="31:38" s="40" customFormat="1" x14ac:dyDescent="0.2">
      <c r="AE341" s="42"/>
      <c r="AF341" s="42"/>
      <c r="AG341" s="42"/>
      <c r="AH341" s="42"/>
      <c r="AI341" s="42"/>
      <c r="AJ341" s="42"/>
      <c r="AK341" s="42"/>
      <c r="AL341" s="42"/>
    </row>
    <row r="342" spans="31:38" s="40" customFormat="1" x14ac:dyDescent="0.2">
      <c r="AE342" s="42"/>
      <c r="AF342" s="42"/>
      <c r="AG342" s="42"/>
      <c r="AH342" s="42"/>
      <c r="AI342" s="42"/>
      <c r="AJ342" s="42"/>
      <c r="AK342" s="42"/>
      <c r="AL342" s="42"/>
    </row>
    <row r="343" spans="31:38" s="40" customFormat="1" x14ac:dyDescent="0.2">
      <c r="AE343" s="42"/>
      <c r="AF343" s="42"/>
      <c r="AG343" s="42"/>
      <c r="AH343" s="42"/>
      <c r="AI343" s="42"/>
      <c r="AJ343" s="42"/>
      <c r="AK343" s="42"/>
      <c r="AL343" s="42"/>
    </row>
    <row r="344" spans="31:38" s="40" customFormat="1" x14ac:dyDescent="0.2">
      <c r="AE344" s="42"/>
      <c r="AF344" s="42"/>
      <c r="AG344" s="42"/>
      <c r="AH344" s="42"/>
      <c r="AI344" s="42"/>
      <c r="AJ344" s="42"/>
      <c r="AK344" s="42"/>
      <c r="AL344" s="42"/>
    </row>
    <row r="345" spans="31:38" s="40" customFormat="1" x14ac:dyDescent="0.2">
      <c r="AE345" s="42"/>
      <c r="AF345" s="42"/>
      <c r="AG345" s="42"/>
      <c r="AH345" s="42"/>
      <c r="AI345" s="42"/>
      <c r="AJ345" s="42"/>
      <c r="AK345" s="42"/>
      <c r="AL345" s="42"/>
    </row>
    <row r="346" spans="31:38" s="40" customFormat="1" x14ac:dyDescent="0.2">
      <c r="AE346" s="42"/>
      <c r="AF346" s="42"/>
      <c r="AG346" s="42"/>
      <c r="AH346" s="42"/>
      <c r="AI346" s="42"/>
      <c r="AJ346" s="42"/>
      <c r="AK346" s="42"/>
      <c r="AL346" s="42"/>
    </row>
    <row r="347" spans="31:38" s="40" customFormat="1" x14ac:dyDescent="0.2">
      <c r="AE347" s="42"/>
      <c r="AF347" s="42"/>
      <c r="AG347" s="42"/>
      <c r="AH347" s="42"/>
      <c r="AI347" s="42"/>
      <c r="AJ347" s="42"/>
      <c r="AK347" s="42"/>
      <c r="AL347" s="42"/>
    </row>
    <row r="348" spans="31:38" s="40" customFormat="1" x14ac:dyDescent="0.2">
      <c r="AE348" s="42"/>
      <c r="AF348" s="42"/>
      <c r="AG348" s="42"/>
      <c r="AH348" s="42"/>
      <c r="AI348" s="42"/>
      <c r="AJ348" s="42"/>
      <c r="AK348" s="42"/>
      <c r="AL348" s="42"/>
    </row>
    <row r="349" spans="31:38" s="40" customFormat="1" x14ac:dyDescent="0.2">
      <c r="AE349" s="42"/>
      <c r="AF349" s="42"/>
      <c r="AG349" s="42"/>
      <c r="AH349" s="42"/>
      <c r="AI349" s="42"/>
      <c r="AJ349" s="42"/>
      <c r="AK349" s="42"/>
      <c r="AL349" s="42"/>
    </row>
    <row r="350" spans="31:38" s="40" customFormat="1" x14ac:dyDescent="0.2">
      <c r="AE350" s="42"/>
      <c r="AF350" s="42"/>
      <c r="AG350" s="42"/>
      <c r="AH350" s="42"/>
      <c r="AI350" s="42"/>
      <c r="AJ350" s="42"/>
      <c r="AK350" s="42"/>
      <c r="AL350" s="42"/>
    </row>
    <row r="351" spans="31:38" s="40" customFormat="1" x14ac:dyDescent="0.2">
      <c r="AE351" s="42"/>
      <c r="AF351" s="42"/>
      <c r="AG351" s="42"/>
      <c r="AH351" s="42"/>
      <c r="AI351" s="42"/>
      <c r="AJ351" s="42"/>
      <c r="AK351" s="42"/>
      <c r="AL351" s="42"/>
    </row>
    <row r="352" spans="31:38" s="40" customFormat="1" x14ac:dyDescent="0.2">
      <c r="AE352" s="42"/>
      <c r="AF352" s="42"/>
      <c r="AG352" s="42"/>
      <c r="AH352" s="42"/>
      <c r="AI352" s="42"/>
      <c r="AJ352" s="42"/>
      <c r="AK352" s="42"/>
      <c r="AL352" s="42"/>
    </row>
    <row r="353" spans="31:38" s="40" customFormat="1" x14ac:dyDescent="0.2">
      <c r="AE353" s="42"/>
      <c r="AF353" s="42"/>
      <c r="AG353" s="42"/>
      <c r="AH353" s="42"/>
      <c r="AI353" s="42"/>
      <c r="AJ353" s="42"/>
      <c r="AK353" s="42"/>
      <c r="AL353" s="42"/>
    </row>
    <row r="354" spans="31:38" s="40" customFormat="1" x14ac:dyDescent="0.2">
      <c r="AE354" s="42"/>
      <c r="AF354" s="42"/>
      <c r="AG354" s="42"/>
      <c r="AH354" s="42"/>
      <c r="AI354" s="42"/>
      <c r="AJ354" s="42"/>
      <c r="AK354" s="42"/>
      <c r="AL354" s="42"/>
    </row>
    <row r="355" spans="31:38" s="40" customFormat="1" x14ac:dyDescent="0.2">
      <c r="AE355" s="42"/>
      <c r="AF355" s="42"/>
      <c r="AG355" s="42"/>
      <c r="AH355" s="42"/>
      <c r="AI355" s="42"/>
      <c r="AJ355" s="42"/>
      <c r="AK355" s="42"/>
      <c r="AL355" s="42"/>
    </row>
    <row r="356" spans="31:38" s="40" customFormat="1" x14ac:dyDescent="0.2">
      <c r="AE356" s="42"/>
      <c r="AF356" s="42"/>
      <c r="AG356" s="42"/>
      <c r="AH356" s="42"/>
      <c r="AI356" s="42"/>
      <c r="AJ356" s="42"/>
      <c r="AK356" s="42"/>
      <c r="AL356" s="42"/>
    </row>
    <row r="357" spans="31:38" s="40" customFormat="1" x14ac:dyDescent="0.2">
      <c r="AE357" s="42"/>
      <c r="AF357" s="42"/>
      <c r="AG357" s="42"/>
      <c r="AH357" s="42"/>
      <c r="AI357" s="42"/>
      <c r="AJ357" s="42"/>
      <c r="AK357" s="42"/>
      <c r="AL357" s="42"/>
    </row>
    <row r="358" spans="31:38" s="40" customFormat="1" x14ac:dyDescent="0.2">
      <c r="AE358" s="42"/>
      <c r="AF358" s="42"/>
      <c r="AG358" s="42"/>
      <c r="AH358" s="42"/>
      <c r="AI358" s="42"/>
      <c r="AJ358" s="42"/>
      <c r="AK358" s="42"/>
      <c r="AL358" s="42"/>
    </row>
    <row r="359" spans="31:38" s="40" customFormat="1" x14ac:dyDescent="0.2">
      <c r="AE359" s="42"/>
      <c r="AF359" s="42"/>
      <c r="AG359" s="42"/>
      <c r="AH359" s="42"/>
      <c r="AI359" s="42"/>
      <c r="AJ359" s="42"/>
      <c r="AK359" s="42"/>
      <c r="AL359" s="42"/>
    </row>
    <row r="360" spans="31:38" s="40" customFormat="1" x14ac:dyDescent="0.2">
      <c r="AE360" s="42"/>
      <c r="AF360" s="42"/>
      <c r="AG360" s="42"/>
      <c r="AH360" s="42"/>
      <c r="AI360" s="42"/>
      <c r="AJ360" s="42"/>
      <c r="AK360" s="42"/>
      <c r="AL360" s="42"/>
    </row>
    <row r="361" spans="31:38" s="40" customFormat="1" x14ac:dyDescent="0.2">
      <c r="AE361" s="42"/>
      <c r="AF361" s="42"/>
      <c r="AG361" s="42"/>
      <c r="AH361" s="42"/>
      <c r="AI361" s="42"/>
      <c r="AJ361" s="42"/>
      <c r="AK361" s="42"/>
      <c r="AL361" s="42"/>
    </row>
    <row r="362" spans="31:38" s="40" customFormat="1" x14ac:dyDescent="0.2">
      <c r="AE362" s="42"/>
      <c r="AF362" s="42"/>
      <c r="AG362" s="42"/>
      <c r="AH362" s="42"/>
      <c r="AI362" s="42"/>
      <c r="AJ362" s="42"/>
      <c r="AK362" s="42"/>
      <c r="AL362" s="42"/>
    </row>
    <row r="363" spans="31:38" s="40" customFormat="1" x14ac:dyDescent="0.2">
      <c r="AE363" s="42"/>
      <c r="AF363" s="42"/>
      <c r="AG363" s="42"/>
      <c r="AH363" s="42"/>
      <c r="AI363" s="42"/>
      <c r="AJ363" s="42"/>
      <c r="AK363" s="42"/>
      <c r="AL363" s="42"/>
    </row>
    <row r="364" spans="31:38" s="40" customFormat="1" x14ac:dyDescent="0.2">
      <c r="AE364" s="42"/>
      <c r="AF364" s="42"/>
      <c r="AG364" s="42"/>
      <c r="AH364" s="42"/>
      <c r="AI364" s="42"/>
      <c r="AJ364" s="42"/>
      <c r="AK364" s="42"/>
      <c r="AL364" s="42"/>
    </row>
    <row r="365" spans="31:38" s="40" customFormat="1" x14ac:dyDescent="0.2">
      <c r="AE365" s="42"/>
      <c r="AF365" s="42"/>
      <c r="AG365" s="42"/>
      <c r="AH365" s="42"/>
      <c r="AI365" s="42"/>
      <c r="AJ365" s="42"/>
      <c r="AK365" s="42"/>
      <c r="AL365" s="42"/>
    </row>
    <row r="366" spans="31:38" s="40" customFormat="1" x14ac:dyDescent="0.2">
      <c r="AE366" s="42"/>
      <c r="AF366" s="42"/>
      <c r="AG366" s="42"/>
      <c r="AH366" s="42"/>
      <c r="AI366" s="42"/>
      <c r="AJ366" s="42"/>
      <c r="AK366" s="42"/>
      <c r="AL366" s="42"/>
    </row>
    <row r="367" spans="31:38" s="40" customFormat="1" x14ac:dyDescent="0.2">
      <c r="AE367" s="42"/>
      <c r="AF367" s="42"/>
      <c r="AG367" s="42"/>
      <c r="AH367" s="42"/>
      <c r="AI367" s="42"/>
      <c r="AJ367" s="42"/>
      <c r="AK367" s="42"/>
      <c r="AL367" s="42"/>
    </row>
    <row r="368" spans="31:38" s="40" customFormat="1" x14ac:dyDescent="0.2">
      <c r="AE368" s="42"/>
      <c r="AF368" s="42"/>
      <c r="AG368" s="42"/>
      <c r="AH368" s="42"/>
      <c r="AI368" s="42"/>
      <c r="AJ368" s="42"/>
      <c r="AK368" s="42"/>
      <c r="AL368" s="42"/>
    </row>
    <row r="369" spans="31:38" s="40" customFormat="1" x14ac:dyDescent="0.2">
      <c r="AE369" s="42"/>
      <c r="AF369" s="42"/>
      <c r="AG369" s="42"/>
      <c r="AH369" s="42"/>
      <c r="AI369" s="42"/>
      <c r="AJ369" s="42"/>
      <c r="AK369" s="42"/>
      <c r="AL369" s="42"/>
    </row>
    <row r="370" spans="31:38" s="40" customFormat="1" x14ac:dyDescent="0.2">
      <c r="AE370" s="42"/>
      <c r="AF370" s="42"/>
      <c r="AG370" s="42"/>
      <c r="AH370" s="42"/>
      <c r="AI370" s="42"/>
      <c r="AJ370" s="42"/>
      <c r="AK370" s="42"/>
      <c r="AL370" s="42"/>
    </row>
    <row r="371" spans="31:38" s="40" customFormat="1" x14ac:dyDescent="0.2">
      <c r="AE371" s="42"/>
      <c r="AF371" s="42"/>
      <c r="AG371" s="42"/>
      <c r="AH371" s="42"/>
      <c r="AI371" s="42"/>
      <c r="AJ371" s="42"/>
      <c r="AK371" s="42"/>
      <c r="AL371" s="42"/>
    </row>
    <row r="372" spans="31:38" s="40" customFormat="1" x14ac:dyDescent="0.2">
      <c r="AE372" s="42"/>
      <c r="AF372" s="42"/>
      <c r="AG372" s="42"/>
      <c r="AH372" s="42"/>
      <c r="AI372" s="42"/>
      <c r="AJ372" s="42"/>
      <c r="AK372" s="42"/>
      <c r="AL372" s="42"/>
    </row>
    <row r="373" spans="31:38" s="40" customFormat="1" x14ac:dyDescent="0.2">
      <c r="AE373" s="42"/>
      <c r="AF373" s="42"/>
      <c r="AG373" s="42"/>
      <c r="AH373" s="42"/>
      <c r="AI373" s="42"/>
      <c r="AJ373" s="42"/>
      <c r="AK373" s="42"/>
      <c r="AL373" s="42"/>
    </row>
    <row r="374" spans="31:38" s="40" customFormat="1" x14ac:dyDescent="0.2">
      <c r="AE374" s="42"/>
      <c r="AF374" s="42"/>
      <c r="AG374" s="42"/>
      <c r="AH374" s="42"/>
      <c r="AI374" s="42"/>
      <c r="AJ374" s="42"/>
      <c r="AK374" s="42"/>
      <c r="AL374" s="42"/>
    </row>
    <row r="375" spans="31:38" s="40" customFormat="1" x14ac:dyDescent="0.2">
      <c r="AE375" s="42"/>
      <c r="AF375" s="42"/>
      <c r="AG375" s="42"/>
      <c r="AH375" s="42"/>
      <c r="AI375" s="42"/>
      <c r="AJ375" s="42"/>
      <c r="AK375" s="42"/>
      <c r="AL375" s="42"/>
    </row>
    <row r="376" spans="31:38" s="40" customFormat="1" x14ac:dyDescent="0.2">
      <c r="AE376" s="42"/>
      <c r="AF376" s="42"/>
      <c r="AG376" s="42"/>
      <c r="AH376" s="42"/>
      <c r="AI376" s="42"/>
      <c r="AJ376" s="42"/>
      <c r="AK376" s="42"/>
      <c r="AL376" s="42"/>
    </row>
    <row r="377" spans="31:38" s="40" customFormat="1" x14ac:dyDescent="0.2">
      <c r="AE377" s="42"/>
      <c r="AF377" s="42"/>
      <c r="AG377" s="42"/>
      <c r="AH377" s="42"/>
      <c r="AI377" s="42"/>
      <c r="AJ377" s="42"/>
      <c r="AK377" s="42"/>
      <c r="AL377" s="42"/>
    </row>
    <row r="378" spans="31:38" s="40" customFormat="1" x14ac:dyDescent="0.2">
      <c r="AE378" s="42"/>
      <c r="AF378" s="42"/>
      <c r="AG378" s="42"/>
      <c r="AH378" s="42"/>
      <c r="AI378" s="42"/>
      <c r="AJ378" s="42"/>
      <c r="AK378" s="42"/>
      <c r="AL378" s="42"/>
    </row>
    <row r="379" spans="31:38" s="40" customFormat="1" x14ac:dyDescent="0.2">
      <c r="AE379" s="42"/>
      <c r="AF379" s="42"/>
      <c r="AG379" s="42"/>
      <c r="AH379" s="42"/>
      <c r="AI379" s="42"/>
      <c r="AJ379" s="42"/>
      <c r="AK379" s="42"/>
      <c r="AL379" s="42"/>
    </row>
    <row r="380" spans="31:38" s="40" customFormat="1" x14ac:dyDescent="0.2">
      <c r="AE380" s="42"/>
      <c r="AF380" s="42"/>
      <c r="AG380" s="42"/>
      <c r="AH380" s="42"/>
      <c r="AI380" s="42"/>
      <c r="AJ380" s="42"/>
      <c r="AK380" s="42"/>
      <c r="AL380" s="42"/>
    </row>
    <row r="381" spans="31:38" s="40" customFormat="1" x14ac:dyDescent="0.2">
      <c r="AE381" s="42"/>
      <c r="AF381" s="42"/>
      <c r="AG381" s="42"/>
      <c r="AH381" s="42"/>
      <c r="AI381" s="42"/>
      <c r="AJ381" s="42"/>
      <c r="AK381" s="42"/>
      <c r="AL381" s="42"/>
    </row>
    <row r="382" spans="31:38" s="40" customFormat="1" x14ac:dyDescent="0.2">
      <c r="AE382" s="42"/>
      <c r="AF382" s="42"/>
      <c r="AG382" s="42"/>
      <c r="AH382" s="42"/>
      <c r="AI382" s="42"/>
      <c r="AJ382" s="42"/>
      <c r="AK382" s="42"/>
      <c r="AL382" s="42"/>
    </row>
    <row r="383" spans="31:38" s="40" customFormat="1" x14ac:dyDescent="0.2">
      <c r="AE383" s="42"/>
      <c r="AF383" s="42"/>
      <c r="AG383" s="42"/>
      <c r="AH383" s="42"/>
      <c r="AI383" s="42"/>
      <c r="AJ383" s="42"/>
      <c r="AK383" s="42"/>
      <c r="AL383" s="42"/>
    </row>
    <row r="384" spans="31:38" s="40" customFormat="1" x14ac:dyDescent="0.2">
      <c r="AE384" s="42"/>
      <c r="AF384" s="42"/>
      <c r="AG384" s="42"/>
      <c r="AH384" s="42"/>
      <c r="AI384" s="42"/>
      <c r="AJ384" s="42"/>
      <c r="AK384" s="42"/>
      <c r="AL384" s="42"/>
    </row>
    <row r="385" spans="31:38" s="40" customFormat="1" x14ac:dyDescent="0.2">
      <c r="AE385" s="42"/>
      <c r="AF385" s="42"/>
      <c r="AG385" s="42"/>
      <c r="AH385" s="42"/>
      <c r="AI385" s="42"/>
      <c r="AJ385" s="42"/>
      <c r="AK385" s="42"/>
      <c r="AL385" s="42"/>
    </row>
    <row r="386" spans="31:38" s="40" customFormat="1" x14ac:dyDescent="0.2">
      <c r="AE386" s="42"/>
      <c r="AF386" s="42"/>
      <c r="AG386" s="42"/>
      <c r="AH386" s="42"/>
      <c r="AI386" s="42"/>
      <c r="AJ386" s="42"/>
      <c r="AK386" s="42"/>
      <c r="AL386" s="42"/>
    </row>
    <row r="387" spans="31:38" s="40" customFormat="1" x14ac:dyDescent="0.2">
      <c r="AE387" s="42"/>
      <c r="AF387" s="42"/>
      <c r="AG387" s="42"/>
      <c r="AH387" s="42"/>
      <c r="AI387" s="42"/>
      <c r="AJ387" s="42"/>
      <c r="AK387" s="42"/>
      <c r="AL387" s="42"/>
    </row>
    <row r="388" spans="31:38" s="40" customFormat="1" x14ac:dyDescent="0.2">
      <c r="AE388" s="42"/>
      <c r="AF388" s="42"/>
      <c r="AG388" s="42"/>
      <c r="AH388" s="42"/>
      <c r="AI388" s="42"/>
      <c r="AJ388" s="42"/>
      <c r="AK388" s="42"/>
      <c r="AL388" s="42"/>
    </row>
    <row r="389" spans="31:38" s="40" customFormat="1" x14ac:dyDescent="0.2">
      <c r="AE389" s="42"/>
      <c r="AF389" s="42"/>
      <c r="AG389" s="42"/>
      <c r="AH389" s="42"/>
      <c r="AI389" s="42"/>
      <c r="AJ389" s="42"/>
      <c r="AK389" s="42"/>
      <c r="AL389" s="42"/>
    </row>
    <row r="390" spans="31:38" s="40" customFormat="1" x14ac:dyDescent="0.2">
      <c r="AE390" s="42"/>
      <c r="AF390" s="42"/>
      <c r="AG390" s="42"/>
      <c r="AH390" s="42"/>
      <c r="AI390" s="42"/>
      <c r="AJ390" s="42"/>
      <c r="AK390" s="42"/>
      <c r="AL390" s="42"/>
    </row>
    <row r="391" spans="31:38" s="40" customFormat="1" x14ac:dyDescent="0.2">
      <c r="AE391" s="42"/>
      <c r="AF391" s="42"/>
      <c r="AG391" s="42"/>
      <c r="AH391" s="42"/>
      <c r="AI391" s="42"/>
      <c r="AJ391" s="42"/>
      <c r="AK391" s="42"/>
      <c r="AL391" s="42"/>
    </row>
    <row r="392" spans="31:38" s="40" customFormat="1" x14ac:dyDescent="0.2">
      <c r="AE392" s="42"/>
      <c r="AF392" s="42"/>
      <c r="AG392" s="42"/>
      <c r="AH392" s="42"/>
      <c r="AI392" s="42"/>
      <c r="AJ392" s="42"/>
      <c r="AK392" s="42"/>
      <c r="AL392" s="42"/>
    </row>
    <row r="393" spans="31:38" s="40" customFormat="1" x14ac:dyDescent="0.2">
      <c r="AE393" s="42"/>
      <c r="AF393" s="42"/>
      <c r="AG393" s="42"/>
      <c r="AH393" s="42"/>
      <c r="AI393" s="42"/>
      <c r="AJ393" s="42"/>
      <c r="AK393" s="42"/>
      <c r="AL393" s="42"/>
    </row>
    <row r="394" spans="31:38" s="40" customFormat="1" x14ac:dyDescent="0.2">
      <c r="AE394" s="42"/>
      <c r="AF394" s="42"/>
      <c r="AG394" s="42"/>
      <c r="AH394" s="42"/>
      <c r="AI394" s="42"/>
      <c r="AJ394" s="42"/>
      <c r="AK394" s="42"/>
      <c r="AL394" s="42"/>
    </row>
    <row r="395" spans="31:38" s="40" customFormat="1" x14ac:dyDescent="0.2">
      <c r="AE395" s="42"/>
      <c r="AF395" s="42"/>
      <c r="AG395" s="42"/>
      <c r="AH395" s="42"/>
      <c r="AI395" s="42"/>
      <c r="AJ395" s="42"/>
      <c r="AK395" s="42"/>
      <c r="AL395" s="42"/>
    </row>
    <row r="396" spans="31:38" s="40" customFormat="1" x14ac:dyDescent="0.2">
      <c r="AE396" s="42"/>
      <c r="AF396" s="42"/>
      <c r="AG396" s="42"/>
      <c r="AH396" s="42"/>
      <c r="AI396" s="42"/>
      <c r="AJ396" s="42"/>
      <c r="AK396" s="42"/>
      <c r="AL396" s="42"/>
    </row>
    <row r="397" spans="31:38" s="40" customFormat="1" x14ac:dyDescent="0.2">
      <c r="AE397" s="42"/>
      <c r="AF397" s="42"/>
      <c r="AG397" s="42"/>
      <c r="AH397" s="42"/>
      <c r="AI397" s="42"/>
      <c r="AJ397" s="42"/>
      <c r="AK397" s="42"/>
      <c r="AL397" s="42"/>
    </row>
    <row r="398" spans="31:38" s="40" customFormat="1" x14ac:dyDescent="0.2">
      <c r="AE398" s="42"/>
      <c r="AF398" s="42"/>
      <c r="AG398" s="42"/>
      <c r="AH398" s="42"/>
      <c r="AI398" s="42"/>
      <c r="AJ398" s="42"/>
      <c r="AK398" s="42"/>
      <c r="AL398" s="42"/>
    </row>
    <row r="399" spans="31:38" s="40" customFormat="1" x14ac:dyDescent="0.2">
      <c r="AE399" s="42"/>
      <c r="AF399" s="42"/>
      <c r="AG399" s="42"/>
      <c r="AH399" s="42"/>
      <c r="AI399" s="42"/>
      <c r="AJ399" s="42"/>
      <c r="AK399" s="42"/>
      <c r="AL399" s="42"/>
    </row>
    <row r="400" spans="31:38" s="40" customFormat="1" x14ac:dyDescent="0.2">
      <c r="AE400" s="42"/>
      <c r="AF400" s="42"/>
      <c r="AG400" s="42"/>
      <c r="AH400" s="42"/>
      <c r="AI400" s="42"/>
      <c r="AJ400" s="42"/>
      <c r="AK400" s="42"/>
      <c r="AL400" s="42"/>
    </row>
    <row r="401" spans="31:38" s="40" customFormat="1" x14ac:dyDescent="0.2">
      <c r="AE401" s="42"/>
      <c r="AF401" s="42"/>
      <c r="AG401" s="42"/>
      <c r="AH401" s="42"/>
      <c r="AI401" s="42"/>
      <c r="AJ401" s="42"/>
      <c r="AK401" s="42"/>
      <c r="AL401" s="42"/>
    </row>
    <row r="402" spans="31:38" s="40" customFormat="1" x14ac:dyDescent="0.2">
      <c r="AE402" s="42"/>
      <c r="AF402" s="42"/>
      <c r="AG402" s="42"/>
      <c r="AH402" s="42"/>
      <c r="AI402" s="42"/>
      <c r="AJ402" s="42"/>
      <c r="AK402" s="42"/>
      <c r="AL402" s="42"/>
    </row>
    <row r="403" spans="31:38" s="40" customFormat="1" x14ac:dyDescent="0.2">
      <c r="AE403" s="42"/>
      <c r="AF403" s="42"/>
      <c r="AG403" s="42"/>
      <c r="AH403" s="42"/>
      <c r="AI403" s="42"/>
      <c r="AJ403" s="42"/>
      <c r="AK403" s="42"/>
      <c r="AL403" s="42"/>
    </row>
    <row r="404" spans="31:38" s="40" customFormat="1" x14ac:dyDescent="0.2">
      <c r="AE404" s="42"/>
      <c r="AF404" s="42"/>
      <c r="AG404" s="42"/>
      <c r="AH404" s="42"/>
      <c r="AI404" s="42"/>
      <c r="AJ404" s="42"/>
      <c r="AK404" s="42"/>
      <c r="AL404" s="42"/>
    </row>
    <row r="405" spans="31:38" s="40" customFormat="1" x14ac:dyDescent="0.2">
      <c r="AE405" s="42"/>
      <c r="AF405" s="42"/>
      <c r="AG405" s="42"/>
      <c r="AH405" s="42"/>
      <c r="AI405" s="42"/>
      <c r="AJ405" s="42"/>
      <c r="AK405" s="42"/>
      <c r="AL405" s="42"/>
    </row>
    <row r="406" spans="31:38" s="40" customFormat="1" x14ac:dyDescent="0.2">
      <c r="AE406" s="42"/>
      <c r="AF406" s="42"/>
      <c r="AG406" s="42"/>
      <c r="AH406" s="42"/>
      <c r="AI406" s="42"/>
      <c r="AJ406" s="42"/>
      <c r="AK406" s="42"/>
      <c r="AL406" s="42"/>
    </row>
    <row r="407" spans="31:38" s="40" customFormat="1" x14ac:dyDescent="0.2">
      <c r="AE407" s="42"/>
      <c r="AF407" s="42"/>
      <c r="AG407" s="42"/>
      <c r="AH407" s="42"/>
      <c r="AI407" s="42"/>
      <c r="AJ407" s="42"/>
      <c r="AK407" s="42"/>
      <c r="AL407" s="42"/>
    </row>
    <row r="408" spans="31:38" s="40" customFormat="1" x14ac:dyDescent="0.2">
      <c r="AE408" s="42"/>
      <c r="AF408" s="42"/>
      <c r="AG408" s="42"/>
      <c r="AH408" s="42"/>
      <c r="AI408" s="42"/>
      <c r="AJ408" s="42"/>
      <c r="AK408" s="42"/>
      <c r="AL408" s="42"/>
    </row>
    <row r="409" spans="31:38" s="40" customFormat="1" x14ac:dyDescent="0.2">
      <c r="AE409" s="42"/>
      <c r="AF409" s="42"/>
      <c r="AG409" s="42"/>
      <c r="AH409" s="42"/>
      <c r="AI409" s="42"/>
      <c r="AJ409" s="42"/>
      <c r="AK409" s="42"/>
      <c r="AL409" s="42"/>
    </row>
    <row r="410" spans="31:38" s="40" customFormat="1" x14ac:dyDescent="0.2">
      <c r="AE410" s="42"/>
      <c r="AF410" s="42"/>
      <c r="AG410" s="42"/>
      <c r="AH410" s="42"/>
      <c r="AI410" s="42"/>
      <c r="AJ410" s="42"/>
      <c r="AK410" s="42"/>
      <c r="AL410" s="42"/>
    </row>
    <row r="411" spans="31:38" s="40" customFormat="1" x14ac:dyDescent="0.2">
      <c r="AE411" s="42"/>
      <c r="AF411" s="42"/>
      <c r="AG411" s="42"/>
      <c r="AH411" s="42"/>
      <c r="AI411" s="42"/>
      <c r="AJ411" s="42"/>
      <c r="AK411" s="42"/>
      <c r="AL411" s="42"/>
    </row>
    <row r="412" spans="31:38" s="40" customFormat="1" x14ac:dyDescent="0.2">
      <c r="AE412" s="42"/>
      <c r="AF412" s="42"/>
      <c r="AG412" s="42"/>
      <c r="AH412" s="42"/>
      <c r="AI412" s="42"/>
      <c r="AJ412" s="42"/>
      <c r="AK412" s="42"/>
      <c r="AL412" s="42"/>
    </row>
    <row r="413" spans="31:38" s="40" customFormat="1" x14ac:dyDescent="0.2">
      <c r="AE413" s="42"/>
      <c r="AF413" s="42"/>
      <c r="AG413" s="42"/>
      <c r="AH413" s="42"/>
      <c r="AI413" s="42"/>
      <c r="AJ413" s="42"/>
      <c r="AK413" s="42"/>
      <c r="AL413" s="42"/>
    </row>
    <row r="414" spans="31:38" s="40" customFormat="1" x14ac:dyDescent="0.2">
      <c r="AE414" s="42"/>
      <c r="AF414" s="42"/>
      <c r="AG414" s="42"/>
      <c r="AH414" s="42"/>
      <c r="AI414" s="42"/>
      <c r="AJ414" s="42"/>
      <c r="AK414" s="42"/>
      <c r="AL414" s="42"/>
    </row>
    <row r="415" spans="31:38" s="40" customFormat="1" x14ac:dyDescent="0.2">
      <c r="AE415" s="42"/>
      <c r="AF415" s="42"/>
      <c r="AG415" s="42"/>
      <c r="AH415" s="42"/>
      <c r="AI415" s="42"/>
      <c r="AJ415" s="42"/>
      <c r="AK415" s="42"/>
      <c r="AL415" s="42"/>
    </row>
    <row r="416" spans="31:38" s="40" customFormat="1" x14ac:dyDescent="0.2">
      <c r="AE416" s="42"/>
      <c r="AF416" s="42"/>
      <c r="AG416" s="42"/>
      <c r="AH416" s="42"/>
      <c r="AI416" s="42"/>
      <c r="AJ416" s="42"/>
      <c r="AK416" s="42"/>
      <c r="AL416" s="42"/>
    </row>
    <row r="417" spans="31:38" s="40" customFormat="1" x14ac:dyDescent="0.2">
      <c r="AE417" s="42"/>
      <c r="AF417" s="42"/>
      <c r="AG417" s="42"/>
      <c r="AH417" s="42"/>
      <c r="AI417" s="42"/>
      <c r="AJ417" s="42"/>
      <c r="AK417" s="42"/>
      <c r="AL417" s="42"/>
    </row>
    <row r="418" spans="31:38" s="40" customFormat="1" x14ac:dyDescent="0.2">
      <c r="AE418" s="42"/>
      <c r="AF418" s="42"/>
      <c r="AG418" s="42"/>
      <c r="AH418" s="42"/>
      <c r="AI418" s="42"/>
      <c r="AJ418" s="42"/>
      <c r="AK418" s="42"/>
      <c r="AL418" s="42"/>
    </row>
    <row r="419" spans="31:38" s="40" customFormat="1" x14ac:dyDescent="0.2">
      <c r="AE419" s="42"/>
      <c r="AF419" s="42"/>
      <c r="AG419" s="42"/>
      <c r="AH419" s="42"/>
      <c r="AI419" s="42"/>
      <c r="AJ419" s="42"/>
      <c r="AK419" s="42"/>
      <c r="AL419" s="42"/>
    </row>
    <row r="420" spans="31:38" s="40" customFormat="1" x14ac:dyDescent="0.2">
      <c r="AE420" s="42"/>
      <c r="AF420" s="42"/>
      <c r="AG420" s="42"/>
      <c r="AH420" s="42"/>
      <c r="AI420" s="42"/>
      <c r="AJ420" s="42"/>
      <c r="AK420" s="42"/>
      <c r="AL420" s="42"/>
    </row>
    <row r="421" spans="31:38" s="40" customFormat="1" x14ac:dyDescent="0.2">
      <c r="AE421" s="42"/>
      <c r="AF421" s="42"/>
      <c r="AG421" s="42"/>
      <c r="AH421" s="42"/>
      <c r="AI421" s="42"/>
      <c r="AJ421" s="42"/>
      <c r="AK421" s="42"/>
      <c r="AL421" s="42"/>
    </row>
    <row r="422" spans="31:38" s="40" customFormat="1" x14ac:dyDescent="0.2">
      <c r="AE422" s="42"/>
      <c r="AF422" s="42"/>
      <c r="AG422" s="42"/>
      <c r="AH422" s="42"/>
      <c r="AI422" s="42"/>
      <c r="AJ422" s="42"/>
      <c r="AK422" s="42"/>
      <c r="AL422" s="42"/>
    </row>
    <row r="423" spans="31:38" s="40" customFormat="1" x14ac:dyDescent="0.2">
      <c r="AE423" s="42"/>
      <c r="AF423" s="42"/>
      <c r="AG423" s="42"/>
      <c r="AH423" s="42"/>
      <c r="AI423" s="42"/>
      <c r="AJ423" s="42"/>
      <c r="AK423" s="42"/>
      <c r="AL423" s="42"/>
    </row>
    <row r="424" spans="31:38" s="40" customFormat="1" x14ac:dyDescent="0.2">
      <c r="AE424" s="42"/>
      <c r="AF424" s="42"/>
      <c r="AG424" s="42"/>
      <c r="AH424" s="42"/>
      <c r="AI424" s="42"/>
      <c r="AJ424" s="42"/>
      <c r="AK424" s="42"/>
      <c r="AL424" s="42"/>
    </row>
    <row r="425" spans="31:38" s="40" customFormat="1" x14ac:dyDescent="0.2">
      <c r="AE425" s="42"/>
      <c r="AF425" s="42"/>
      <c r="AG425" s="42"/>
      <c r="AH425" s="42"/>
      <c r="AI425" s="42"/>
      <c r="AJ425" s="42"/>
      <c r="AK425" s="42"/>
      <c r="AL425" s="42"/>
    </row>
    <row r="426" spans="31:38" s="40" customFormat="1" x14ac:dyDescent="0.2">
      <c r="AE426" s="42"/>
      <c r="AF426" s="42"/>
      <c r="AG426" s="42"/>
      <c r="AH426" s="42"/>
      <c r="AI426" s="42"/>
      <c r="AJ426" s="42"/>
      <c r="AK426" s="42"/>
      <c r="AL426" s="42"/>
    </row>
    <row r="427" spans="31:38" s="40" customFormat="1" x14ac:dyDescent="0.2">
      <c r="AE427" s="42"/>
      <c r="AF427" s="42"/>
      <c r="AG427" s="42"/>
      <c r="AH427" s="42"/>
      <c r="AI427" s="42"/>
      <c r="AJ427" s="42"/>
      <c r="AK427" s="42"/>
      <c r="AL427" s="42"/>
    </row>
    <row r="428" spans="31:38" s="40" customFormat="1" x14ac:dyDescent="0.2">
      <c r="AE428" s="42"/>
      <c r="AF428" s="42"/>
      <c r="AG428" s="42"/>
      <c r="AH428" s="42"/>
      <c r="AI428" s="42"/>
      <c r="AJ428" s="42"/>
      <c r="AK428" s="42"/>
      <c r="AL428" s="42"/>
    </row>
    <row r="429" spans="31:38" s="40" customFormat="1" x14ac:dyDescent="0.2">
      <c r="AE429" s="42"/>
      <c r="AF429" s="42"/>
      <c r="AG429" s="42"/>
      <c r="AH429" s="42"/>
      <c r="AI429" s="42"/>
      <c r="AJ429" s="42"/>
      <c r="AK429" s="42"/>
      <c r="AL429" s="42"/>
    </row>
    <row r="430" spans="31:38" s="40" customFormat="1" x14ac:dyDescent="0.2">
      <c r="AE430" s="42"/>
      <c r="AF430" s="42"/>
      <c r="AG430" s="42"/>
      <c r="AH430" s="42"/>
      <c r="AI430" s="42"/>
      <c r="AJ430" s="42"/>
      <c r="AK430" s="42"/>
      <c r="AL430" s="42"/>
    </row>
    <row r="431" spans="31:38" s="40" customFormat="1" x14ac:dyDescent="0.2">
      <c r="AE431" s="42"/>
      <c r="AF431" s="42"/>
      <c r="AG431" s="42"/>
      <c r="AH431" s="42"/>
      <c r="AI431" s="42"/>
      <c r="AJ431" s="42"/>
      <c r="AK431" s="42"/>
      <c r="AL431" s="42"/>
    </row>
    <row r="432" spans="31:38" s="40" customFormat="1" x14ac:dyDescent="0.2">
      <c r="AE432" s="42"/>
      <c r="AF432" s="42"/>
      <c r="AG432" s="42"/>
      <c r="AH432" s="42"/>
      <c r="AI432" s="42"/>
      <c r="AJ432" s="42"/>
      <c r="AK432" s="42"/>
      <c r="AL432" s="42"/>
    </row>
    <row r="433" spans="31:38" s="40" customFormat="1" x14ac:dyDescent="0.2">
      <c r="AE433" s="42"/>
      <c r="AF433" s="42"/>
      <c r="AG433" s="42"/>
      <c r="AH433" s="42"/>
      <c r="AI433" s="42"/>
      <c r="AJ433" s="42"/>
      <c r="AK433" s="42"/>
      <c r="AL433" s="42"/>
    </row>
    <row r="434" spans="31:38" s="40" customFormat="1" x14ac:dyDescent="0.2">
      <c r="AE434" s="42"/>
      <c r="AF434" s="42"/>
      <c r="AG434" s="42"/>
      <c r="AH434" s="42"/>
      <c r="AI434" s="42"/>
      <c r="AJ434" s="42"/>
      <c r="AK434" s="42"/>
      <c r="AL434" s="42"/>
    </row>
    <row r="435" spans="31:38" s="40" customFormat="1" x14ac:dyDescent="0.2">
      <c r="AE435" s="42"/>
      <c r="AF435" s="42"/>
      <c r="AG435" s="42"/>
      <c r="AH435" s="42"/>
      <c r="AI435" s="42"/>
      <c r="AJ435" s="42"/>
      <c r="AK435" s="42"/>
      <c r="AL435" s="42"/>
    </row>
    <row r="436" spans="31:38" s="40" customFormat="1" x14ac:dyDescent="0.2">
      <c r="AE436" s="42"/>
      <c r="AF436" s="42"/>
      <c r="AG436" s="42"/>
      <c r="AH436" s="42"/>
      <c r="AI436" s="42"/>
      <c r="AJ436" s="42"/>
      <c r="AK436" s="42"/>
      <c r="AL436" s="42"/>
    </row>
    <row r="437" spans="31:38" s="40" customFormat="1" x14ac:dyDescent="0.2">
      <c r="AE437" s="42"/>
      <c r="AF437" s="42"/>
      <c r="AG437" s="42"/>
      <c r="AH437" s="42"/>
      <c r="AI437" s="42"/>
      <c r="AJ437" s="42"/>
      <c r="AK437" s="42"/>
      <c r="AL437" s="42"/>
    </row>
    <row r="438" spans="31:38" s="40" customFormat="1" x14ac:dyDescent="0.2">
      <c r="AE438" s="42"/>
      <c r="AF438" s="42"/>
      <c r="AG438" s="42"/>
      <c r="AH438" s="42"/>
      <c r="AI438" s="42"/>
      <c r="AJ438" s="42"/>
      <c r="AK438" s="42"/>
      <c r="AL438" s="42"/>
    </row>
    <row r="439" spans="31:38" s="40" customFormat="1" x14ac:dyDescent="0.2">
      <c r="AE439" s="42"/>
      <c r="AF439" s="42"/>
      <c r="AG439" s="42"/>
      <c r="AH439" s="42"/>
      <c r="AI439" s="42"/>
      <c r="AJ439" s="42"/>
      <c r="AK439" s="42"/>
      <c r="AL439" s="42"/>
    </row>
    <row r="440" spans="31:38" s="40" customFormat="1" x14ac:dyDescent="0.2">
      <c r="AE440" s="42"/>
      <c r="AF440" s="42"/>
      <c r="AG440" s="42"/>
      <c r="AH440" s="42"/>
      <c r="AI440" s="42"/>
      <c r="AJ440" s="42"/>
      <c r="AK440" s="42"/>
      <c r="AL440" s="42"/>
    </row>
    <row r="441" spans="31:38" s="40" customFormat="1" x14ac:dyDescent="0.2">
      <c r="AE441" s="42"/>
      <c r="AF441" s="42"/>
      <c r="AG441" s="42"/>
      <c r="AH441" s="42"/>
      <c r="AI441" s="42"/>
      <c r="AJ441" s="42"/>
      <c r="AK441" s="42"/>
      <c r="AL441" s="42"/>
    </row>
    <row r="442" spans="31:38" s="40" customFormat="1" x14ac:dyDescent="0.2">
      <c r="AE442" s="42"/>
      <c r="AF442" s="42"/>
      <c r="AG442" s="42"/>
      <c r="AH442" s="42"/>
      <c r="AI442" s="42"/>
      <c r="AJ442" s="42"/>
      <c r="AK442" s="42"/>
      <c r="AL442" s="42"/>
    </row>
    <row r="443" spans="31:38" s="40" customFormat="1" x14ac:dyDescent="0.2">
      <c r="AE443" s="42"/>
      <c r="AF443" s="42"/>
      <c r="AG443" s="42"/>
      <c r="AH443" s="42"/>
      <c r="AI443" s="42"/>
      <c r="AJ443" s="42"/>
      <c r="AK443" s="42"/>
      <c r="AL443" s="42"/>
    </row>
    <row r="444" spans="31:38" s="40" customFormat="1" x14ac:dyDescent="0.2">
      <c r="AE444" s="42"/>
      <c r="AF444" s="42"/>
      <c r="AG444" s="42"/>
      <c r="AH444" s="42"/>
      <c r="AI444" s="42"/>
      <c r="AJ444" s="42"/>
      <c r="AK444" s="42"/>
      <c r="AL444" s="42"/>
    </row>
    <row r="445" spans="31:38" s="40" customFormat="1" x14ac:dyDescent="0.2">
      <c r="AE445" s="42"/>
      <c r="AF445" s="42"/>
      <c r="AG445" s="42"/>
      <c r="AH445" s="42"/>
      <c r="AI445" s="42"/>
      <c r="AJ445" s="42"/>
      <c r="AK445" s="42"/>
      <c r="AL445" s="42"/>
    </row>
    <row r="446" spans="31:38" s="40" customFormat="1" x14ac:dyDescent="0.2">
      <c r="AE446" s="42"/>
      <c r="AF446" s="42"/>
      <c r="AG446" s="42"/>
      <c r="AH446" s="42"/>
      <c r="AI446" s="42"/>
      <c r="AJ446" s="42"/>
      <c r="AK446" s="42"/>
      <c r="AL446" s="42"/>
    </row>
    <row r="447" spans="31:38" s="40" customFormat="1" x14ac:dyDescent="0.2">
      <c r="AE447" s="42"/>
      <c r="AF447" s="42"/>
      <c r="AG447" s="42"/>
      <c r="AH447" s="42"/>
      <c r="AI447" s="42"/>
      <c r="AJ447" s="42"/>
      <c r="AK447" s="42"/>
      <c r="AL447" s="42"/>
    </row>
    <row r="448" spans="31:38" s="40" customFormat="1" x14ac:dyDescent="0.2">
      <c r="AE448" s="42"/>
      <c r="AF448" s="42"/>
      <c r="AG448" s="42"/>
      <c r="AH448" s="42"/>
      <c r="AI448" s="42"/>
      <c r="AJ448" s="42"/>
      <c r="AK448" s="42"/>
      <c r="AL448" s="42"/>
    </row>
    <row r="449" spans="31:38" s="40" customFormat="1" x14ac:dyDescent="0.2">
      <c r="AE449" s="42"/>
      <c r="AF449" s="42"/>
      <c r="AG449" s="42"/>
      <c r="AH449" s="42"/>
      <c r="AI449" s="42"/>
      <c r="AJ449" s="42"/>
      <c r="AK449" s="42"/>
      <c r="AL449" s="42"/>
    </row>
    <row r="450" spans="31:38" s="40" customFormat="1" x14ac:dyDescent="0.2">
      <c r="AE450" s="42"/>
      <c r="AF450" s="42"/>
      <c r="AG450" s="42"/>
      <c r="AH450" s="42"/>
      <c r="AI450" s="42"/>
      <c r="AJ450" s="42"/>
      <c r="AK450" s="42"/>
      <c r="AL450" s="42"/>
    </row>
    <row r="451" spans="31:38" s="40" customFormat="1" x14ac:dyDescent="0.2">
      <c r="AE451" s="42"/>
      <c r="AF451" s="42"/>
      <c r="AG451" s="42"/>
      <c r="AH451" s="42"/>
      <c r="AI451" s="42"/>
      <c r="AJ451" s="42"/>
      <c r="AK451" s="42"/>
      <c r="AL451" s="42"/>
    </row>
    <row r="452" spans="31:38" s="40" customFormat="1" x14ac:dyDescent="0.2">
      <c r="AE452" s="42"/>
      <c r="AF452" s="42"/>
      <c r="AG452" s="42"/>
      <c r="AH452" s="42"/>
      <c r="AI452" s="42"/>
      <c r="AJ452" s="42"/>
      <c r="AK452" s="42"/>
      <c r="AL452" s="42"/>
    </row>
    <row r="453" spans="31:38" s="40" customFormat="1" x14ac:dyDescent="0.2">
      <c r="AE453" s="42"/>
      <c r="AF453" s="42"/>
      <c r="AG453" s="42"/>
      <c r="AH453" s="42"/>
      <c r="AI453" s="42"/>
      <c r="AJ453" s="42"/>
      <c r="AK453" s="42"/>
      <c r="AL453" s="42"/>
    </row>
    <row r="454" spans="31:38" s="40" customFormat="1" x14ac:dyDescent="0.2">
      <c r="AE454" s="42"/>
      <c r="AF454" s="42"/>
      <c r="AG454" s="42"/>
      <c r="AH454" s="42"/>
      <c r="AI454" s="42"/>
      <c r="AJ454" s="42"/>
      <c r="AK454" s="42"/>
      <c r="AL454" s="42"/>
    </row>
    <row r="455" spans="31:38" s="40" customFormat="1" x14ac:dyDescent="0.2">
      <c r="AE455" s="42"/>
      <c r="AF455" s="42"/>
      <c r="AG455" s="42"/>
      <c r="AH455" s="42"/>
      <c r="AI455" s="42"/>
      <c r="AJ455" s="42"/>
      <c r="AK455" s="42"/>
      <c r="AL455" s="42"/>
    </row>
    <row r="456" spans="31:38" s="40" customFormat="1" x14ac:dyDescent="0.2">
      <c r="AE456" s="42"/>
      <c r="AF456" s="42"/>
      <c r="AG456" s="42"/>
      <c r="AH456" s="42"/>
      <c r="AI456" s="42"/>
      <c r="AJ456" s="42"/>
      <c r="AK456" s="42"/>
      <c r="AL456" s="42"/>
    </row>
    <row r="457" spans="31:38" s="40" customFormat="1" x14ac:dyDescent="0.2">
      <c r="AE457" s="42"/>
      <c r="AF457" s="42"/>
      <c r="AG457" s="42"/>
      <c r="AH457" s="42"/>
      <c r="AI457" s="42"/>
      <c r="AJ457" s="42"/>
      <c r="AK457" s="42"/>
      <c r="AL457" s="42"/>
    </row>
    <row r="458" spans="31:38" s="40" customFormat="1" x14ac:dyDescent="0.2">
      <c r="AE458" s="42"/>
      <c r="AF458" s="42"/>
      <c r="AG458" s="42"/>
      <c r="AH458" s="42"/>
      <c r="AI458" s="42"/>
      <c r="AJ458" s="42"/>
      <c r="AK458" s="42"/>
      <c r="AL458" s="42"/>
    </row>
    <row r="459" spans="31:38" s="40" customFormat="1" x14ac:dyDescent="0.2">
      <c r="AE459" s="42"/>
      <c r="AF459" s="42"/>
      <c r="AG459" s="42"/>
      <c r="AH459" s="42"/>
      <c r="AI459" s="42"/>
      <c r="AJ459" s="42"/>
      <c r="AK459" s="42"/>
      <c r="AL459" s="42"/>
    </row>
    <row r="460" spans="31:38" s="40" customFormat="1" x14ac:dyDescent="0.2">
      <c r="AE460" s="42"/>
      <c r="AF460" s="42"/>
      <c r="AG460" s="42"/>
      <c r="AH460" s="42"/>
      <c r="AI460" s="42"/>
      <c r="AJ460" s="42"/>
      <c r="AK460" s="42"/>
      <c r="AL460" s="42"/>
    </row>
    <row r="461" spans="31:38" s="40" customFormat="1" x14ac:dyDescent="0.2">
      <c r="AE461" s="42"/>
      <c r="AF461" s="42"/>
      <c r="AG461" s="42"/>
      <c r="AH461" s="42"/>
      <c r="AI461" s="42"/>
      <c r="AJ461" s="42"/>
      <c r="AK461" s="42"/>
      <c r="AL461" s="42"/>
    </row>
    <row r="462" spans="31:38" s="40" customFormat="1" x14ac:dyDescent="0.2">
      <c r="AE462" s="42"/>
      <c r="AF462" s="42"/>
      <c r="AG462" s="42"/>
      <c r="AH462" s="42"/>
      <c r="AI462" s="42"/>
      <c r="AJ462" s="42"/>
      <c r="AK462" s="42"/>
      <c r="AL462" s="42"/>
    </row>
    <row r="463" spans="31:38" s="40" customFormat="1" x14ac:dyDescent="0.2">
      <c r="AE463" s="42"/>
      <c r="AF463" s="42"/>
      <c r="AG463" s="42"/>
      <c r="AH463" s="42"/>
      <c r="AI463" s="42"/>
      <c r="AJ463" s="42"/>
      <c r="AK463" s="42"/>
      <c r="AL463" s="42"/>
    </row>
    <row r="464" spans="31:38" s="40" customFormat="1" x14ac:dyDescent="0.2">
      <c r="AE464" s="42"/>
      <c r="AF464" s="42"/>
      <c r="AG464" s="42"/>
      <c r="AH464" s="42"/>
      <c r="AI464" s="42"/>
      <c r="AJ464" s="42"/>
      <c r="AK464" s="42"/>
      <c r="AL464" s="42"/>
    </row>
    <row r="465" spans="31:38" s="40" customFormat="1" x14ac:dyDescent="0.2">
      <c r="AE465" s="42"/>
      <c r="AF465" s="42"/>
      <c r="AG465" s="42"/>
      <c r="AH465" s="42"/>
      <c r="AI465" s="42"/>
      <c r="AJ465" s="42"/>
      <c r="AK465" s="42"/>
      <c r="AL465" s="42"/>
    </row>
    <row r="466" spans="31:38" s="40" customFormat="1" x14ac:dyDescent="0.2">
      <c r="AE466" s="42"/>
      <c r="AF466" s="42"/>
      <c r="AG466" s="42"/>
      <c r="AH466" s="42"/>
      <c r="AI466" s="42"/>
      <c r="AJ466" s="42"/>
      <c r="AK466" s="42"/>
      <c r="AL466" s="42"/>
    </row>
    <row r="467" spans="31:38" s="40" customFormat="1" x14ac:dyDescent="0.2">
      <c r="AE467" s="42"/>
      <c r="AF467" s="42"/>
      <c r="AG467" s="42"/>
      <c r="AH467" s="42"/>
      <c r="AI467" s="42"/>
      <c r="AJ467" s="42"/>
      <c r="AK467" s="42"/>
      <c r="AL467" s="42"/>
    </row>
    <row r="468" spans="31:38" s="40" customFormat="1" x14ac:dyDescent="0.2">
      <c r="AE468" s="42"/>
      <c r="AF468" s="42"/>
      <c r="AG468" s="42"/>
      <c r="AH468" s="42"/>
      <c r="AI468" s="42"/>
      <c r="AJ468" s="42"/>
      <c r="AK468" s="42"/>
      <c r="AL468" s="42"/>
    </row>
    <row r="469" spans="31:38" s="40" customFormat="1" x14ac:dyDescent="0.2">
      <c r="AE469" s="42"/>
      <c r="AF469" s="42"/>
      <c r="AG469" s="42"/>
      <c r="AH469" s="42"/>
      <c r="AI469" s="42"/>
      <c r="AJ469" s="42"/>
      <c r="AK469" s="42"/>
      <c r="AL469" s="42"/>
    </row>
    <row r="470" spans="31:38" s="40" customFormat="1" x14ac:dyDescent="0.2">
      <c r="AE470" s="42"/>
      <c r="AF470" s="42"/>
      <c r="AG470" s="42"/>
      <c r="AH470" s="42"/>
      <c r="AI470" s="42"/>
      <c r="AJ470" s="42"/>
      <c r="AK470" s="42"/>
      <c r="AL470" s="42"/>
    </row>
    <row r="471" spans="31:38" s="40" customFormat="1" x14ac:dyDescent="0.2">
      <c r="AE471" s="42"/>
      <c r="AF471" s="42"/>
      <c r="AG471" s="42"/>
      <c r="AH471" s="42"/>
      <c r="AI471" s="42"/>
      <c r="AJ471" s="42"/>
      <c r="AK471" s="42"/>
      <c r="AL471" s="42"/>
    </row>
    <row r="472" spans="31:38" s="40" customFormat="1" x14ac:dyDescent="0.2">
      <c r="AE472" s="42"/>
      <c r="AF472" s="42"/>
      <c r="AG472" s="42"/>
      <c r="AH472" s="42"/>
      <c r="AI472" s="42"/>
      <c r="AJ472" s="42"/>
      <c r="AK472" s="42"/>
      <c r="AL472" s="42"/>
    </row>
    <row r="473" spans="31:38" s="40" customFormat="1" x14ac:dyDescent="0.2">
      <c r="AE473" s="42"/>
      <c r="AF473" s="42"/>
      <c r="AG473" s="42"/>
      <c r="AH473" s="42"/>
      <c r="AI473" s="42"/>
      <c r="AJ473" s="42"/>
      <c r="AK473" s="42"/>
      <c r="AL473" s="42"/>
    </row>
    <row r="474" spans="31:38" s="40" customFormat="1" x14ac:dyDescent="0.2">
      <c r="AE474" s="42"/>
      <c r="AF474" s="42"/>
      <c r="AG474" s="42"/>
      <c r="AH474" s="42"/>
      <c r="AI474" s="42"/>
      <c r="AJ474" s="42"/>
      <c r="AK474" s="42"/>
      <c r="AL474" s="42"/>
    </row>
    <row r="475" spans="31:38" s="40" customFormat="1" x14ac:dyDescent="0.2">
      <c r="AE475" s="42"/>
      <c r="AF475" s="42"/>
      <c r="AG475" s="42"/>
      <c r="AH475" s="42"/>
      <c r="AI475" s="42"/>
      <c r="AJ475" s="42"/>
      <c r="AK475" s="42"/>
      <c r="AL475" s="42"/>
    </row>
    <row r="476" spans="31:38" s="40" customFormat="1" x14ac:dyDescent="0.2">
      <c r="AE476" s="42"/>
      <c r="AF476" s="42"/>
      <c r="AG476" s="42"/>
      <c r="AH476" s="42"/>
      <c r="AI476" s="42"/>
      <c r="AJ476" s="42"/>
      <c r="AK476" s="42"/>
      <c r="AL476" s="42"/>
    </row>
    <row r="477" spans="31:38" s="40" customFormat="1" x14ac:dyDescent="0.2">
      <c r="AE477" s="42"/>
      <c r="AF477" s="42"/>
      <c r="AG477" s="42"/>
      <c r="AH477" s="42"/>
      <c r="AI477" s="42"/>
      <c r="AJ477" s="42"/>
      <c r="AK477" s="42"/>
      <c r="AL477" s="42"/>
    </row>
    <row r="478" spans="31:38" s="40" customFormat="1" x14ac:dyDescent="0.2">
      <c r="AE478" s="42"/>
      <c r="AF478" s="42"/>
      <c r="AG478" s="42"/>
      <c r="AH478" s="42"/>
      <c r="AI478" s="42"/>
      <c r="AJ478" s="42"/>
      <c r="AK478" s="42"/>
      <c r="AL478" s="42"/>
    </row>
    <row r="479" spans="31:38" s="40" customFormat="1" x14ac:dyDescent="0.2">
      <c r="AE479" s="42"/>
      <c r="AF479" s="42"/>
      <c r="AG479" s="42"/>
      <c r="AH479" s="42"/>
      <c r="AI479" s="42"/>
      <c r="AJ479" s="42"/>
      <c r="AK479" s="42"/>
      <c r="AL479" s="42"/>
    </row>
    <row r="480" spans="31:38" s="40" customFormat="1" x14ac:dyDescent="0.2">
      <c r="AE480" s="42"/>
      <c r="AF480" s="42"/>
      <c r="AG480" s="42"/>
      <c r="AH480" s="42"/>
      <c r="AI480" s="42"/>
      <c r="AJ480" s="42"/>
      <c r="AK480" s="42"/>
      <c r="AL480" s="42"/>
    </row>
    <row r="481" spans="31:38" s="40" customFormat="1" x14ac:dyDescent="0.2">
      <c r="AE481" s="42"/>
      <c r="AF481" s="42"/>
      <c r="AG481" s="42"/>
      <c r="AH481" s="42"/>
      <c r="AI481" s="42"/>
      <c r="AJ481" s="42"/>
      <c r="AK481" s="42"/>
      <c r="AL481" s="42"/>
    </row>
    <row r="482" spans="31:38" s="40" customFormat="1" x14ac:dyDescent="0.2">
      <c r="AE482" s="42"/>
      <c r="AF482" s="42"/>
      <c r="AG482" s="42"/>
      <c r="AH482" s="42"/>
      <c r="AI482" s="42"/>
      <c r="AJ482" s="42"/>
      <c r="AK482" s="42"/>
      <c r="AL482" s="42"/>
    </row>
    <row r="483" spans="31:38" s="40" customFormat="1" x14ac:dyDescent="0.2">
      <c r="AE483" s="42"/>
      <c r="AF483" s="42"/>
      <c r="AG483" s="42"/>
      <c r="AH483" s="42"/>
      <c r="AI483" s="42"/>
      <c r="AJ483" s="42"/>
      <c r="AK483" s="42"/>
      <c r="AL483" s="42"/>
    </row>
    <row r="484" spans="31:38" s="40" customFormat="1" x14ac:dyDescent="0.2">
      <c r="AE484" s="42"/>
      <c r="AF484" s="42"/>
      <c r="AG484" s="42"/>
      <c r="AH484" s="42"/>
      <c r="AI484" s="42"/>
      <c r="AJ484" s="42"/>
      <c r="AK484" s="42"/>
      <c r="AL484" s="42"/>
    </row>
    <row r="485" spans="31:38" s="40" customFormat="1" x14ac:dyDescent="0.2">
      <c r="AE485" s="42"/>
      <c r="AF485" s="42"/>
      <c r="AG485" s="42"/>
      <c r="AH485" s="42"/>
      <c r="AI485" s="42"/>
      <c r="AJ485" s="42"/>
      <c r="AK485" s="42"/>
      <c r="AL485" s="42"/>
    </row>
    <row r="486" spans="31:38" s="40" customFormat="1" x14ac:dyDescent="0.2">
      <c r="AE486" s="42"/>
      <c r="AF486" s="42"/>
      <c r="AG486" s="42"/>
      <c r="AH486" s="42"/>
      <c r="AI486" s="42"/>
      <c r="AJ486" s="42"/>
      <c r="AK486" s="42"/>
      <c r="AL486" s="42"/>
    </row>
    <row r="487" spans="31:38" s="40" customFormat="1" x14ac:dyDescent="0.2">
      <c r="AE487" s="42"/>
      <c r="AF487" s="42"/>
      <c r="AG487" s="42"/>
      <c r="AH487" s="42"/>
      <c r="AI487" s="42"/>
      <c r="AJ487" s="42"/>
      <c r="AK487" s="42"/>
      <c r="AL487" s="42"/>
    </row>
    <row r="488" spans="31:38" s="40" customFormat="1" x14ac:dyDescent="0.2">
      <c r="AE488" s="42"/>
      <c r="AF488" s="42"/>
      <c r="AG488" s="42"/>
      <c r="AH488" s="42"/>
      <c r="AI488" s="42"/>
      <c r="AJ488" s="42"/>
      <c r="AK488" s="42"/>
      <c r="AL488" s="42"/>
    </row>
    <row r="489" spans="31:38" s="40" customFormat="1" x14ac:dyDescent="0.2">
      <c r="AE489" s="42"/>
      <c r="AF489" s="42"/>
      <c r="AG489" s="42"/>
      <c r="AH489" s="42"/>
      <c r="AI489" s="42"/>
      <c r="AJ489" s="42"/>
      <c r="AK489" s="42"/>
      <c r="AL489" s="42"/>
    </row>
    <row r="490" spans="31:38" s="40" customFormat="1" x14ac:dyDescent="0.2">
      <c r="AE490" s="42"/>
      <c r="AF490" s="42"/>
      <c r="AG490" s="42"/>
      <c r="AH490" s="42"/>
      <c r="AI490" s="42"/>
      <c r="AJ490" s="42"/>
      <c r="AK490" s="42"/>
      <c r="AL490" s="42"/>
    </row>
    <row r="491" spans="31:38" s="40" customFormat="1" x14ac:dyDescent="0.2">
      <c r="AE491" s="42"/>
      <c r="AF491" s="42"/>
      <c r="AG491" s="42"/>
      <c r="AH491" s="42"/>
      <c r="AI491" s="42"/>
      <c r="AJ491" s="42"/>
      <c r="AK491" s="42"/>
      <c r="AL491" s="42"/>
    </row>
    <row r="492" spans="31:38" s="40" customFormat="1" x14ac:dyDescent="0.2">
      <c r="AE492" s="42"/>
      <c r="AF492" s="42"/>
      <c r="AG492" s="42"/>
      <c r="AH492" s="42"/>
      <c r="AI492" s="42"/>
      <c r="AJ492" s="42"/>
      <c r="AK492" s="42"/>
      <c r="AL492" s="42"/>
    </row>
    <row r="493" spans="31:38" s="40" customFormat="1" x14ac:dyDescent="0.2">
      <c r="AE493" s="42"/>
      <c r="AF493" s="42"/>
      <c r="AG493" s="42"/>
      <c r="AH493" s="42"/>
      <c r="AI493" s="42"/>
      <c r="AJ493" s="42"/>
      <c r="AK493" s="42"/>
      <c r="AL493" s="42"/>
    </row>
    <row r="494" spans="31:38" s="40" customFormat="1" x14ac:dyDescent="0.2">
      <c r="AE494" s="42"/>
      <c r="AF494" s="42"/>
      <c r="AG494" s="42"/>
      <c r="AH494" s="42"/>
      <c r="AI494" s="42"/>
      <c r="AJ494" s="42"/>
      <c r="AK494" s="42"/>
      <c r="AL494" s="42"/>
    </row>
    <row r="495" spans="31:38" s="40" customFormat="1" x14ac:dyDescent="0.2">
      <c r="AE495" s="42"/>
      <c r="AF495" s="42"/>
      <c r="AG495" s="42"/>
      <c r="AH495" s="42"/>
      <c r="AI495" s="42"/>
      <c r="AJ495" s="42"/>
      <c r="AK495" s="42"/>
      <c r="AL495" s="42"/>
    </row>
    <row r="496" spans="31:38" s="40" customFormat="1" x14ac:dyDescent="0.2">
      <c r="AE496" s="42"/>
      <c r="AF496" s="42"/>
      <c r="AG496" s="42"/>
      <c r="AH496" s="42"/>
      <c r="AI496" s="42"/>
      <c r="AJ496" s="42"/>
      <c r="AK496" s="42"/>
      <c r="AL496" s="42"/>
    </row>
    <row r="497" spans="31:38" s="40" customFormat="1" x14ac:dyDescent="0.2">
      <c r="AE497" s="42"/>
      <c r="AF497" s="42"/>
      <c r="AG497" s="42"/>
      <c r="AH497" s="42"/>
      <c r="AI497" s="42"/>
      <c r="AJ497" s="42"/>
      <c r="AK497" s="42"/>
      <c r="AL497" s="42"/>
    </row>
    <row r="498" spans="31:38" s="40" customFormat="1" x14ac:dyDescent="0.2">
      <c r="AE498" s="42"/>
      <c r="AF498" s="42"/>
      <c r="AG498" s="42"/>
      <c r="AH498" s="42"/>
      <c r="AI498" s="42"/>
      <c r="AJ498" s="42"/>
      <c r="AK498" s="42"/>
      <c r="AL498" s="42"/>
    </row>
    <row r="499" spans="31:38" s="40" customFormat="1" x14ac:dyDescent="0.2">
      <c r="AE499" s="42"/>
      <c r="AF499" s="42"/>
      <c r="AG499" s="42"/>
      <c r="AH499" s="42"/>
      <c r="AI499" s="42"/>
      <c r="AJ499" s="42"/>
      <c r="AK499" s="42"/>
      <c r="AL499" s="42"/>
    </row>
    <row r="500" spans="31:38" s="40" customFormat="1" x14ac:dyDescent="0.2">
      <c r="AE500" s="42"/>
      <c r="AF500" s="42"/>
      <c r="AG500" s="42"/>
      <c r="AH500" s="42"/>
      <c r="AI500" s="42"/>
      <c r="AJ500" s="42"/>
      <c r="AK500" s="42"/>
      <c r="AL500" s="42"/>
    </row>
    <row r="501" spans="31:38" s="40" customFormat="1" x14ac:dyDescent="0.2">
      <c r="AE501" s="42"/>
      <c r="AF501" s="42"/>
      <c r="AG501" s="42"/>
      <c r="AH501" s="42"/>
      <c r="AI501" s="42"/>
      <c r="AJ501" s="42"/>
      <c r="AK501" s="42"/>
      <c r="AL501" s="42"/>
    </row>
    <row r="502" spans="31:38" s="40" customFormat="1" x14ac:dyDescent="0.2">
      <c r="AE502" s="42"/>
      <c r="AF502" s="42"/>
      <c r="AG502" s="42"/>
      <c r="AH502" s="42"/>
      <c r="AI502" s="42"/>
      <c r="AJ502" s="42"/>
      <c r="AK502" s="42"/>
      <c r="AL502" s="42"/>
    </row>
    <row r="503" spans="31:38" s="40" customFormat="1" x14ac:dyDescent="0.2">
      <c r="AE503" s="42"/>
      <c r="AF503" s="42"/>
      <c r="AG503" s="42"/>
      <c r="AH503" s="42"/>
      <c r="AI503" s="42"/>
      <c r="AJ503" s="42"/>
      <c r="AK503" s="42"/>
      <c r="AL503" s="42"/>
    </row>
    <row r="504" spans="31:38" s="40" customFormat="1" x14ac:dyDescent="0.2">
      <c r="AE504" s="42"/>
      <c r="AF504" s="42"/>
      <c r="AG504" s="42"/>
      <c r="AH504" s="42"/>
      <c r="AI504" s="42"/>
      <c r="AJ504" s="42"/>
      <c r="AK504" s="42"/>
      <c r="AL504" s="42"/>
    </row>
    <row r="505" spans="31:38" s="40" customFormat="1" x14ac:dyDescent="0.2">
      <c r="AE505" s="42"/>
      <c r="AF505" s="42"/>
      <c r="AG505" s="42"/>
      <c r="AH505" s="42"/>
      <c r="AI505" s="42"/>
      <c r="AJ505" s="42"/>
      <c r="AK505" s="42"/>
      <c r="AL505" s="42"/>
    </row>
  </sheetData>
  <sheetProtection algorithmName="SHA-512" hashValue="iw2eSQGyqMydoxgkn6up4L9HXvczqQ/MBFd9XAdsJkqIFzxqxbB5NSuodexMDFhhkppwJpFijUbapwhl35Js0w==" saltValue="zvXtlOQsB/WMdz5K/HFQ5w==" spinCount="100000" sheet="1" objects="1" scenarios="1" formatColumns="0" formatRows="0" insertColumns="0" insertRows="0"/>
  <mergeCells count="22">
    <mergeCell ref="Q1:Q3"/>
    <mergeCell ref="D2:D3"/>
    <mergeCell ref="F2:F3"/>
    <mergeCell ref="G2:G3"/>
    <mergeCell ref="N1:N3"/>
    <mergeCell ref="O1:O3"/>
    <mergeCell ref="J1:K1"/>
    <mergeCell ref="P1:P3"/>
    <mergeCell ref="I2:I3"/>
    <mergeCell ref="H2:H3"/>
    <mergeCell ref="K2:K3"/>
    <mergeCell ref="E2:E3"/>
    <mergeCell ref="S2:S3"/>
    <mergeCell ref="V1:Y1"/>
    <mergeCell ref="AA1:AC1"/>
    <mergeCell ref="Y2:Y3"/>
    <mergeCell ref="AA2:AA3"/>
    <mergeCell ref="V2:V3"/>
    <mergeCell ref="AB2:AB3"/>
    <mergeCell ref="AC2:AC3"/>
    <mergeCell ref="X2:X3"/>
    <mergeCell ref="W2:W3"/>
  </mergeCells>
  <phoneticPr fontId="0" type="noConversion"/>
  <conditionalFormatting sqref="I4:I53">
    <cfRule type="expression" dxfId="2" priority="2">
      <formula>I4&gt;G4</formula>
    </cfRule>
  </conditionalFormatting>
  <conditionalFormatting sqref="I59:I60">
    <cfRule type="cellIs" dxfId="1" priority="5" operator="greaterThan">
      <formula>$I$19</formula>
    </cfRule>
  </conditionalFormatting>
  <conditionalFormatting sqref="I62">
    <cfRule type="cellIs" dxfId="0" priority="3" operator="greaterThan">
      <formula>$I$19</formula>
    </cfRule>
  </conditionalFormatting>
  <dataValidations count="5">
    <dataValidation allowBlank="1" showInputMessage="1" showErrorMessage="1" promptTitle="Empfehlung des Fachverbandes," prompt="Grundgage für Komparsen_x000a_mit € 41,42 festzusetzen!" sqref="F60" xr:uid="{00000000-0002-0000-0700-000000000000}"/>
    <dataValidation allowBlank="1" showInputMessage="1" showErrorMessage="1" promptTitle="ACHTUNG!!" prompt="Rollen und Namen können hier für alle Schauspieler eingegeben werden, Drehtage und Gagen aber je nach Zuordnung zu ev. Ko-Partnern in die dafür vorgesehenen Spalten rechts." sqref="B4" xr:uid="{00000000-0002-0000-0700-000001000000}"/>
    <dataValidation type="whole" operator="lessThan" allowBlank="1" showInputMessage="1" showErrorMessage="1" sqref="G59:H60 I54 G62:H62 G54:H55 L1:P55 G1:K1 J4:K55" xr:uid="{B57554FD-0398-4C02-BAF0-DF46CF3EB6F7}">
      <formula1>-9999</formula1>
    </dataValidation>
    <dataValidation operator="lessThan" allowBlank="1" showInputMessage="1" showErrorMessage="1" sqref="H2:H3 G4:H53 J2:J3 K2" xr:uid="{33868C57-4F16-436F-B652-C33C49FCD5CF}"/>
    <dataValidation type="whole" operator="lessThan" allowBlank="1" showInputMessage="1" showErrorMessage="1" sqref="T4:T53 G2:G3" xr:uid="{DCBC5239-7044-4767-8D13-C65420DA0DDD}">
      <formula1>-999</formula1>
    </dataValidation>
  </dataValidations>
  <printOptions horizontalCentered="1"/>
  <pageMargins left="0.78740157480314965" right="0.78740157480314965" top="0.98425196850393704" bottom="0.78740157480314965" header="0.51181102362204722" footer="0.51181102362204722"/>
  <pageSetup paperSize="9" scale="49" fitToHeight="0" orientation="landscape" blackAndWhite="1" r:id="rId1"/>
  <headerFooter alignWithMargins="0">
    <oddHeader>&amp;L&amp;"Verdana,Standard"&amp;10ÖSTERREICHISCHES FILMINSTITUT&amp;R&amp;"Verdana,Standard"&amp;10&amp;F</oddHeader>
    <oddFooter>&amp;L&amp;"Verdana,Standard"&amp;10Ausdruck vom &amp;D&amp;R&amp;"Verdana,Standard"&amp;10Seite &amp;P von &amp;N</oddFooter>
  </headerFooter>
  <ignoredErrors>
    <ignoredError sqref="F55 F62 Q55 F59:F60 S56:S58 F61:G61 F56:G58 D55:D62 S60:S61 J56:Q62"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3332" r:id="rId4" name="Check Box 20">
              <controlPr defaultSize="0" autoFill="0" autoLine="0" autoPict="0">
                <anchor moveWithCells="1">
                  <from>
                    <xdr:col>7</xdr:col>
                    <xdr:colOff>285750</xdr:colOff>
                    <xdr:row>3</xdr:row>
                    <xdr:rowOff>0</xdr:rowOff>
                  </from>
                  <to>
                    <xdr:col>7</xdr:col>
                    <xdr:colOff>447675</xdr:colOff>
                    <xdr:row>4</xdr:row>
                    <xdr:rowOff>19050</xdr:rowOff>
                  </to>
                </anchor>
              </controlPr>
            </control>
          </mc:Choice>
        </mc:AlternateContent>
        <mc:AlternateContent xmlns:mc="http://schemas.openxmlformats.org/markup-compatibility/2006">
          <mc:Choice Requires="x14">
            <control shapeId="13333" r:id="rId5" name="Check Box 21">
              <controlPr defaultSize="0" autoFill="0" autoLine="0" autoPict="0">
                <anchor moveWithCells="1">
                  <from>
                    <xdr:col>7</xdr:col>
                    <xdr:colOff>285750</xdr:colOff>
                    <xdr:row>3</xdr:row>
                    <xdr:rowOff>152400</xdr:rowOff>
                  </from>
                  <to>
                    <xdr:col>7</xdr:col>
                    <xdr:colOff>447675</xdr:colOff>
                    <xdr:row>5</xdr:row>
                    <xdr:rowOff>9525</xdr:rowOff>
                  </to>
                </anchor>
              </controlPr>
            </control>
          </mc:Choice>
        </mc:AlternateContent>
        <mc:AlternateContent xmlns:mc="http://schemas.openxmlformats.org/markup-compatibility/2006">
          <mc:Choice Requires="x14">
            <control shapeId="13334" r:id="rId6" name="Check Box 22">
              <controlPr defaultSize="0" autoFill="0" autoLine="0" autoPict="0">
                <anchor moveWithCells="1">
                  <from>
                    <xdr:col>7</xdr:col>
                    <xdr:colOff>285750</xdr:colOff>
                    <xdr:row>4</xdr:row>
                    <xdr:rowOff>152400</xdr:rowOff>
                  </from>
                  <to>
                    <xdr:col>7</xdr:col>
                    <xdr:colOff>447675</xdr:colOff>
                    <xdr:row>6</xdr:row>
                    <xdr:rowOff>9525</xdr:rowOff>
                  </to>
                </anchor>
              </controlPr>
            </control>
          </mc:Choice>
        </mc:AlternateContent>
        <mc:AlternateContent xmlns:mc="http://schemas.openxmlformats.org/markup-compatibility/2006">
          <mc:Choice Requires="x14">
            <control shapeId="13335" r:id="rId7" name="Check Box 23">
              <controlPr defaultSize="0" autoFill="0" autoLine="0" autoPict="0">
                <anchor moveWithCells="1">
                  <from>
                    <xdr:col>7</xdr:col>
                    <xdr:colOff>285750</xdr:colOff>
                    <xdr:row>5</xdr:row>
                    <xdr:rowOff>152400</xdr:rowOff>
                  </from>
                  <to>
                    <xdr:col>7</xdr:col>
                    <xdr:colOff>447675</xdr:colOff>
                    <xdr:row>7</xdr:row>
                    <xdr:rowOff>9525</xdr:rowOff>
                  </to>
                </anchor>
              </controlPr>
            </control>
          </mc:Choice>
        </mc:AlternateContent>
        <mc:AlternateContent xmlns:mc="http://schemas.openxmlformats.org/markup-compatibility/2006">
          <mc:Choice Requires="x14">
            <control shapeId="13336" r:id="rId8" name="Check Box 24">
              <controlPr defaultSize="0" autoFill="0" autoLine="0" autoPict="0">
                <anchor moveWithCells="1">
                  <from>
                    <xdr:col>7</xdr:col>
                    <xdr:colOff>285750</xdr:colOff>
                    <xdr:row>6</xdr:row>
                    <xdr:rowOff>152400</xdr:rowOff>
                  </from>
                  <to>
                    <xdr:col>7</xdr:col>
                    <xdr:colOff>447675</xdr:colOff>
                    <xdr:row>8</xdr:row>
                    <xdr:rowOff>9525</xdr:rowOff>
                  </to>
                </anchor>
              </controlPr>
            </control>
          </mc:Choice>
        </mc:AlternateContent>
        <mc:AlternateContent xmlns:mc="http://schemas.openxmlformats.org/markup-compatibility/2006">
          <mc:Choice Requires="x14">
            <control shapeId="13337" r:id="rId9" name="Check Box 25">
              <controlPr defaultSize="0" autoFill="0" autoLine="0" autoPict="0">
                <anchor moveWithCells="1">
                  <from>
                    <xdr:col>7</xdr:col>
                    <xdr:colOff>285750</xdr:colOff>
                    <xdr:row>7</xdr:row>
                    <xdr:rowOff>152400</xdr:rowOff>
                  </from>
                  <to>
                    <xdr:col>7</xdr:col>
                    <xdr:colOff>447675</xdr:colOff>
                    <xdr:row>9</xdr:row>
                    <xdr:rowOff>9525</xdr:rowOff>
                  </to>
                </anchor>
              </controlPr>
            </control>
          </mc:Choice>
        </mc:AlternateContent>
        <mc:AlternateContent xmlns:mc="http://schemas.openxmlformats.org/markup-compatibility/2006">
          <mc:Choice Requires="x14">
            <control shapeId="13338" r:id="rId10" name="Check Box 26">
              <controlPr defaultSize="0" autoFill="0" autoLine="0" autoPict="0">
                <anchor moveWithCells="1">
                  <from>
                    <xdr:col>7</xdr:col>
                    <xdr:colOff>285750</xdr:colOff>
                    <xdr:row>8</xdr:row>
                    <xdr:rowOff>152400</xdr:rowOff>
                  </from>
                  <to>
                    <xdr:col>7</xdr:col>
                    <xdr:colOff>447675</xdr:colOff>
                    <xdr:row>10</xdr:row>
                    <xdr:rowOff>9525</xdr:rowOff>
                  </to>
                </anchor>
              </controlPr>
            </control>
          </mc:Choice>
        </mc:AlternateContent>
        <mc:AlternateContent xmlns:mc="http://schemas.openxmlformats.org/markup-compatibility/2006">
          <mc:Choice Requires="x14">
            <control shapeId="13339" r:id="rId11" name="Check Box 27">
              <controlPr defaultSize="0" autoFill="0" autoLine="0" autoPict="0">
                <anchor moveWithCells="1">
                  <from>
                    <xdr:col>7</xdr:col>
                    <xdr:colOff>285750</xdr:colOff>
                    <xdr:row>9</xdr:row>
                    <xdr:rowOff>152400</xdr:rowOff>
                  </from>
                  <to>
                    <xdr:col>7</xdr:col>
                    <xdr:colOff>447675</xdr:colOff>
                    <xdr:row>11</xdr:row>
                    <xdr:rowOff>9525</xdr:rowOff>
                  </to>
                </anchor>
              </controlPr>
            </control>
          </mc:Choice>
        </mc:AlternateContent>
        <mc:AlternateContent xmlns:mc="http://schemas.openxmlformats.org/markup-compatibility/2006">
          <mc:Choice Requires="x14">
            <control shapeId="13340" r:id="rId12" name="Check Box 28">
              <controlPr defaultSize="0" autoFill="0" autoLine="0" autoPict="0">
                <anchor moveWithCells="1">
                  <from>
                    <xdr:col>7</xdr:col>
                    <xdr:colOff>285750</xdr:colOff>
                    <xdr:row>10</xdr:row>
                    <xdr:rowOff>152400</xdr:rowOff>
                  </from>
                  <to>
                    <xdr:col>7</xdr:col>
                    <xdr:colOff>447675</xdr:colOff>
                    <xdr:row>12</xdr:row>
                    <xdr:rowOff>9525</xdr:rowOff>
                  </to>
                </anchor>
              </controlPr>
            </control>
          </mc:Choice>
        </mc:AlternateContent>
        <mc:AlternateContent xmlns:mc="http://schemas.openxmlformats.org/markup-compatibility/2006">
          <mc:Choice Requires="x14">
            <control shapeId="13341" r:id="rId13" name="Check Box 29">
              <controlPr defaultSize="0" autoFill="0" autoLine="0" autoPict="0">
                <anchor moveWithCells="1">
                  <from>
                    <xdr:col>7</xdr:col>
                    <xdr:colOff>285750</xdr:colOff>
                    <xdr:row>11</xdr:row>
                    <xdr:rowOff>152400</xdr:rowOff>
                  </from>
                  <to>
                    <xdr:col>7</xdr:col>
                    <xdr:colOff>447675</xdr:colOff>
                    <xdr:row>13</xdr:row>
                    <xdr:rowOff>9525</xdr:rowOff>
                  </to>
                </anchor>
              </controlPr>
            </control>
          </mc:Choice>
        </mc:AlternateContent>
        <mc:AlternateContent xmlns:mc="http://schemas.openxmlformats.org/markup-compatibility/2006">
          <mc:Choice Requires="x14">
            <control shapeId="13342" r:id="rId14" name="Check Box 30">
              <controlPr defaultSize="0" autoFill="0" autoLine="0" autoPict="0">
                <anchor moveWithCells="1">
                  <from>
                    <xdr:col>7</xdr:col>
                    <xdr:colOff>285750</xdr:colOff>
                    <xdr:row>12</xdr:row>
                    <xdr:rowOff>142875</xdr:rowOff>
                  </from>
                  <to>
                    <xdr:col>7</xdr:col>
                    <xdr:colOff>447675</xdr:colOff>
                    <xdr:row>14</xdr:row>
                    <xdr:rowOff>0</xdr:rowOff>
                  </to>
                </anchor>
              </controlPr>
            </control>
          </mc:Choice>
        </mc:AlternateContent>
        <mc:AlternateContent xmlns:mc="http://schemas.openxmlformats.org/markup-compatibility/2006">
          <mc:Choice Requires="x14">
            <control shapeId="13343" r:id="rId15" name="Check Box 31">
              <controlPr defaultSize="0" autoFill="0" autoLine="0" autoPict="0">
                <anchor moveWithCells="1">
                  <from>
                    <xdr:col>7</xdr:col>
                    <xdr:colOff>285750</xdr:colOff>
                    <xdr:row>13</xdr:row>
                    <xdr:rowOff>142875</xdr:rowOff>
                  </from>
                  <to>
                    <xdr:col>7</xdr:col>
                    <xdr:colOff>447675</xdr:colOff>
                    <xdr:row>15</xdr:row>
                    <xdr:rowOff>0</xdr:rowOff>
                  </to>
                </anchor>
              </controlPr>
            </control>
          </mc:Choice>
        </mc:AlternateContent>
        <mc:AlternateContent xmlns:mc="http://schemas.openxmlformats.org/markup-compatibility/2006">
          <mc:Choice Requires="x14">
            <control shapeId="13344" r:id="rId16" name="Check Box 32">
              <controlPr defaultSize="0" autoFill="0" autoLine="0" autoPict="0">
                <anchor moveWithCells="1">
                  <from>
                    <xdr:col>7</xdr:col>
                    <xdr:colOff>285750</xdr:colOff>
                    <xdr:row>14</xdr:row>
                    <xdr:rowOff>152400</xdr:rowOff>
                  </from>
                  <to>
                    <xdr:col>7</xdr:col>
                    <xdr:colOff>447675</xdr:colOff>
                    <xdr:row>16</xdr:row>
                    <xdr:rowOff>9525</xdr:rowOff>
                  </to>
                </anchor>
              </controlPr>
            </control>
          </mc:Choice>
        </mc:AlternateContent>
        <mc:AlternateContent xmlns:mc="http://schemas.openxmlformats.org/markup-compatibility/2006">
          <mc:Choice Requires="x14">
            <control shapeId="13345" r:id="rId17" name="Check Box 33">
              <controlPr defaultSize="0" autoFill="0" autoLine="0" autoPict="0">
                <anchor moveWithCells="1">
                  <from>
                    <xdr:col>7</xdr:col>
                    <xdr:colOff>285750</xdr:colOff>
                    <xdr:row>15</xdr:row>
                    <xdr:rowOff>142875</xdr:rowOff>
                  </from>
                  <to>
                    <xdr:col>7</xdr:col>
                    <xdr:colOff>447675</xdr:colOff>
                    <xdr:row>17</xdr:row>
                    <xdr:rowOff>0</xdr:rowOff>
                  </to>
                </anchor>
              </controlPr>
            </control>
          </mc:Choice>
        </mc:AlternateContent>
        <mc:AlternateContent xmlns:mc="http://schemas.openxmlformats.org/markup-compatibility/2006">
          <mc:Choice Requires="x14">
            <control shapeId="13346" r:id="rId18" name="Check Box 34">
              <controlPr defaultSize="0" autoFill="0" autoLine="0" autoPict="0">
                <anchor moveWithCells="1">
                  <from>
                    <xdr:col>7</xdr:col>
                    <xdr:colOff>285750</xdr:colOff>
                    <xdr:row>16</xdr:row>
                    <xdr:rowOff>133350</xdr:rowOff>
                  </from>
                  <to>
                    <xdr:col>7</xdr:col>
                    <xdr:colOff>447675</xdr:colOff>
                    <xdr:row>17</xdr:row>
                    <xdr:rowOff>152400</xdr:rowOff>
                  </to>
                </anchor>
              </controlPr>
            </control>
          </mc:Choice>
        </mc:AlternateContent>
        <mc:AlternateContent xmlns:mc="http://schemas.openxmlformats.org/markup-compatibility/2006">
          <mc:Choice Requires="x14">
            <control shapeId="13347" r:id="rId19" name="Check Box 35">
              <controlPr defaultSize="0" autoFill="0" autoLine="0" autoPict="0">
                <anchor moveWithCells="1">
                  <from>
                    <xdr:col>7</xdr:col>
                    <xdr:colOff>285750</xdr:colOff>
                    <xdr:row>17</xdr:row>
                    <xdr:rowOff>142875</xdr:rowOff>
                  </from>
                  <to>
                    <xdr:col>7</xdr:col>
                    <xdr:colOff>447675</xdr:colOff>
                    <xdr:row>19</xdr:row>
                    <xdr:rowOff>0</xdr:rowOff>
                  </to>
                </anchor>
              </controlPr>
            </control>
          </mc:Choice>
        </mc:AlternateContent>
        <mc:AlternateContent xmlns:mc="http://schemas.openxmlformats.org/markup-compatibility/2006">
          <mc:Choice Requires="x14">
            <control shapeId="13348" r:id="rId20" name="Check Box 36">
              <controlPr defaultSize="0" autoFill="0" autoLine="0" autoPict="0">
                <anchor moveWithCells="1">
                  <from>
                    <xdr:col>7</xdr:col>
                    <xdr:colOff>285750</xdr:colOff>
                    <xdr:row>18</xdr:row>
                    <xdr:rowOff>142875</xdr:rowOff>
                  </from>
                  <to>
                    <xdr:col>7</xdr:col>
                    <xdr:colOff>447675</xdr:colOff>
                    <xdr:row>20</xdr:row>
                    <xdr:rowOff>0</xdr:rowOff>
                  </to>
                </anchor>
              </controlPr>
            </control>
          </mc:Choice>
        </mc:AlternateContent>
        <mc:AlternateContent xmlns:mc="http://schemas.openxmlformats.org/markup-compatibility/2006">
          <mc:Choice Requires="x14">
            <control shapeId="13349" r:id="rId21" name="Check Box 37">
              <controlPr defaultSize="0" autoFill="0" autoLine="0" autoPict="0">
                <anchor moveWithCells="1">
                  <from>
                    <xdr:col>7</xdr:col>
                    <xdr:colOff>285750</xdr:colOff>
                    <xdr:row>19</xdr:row>
                    <xdr:rowOff>152400</xdr:rowOff>
                  </from>
                  <to>
                    <xdr:col>7</xdr:col>
                    <xdr:colOff>447675</xdr:colOff>
                    <xdr:row>21</xdr:row>
                    <xdr:rowOff>9525</xdr:rowOff>
                  </to>
                </anchor>
              </controlPr>
            </control>
          </mc:Choice>
        </mc:AlternateContent>
        <mc:AlternateContent xmlns:mc="http://schemas.openxmlformats.org/markup-compatibility/2006">
          <mc:Choice Requires="x14">
            <control shapeId="13350" r:id="rId22" name="Check Box 38">
              <controlPr defaultSize="0" autoFill="0" autoLine="0" autoPict="0">
                <anchor moveWithCells="1">
                  <from>
                    <xdr:col>7</xdr:col>
                    <xdr:colOff>285750</xdr:colOff>
                    <xdr:row>20</xdr:row>
                    <xdr:rowOff>152400</xdr:rowOff>
                  </from>
                  <to>
                    <xdr:col>7</xdr:col>
                    <xdr:colOff>447675</xdr:colOff>
                    <xdr:row>22</xdr:row>
                    <xdr:rowOff>9525</xdr:rowOff>
                  </to>
                </anchor>
              </controlPr>
            </control>
          </mc:Choice>
        </mc:AlternateContent>
        <mc:AlternateContent xmlns:mc="http://schemas.openxmlformats.org/markup-compatibility/2006">
          <mc:Choice Requires="x14">
            <control shapeId="13351" r:id="rId23" name="Check Box 39">
              <controlPr defaultSize="0" autoFill="0" autoLine="0" autoPict="0">
                <anchor moveWithCells="1">
                  <from>
                    <xdr:col>7</xdr:col>
                    <xdr:colOff>285750</xdr:colOff>
                    <xdr:row>21</xdr:row>
                    <xdr:rowOff>152400</xdr:rowOff>
                  </from>
                  <to>
                    <xdr:col>7</xdr:col>
                    <xdr:colOff>447675</xdr:colOff>
                    <xdr:row>23</xdr:row>
                    <xdr:rowOff>9525</xdr:rowOff>
                  </to>
                </anchor>
              </controlPr>
            </control>
          </mc:Choice>
        </mc:AlternateContent>
        <mc:AlternateContent xmlns:mc="http://schemas.openxmlformats.org/markup-compatibility/2006">
          <mc:Choice Requires="x14">
            <control shapeId="13352" r:id="rId24" name="Check Box 40">
              <controlPr defaultSize="0" autoFill="0" autoLine="0" autoPict="0">
                <anchor moveWithCells="1">
                  <from>
                    <xdr:col>7</xdr:col>
                    <xdr:colOff>285750</xdr:colOff>
                    <xdr:row>22</xdr:row>
                    <xdr:rowOff>152400</xdr:rowOff>
                  </from>
                  <to>
                    <xdr:col>7</xdr:col>
                    <xdr:colOff>447675</xdr:colOff>
                    <xdr:row>24</xdr:row>
                    <xdr:rowOff>9525</xdr:rowOff>
                  </to>
                </anchor>
              </controlPr>
            </control>
          </mc:Choice>
        </mc:AlternateContent>
        <mc:AlternateContent xmlns:mc="http://schemas.openxmlformats.org/markup-compatibility/2006">
          <mc:Choice Requires="x14">
            <control shapeId="13353" r:id="rId25" name="Check Box 41">
              <controlPr defaultSize="0" autoFill="0" autoLine="0" autoPict="0">
                <anchor moveWithCells="1">
                  <from>
                    <xdr:col>7</xdr:col>
                    <xdr:colOff>285750</xdr:colOff>
                    <xdr:row>23</xdr:row>
                    <xdr:rowOff>142875</xdr:rowOff>
                  </from>
                  <to>
                    <xdr:col>7</xdr:col>
                    <xdr:colOff>447675</xdr:colOff>
                    <xdr:row>25</xdr:row>
                    <xdr:rowOff>0</xdr:rowOff>
                  </to>
                </anchor>
              </controlPr>
            </control>
          </mc:Choice>
        </mc:AlternateContent>
        <mc:AlternateContent xmlns:mc="http://schemas.openxmlformats.org/markup-compatibility/2006">
          <mc:Choice Requires="x14">
            <control shapeId="13354" r:id="rId26" name="Check Box 42">
              <controlPr defaultSize="0" autoFill="0" autoLine="0" autoPict="0">
                <anchor moveWithCells="1">
                  <from>
                    <xdr:col>7</xdr:col>
                    <xdr:colOff>285750</xdr:colOff>
                    <xdr:row>24</xdr:row>
                    <xdr:rowOff>152400</xdr:rowOff>
                  </from>
                  <to>
                    <xdr:col>7</xdr:col>
                    <xdr:colOff>447675</xdr:colOff>
                    <xdr:row>26</xdr:row>
                    <xdr:rowOff>9525</xdr:rowOff>
                  </to>
                </anchor>
              </controlPr>
            </control>
          </mc:Choice>
        </mc:AlternateContent>
        <mc:AlternateContent xmlns:mc="http://schemas.openxmlformats.org/markup-compatibility/2006">
          <mc:Choice Requires="x14">
            <control shapeId="13355" r:id="rId27" name="Check Box 43">
              <controlPr defaultSize="0" autoFill="0" autoLine="0" autoPict="0">
                <anchor moveWithCells="1">
                  <from>
                    <xdr:col>7</xdr:col>
                    <xdr:colOff>285750</xdr:colOff>
                    <xdr:row>25</xdr:row>
                    <xdr:rowOff>152400</xdr:rowOff>
                  </from>
                  <to>
                    <xdr:col>7</xdr:col>
                    <xdr:colOff>447675</xdr:colOff>
                    <xdr:row>27</xdr:row>
                    <xdr:rowOff>9525</xdr:rowOff>
                  </to>
                </anchor>
              </controlPr>
            </control>
          </mc:Choice>
        </mc:AlternateContent>
        <mc:AlternateContent xmlns:mc="http://schemas.openxmlformats.org/markup-compatibility/2006">
          <mc:Choice Requires="x14">
            <control shapeId="13356" r:id="rId28" name="Check Box 44">
              <controlPr defaultSize="0" autoFill="0" autoLine="0" autoPict="0">
                <anchor moveWithCells="1">
                  <from>
                    <xdr:col>7</xdr:col>
                    <xdr:colOff>285750</xdr:colOff>
                    <xdr:row>26</xdr:row>
                    <xdr:rowOff>152400</xdr:rowOff>
                  </from>
                  <to>
                    <xdr:col>7</xdr:col>
                    <xdr:colOff>447675</xdr:colOff>
                    <xdr:row>28</xdr:row>
                    <xdr:rowOff>9525</xdr:rowOff>
                  </to>
                </anchor>
              </controlPr>
            </control>
          </mc:Choice>
        </mc:AlternateContent>
        <mc:AlternateContent xmlns:mc="http://schemas.openxmlformats.org/markup-compatibility/2006">
          <mc:Choice Requires="x14">
            <control shapeId="13357" r:id="rId29" name="Check Box 45">
              <controlPr defaultSize="0" autoFill="0" autoLine="0" autoPict="0">
                <anchor moveWithCells="1">
                  <from>
                    <xdr:col>7</xdr:col>
                    <xdr:colOff>285750</xdr:colOff>
                    <xdr:row>27</xdr:row>
                    <xdr:rowOff>152400</xdr:rowOff>
                  </from>
                  <to>
                    <xdr:col>7</xdr:col>
                    <xdr:colOff>447675</xdr:colOff>
                    <xdr:row>29</xdr:row>
                    <xdr:rowOff>9525</xdr:rowOff>
                  </to>
                </anchor>
              </controlPr>
            </control>
          </mc:Choice>
        </mc:AlternateContent>
        <mc:AlternateContent xmlns:mc="http://schemas.openxmlformats.org/markup-compatibility/2006">
          <mc:Choice Requires="x14">
            <control shapeId="13358" r:id="rId30" name="Check Box 46">
              <controlPr defaultSize="0" autoFill="0" autoLine="0" autoPict="0">
                <anchor moveWithCells="1">
                  <from>
                    <xdr:col>7</xdr:col>
                    <xdr:colOff>285750</xdr:colOff>
                    <xdr:row>28</xdr:row>
                    <xdr:rowOff>152400</xdr:rowOff>
                  </from>
                  <to>
                    <xdr:col>7</xdr:col>
                    <xdr:colOff>447675</xdr:colOff>
                    <xdr:row>30</xdr:row>
                    <xdr:rowOff>9525</xdr:rowOff>
                  </to>
                </anchor>
              </controlPr>
            </control>
          </mc:Choice>
        </mc:AlternateContent>
        <mc:AlternateContent xmlns:mc="http://schemas.openxmlformats.org/markup-compatibility/2006">
          <mc:Choice Requires="x14">
            <control shapeId="13359" r:id="rId31" name="Check Box 47">
              <controlPr defaultSize="0" autoFill="0" autoLine="0" autoPict="0">
                <anchor moveWithCells="1">
                  <from>
                    <xdr:col>7</xdr:col>
                    <xdr:colOff>285750</xdr:colOff>
                    <xdr:row>29</xdr:row>
                    <xdr:rowOff>152400</xdr:rowOff>
                  </from>
                  <to>
                    <xdr:col>7</xdr:col>
                    <xdr:colOff>447675</xdr:colOff>
                    <xdr:row>31</xdr:row>
                    <xdr:rowOff>9525</xdr:rowOff>
                  </to>
                </anchor>
              </controlPr>
            </control>
          </mc:Choice>
        </mc:AlternateContent>
        <mc:AlternateContent xmlns:mc="http://schemas.openxmlformats.org/markup-compatibility/2006">
          <mc:Choice Requires="x14">
            <control shapeId="13360" r:id="rId32" name="Check Box 48">
              <controlPr defaultSize="0" autoFill="0" autoLine="0" autoPict="0">
                <anchor moveWithCells="1">
                  <from>
                    <xdr:col>7</xdr:col>
                    <xdr:colOff>285750</xdr:colOff>
                    <xdr:row>30</xdr:row>
                    <xdr:rowOff>152400</xdr:rowOff>
                  </from>
                  <to>
                    <xdr:col>7</xdr:col>
                    <xdr:colOff>447675</xdr:colOff>
                    <xdr:row>32</xdr:row>
                    <xdr:rowOff>9525</xdr:rowOff>
                  </to>
                </anchor>
              </controlPr>
            </control>
          </mc:Choice>
        </mc:AlternateContent>
        <mc:AlternateContent xmlns:mc="http://schemas.openxmlformats.org/markup-compatibility/2006">
          <mc:Choice Requires="x14">
            <control shapeId="13361" r:id="rId33" name="Check Box 49">
              <controlPr defaultSize="0" autoFill="0" autoLine="0" autoPict="0">
                <anchor moveWithCells="1">
                  <from>
                    <xdr:col>7</xdr:col>
                    <xdr:colOff>285750</xdr:colOff>
                    <xdr:row>31</xdr:row>
                    <xdr:rowOff>152400</xdr:rowOff>
                  </from>
                  <to>
                    <xdr:col>7</xdr:col>
                    <xdr:colOff>447675</xdr:colOff>
                    <xdr:row>33</xdr:row>
                    <xdr:rowOff>9525</xdr:rowOff>
                  </to>
                </anchor>
              </controlPr>
            </control>
          </mc:Choice>
        </mc:AlternateContent>
        <mc:AlternateContent xmlns:mc="http://schemas.openxmlformats.org/markup-compatibility/2006">
          <mc:Choice Requires="x14">
            <control shapeId="13362" r:id="rId34" name="Check Box 50">
              <controlPr defaultSize="0" autoFill="0" autoLine="0" autoPict="0">
                <anchor moveWithCells="1">
                  <from>
                    <xdr:col>7</xdr:col>
                    <xdr:colOff>285750</xdr:colOff>
                    <xdr:row>32</xdr:row>
                    <xdr:rowOff>152400</xdr:rowOff>
                  </from>
                  <to>
                    <xdr:col>7</xdr:col>
                    <xdr:colOff>447675</xdr:colOff>
                    <xdr:row>34</xdr:row>
                    <xdr:rowOff>9525</xdr:rowOff>
                  </to>
                </anchor>
              </controlPr>
            </control>
          </mc:Choice>
        </mc:AlternateContent>
        <mc:AlternateContent xmlns:mc="http://schemas.openxmlformats.org/markup-compatibility/2006">
          <mc:Choice Requires="x14">
            <control shapeId="13363" r:id="rId35" name="Check Box 51">
              <controlPr defaultSize="0" autoFill="0" autoLine="0" autoPict="0">
                <anchor moveWithCells="1">
                  <from>
                    <xdr:col>7</xdr:col>
                    <xdr:colOff>285750</xdr:colOff>
                    <xdr:row>33</xdr:row>
                    <xdr:rowOff>152400</xdr:rowOff>
                  </from>
                  <to>
                    <xdr:col>7</xdr:col>
                    <xdr:colOff>447675</xdr:colOff>
                    <xdr:row>35</xdr:row>
                    <xdr:rowOff>9525</xdr:rowOff>
                  </to>
                </anchor>
              </controlPr>
            </control>
          </mc:Choice>
        </mc:AlternateContent>
        <mc:AlternateContent xmlns:mc="http://schemas.openxmlformats.org/markup-compatibility/2006">
          <mc:Choice Requires="x14">
            <control shapeId="13364" r:id="rId36" name="Check Box 52">
              <controlPr defaultSize="0" autoFill="0" autoLine="0" autoPict="0">
                <anchor moveWithCells="1">
                  <from>
                    <xdr:col>7</xdr:col>
                    <xdr:colOff>285750</xdr:colOff>
                    <xdr:row>34</xdr:row>
                    <xdr:rowOff>152400</xdr:rowOff>
                  </from>
                  <to>
                    <xdr:col>7</xdr:col>
                    <xdr:colOff>447675</xdr:colOff>
                    <xdr:row>36</xdr:row>
                    <xdr:rowOff>9525</xdr:rowOff>
                  </to>
                </anchor>
              </controlPr>
            </control>
          </mc:Choice>
        </mc:AlternateContent>
        <mc:AlternateContent xmlns:mc="http://schemas.openxmlformats.org/markup-compatibility/2006">
          <mc:Choice Requires="x14">
            <control shapeId="13365" r:id="rId37" name="Check Box 53">
              <controlPr defaultSize="0" autoFill="0" autoLine="0" autoPict="0">
                <anchor moveWithCells="1">
                  <from>
                    <xdr:col>7</xdr:col>
                    <xdr:colOff>285750</xdr:colOff>
                    <xdr:row>35</xdr:row>
                    <xdr:rowOff>142875</xdr:rowOff>
                  </from>
                  <to>
                    <xdr:col>7</xdr:col>
                    <xdr:colOff>447675</xdr:colOff>
                    <xdr:row>37</xdr:row>
                    <xdr:rowOff>0</xdr:rowOff>
                  </to>
                </anchor>
              </controlPr>
            </control>
          </mc:Choice>
        </mc:AlternateContent>
        <mc:AlternateContent xmlns:mc="http://schemas.openxmlformats.org/markup-compatibility/2006">
          <mc:Choice Requires="x14">
            <control shapeId="13366" r:id="rId38" name="Check Box 54">
              <controlPr defaultSize="0" autoFill="0" autoLine="0" autoPict="0">
                <anchor moveWithCells="1">
                  <from>
                    <xdr:col>7</xdr:col>
                    <xdr:colOff>285750</xdr:colOff>
                    <xdr:row>36</xdr:row>
                    <xdr:rowOff>142875</xdr:rowOff>
                  </from>
                  <to>
                    <xdr:col>7</xdr:col>
                    <xdr:colOff>447675</xdr:colOff>
                    <xdr:row>38</xdr:row>
                    <xdr:rowOff>0</xdr:rowOff>
                  </to>
                </anchor>
              </controlPr>
            </control>
          </mc:Choice>
        </mc:AlternateContent>
        <mc:AlternateContent xmlns:mc="http://schemas.openxmlformats.org/markup-compatibility/2006">
          <mc:Choice Requires="x14">
            <control shapeId="13367" r:id="rId39" name="Check Box 55">
              <controlPr defaultSize="0" autoFill="0" autoLine="0" autoPict="0">
                <anchor moveWithCells="1">
                  <from>
                    <xdr:col>7</xdr:col>
                    <xdr:colOff>285750</xdr:colOff>
                    <xdr:row>37</xdr:row>
                    <xdr:rowOff>142875</xdr:rowOff>
                  </from>
                  <to>
                    <xdr:col>7</xdr:col>
                    <xdr:colOff>447675</xdr:colOff>
                    <xdr:row>39</xdr:row>
                    <xdr:rowOff>0</xdr:rowOff>
                  </to>
                </anchor>
              </controlPr>
            </control>
          </mc:Choice>
        </mc:AlternateContent>
        <mc:AlternateContent xmlns:mc="http://schemas.openxmlformats.org/markup-compatibility/2006">
          <mc:Choice Requires="x14">
            <control shapeId="13368" r:id="rId40" name="Check Box 56">
              <controlPr defaultSize="0" autoFill="0" autoLine="0" autoPict="0">
                <anchor moveWithCells="1">
                  <from>
                    <xdr:col>7</xdr:col>
                    <xdr:colOff>285750</xdr:colOff>
                    <xdr:row>38</xdr:row>
                    <xdr:rowOff>152400</xdr:rowOff>
                  </from>
                  <to>
                    <xdr:col>7</xdr:col>
                    <xdr:colOff>447675</xdr:colOff>
                    <xdr:row>40</xdr:row>
                    <xdr:rowOff>9525</xdr:rowOff>
                  </to>
                </anchor>
              </controlPr>
            </control>
          </mc:Choice>
        </mc:AlternateContent>
        <mc:AlternateContent xmlns:mc="http://schemas.openxmlformats.org/markup-compatibility/2006">
          <mc:Choice Requires="x14">
            <control shapeId="13369" r:id="rId41" name="Check Box 57">
              <controlPr defaultSize="0" autoFill="0" autoLine="0" autoPict="0">
                <anchor moveWithCells="1">
                  <from>
                    <xdr:col>7</xdr:col>
                    <xdr:colOff>285750</xdr:colOff>
                    <xdr:row>39</xdr:row>
                    <xdr:rowOff>152400</xdr:rowOff>
                  </from>
                  <to>
                    <xdr:col>7</xdr:col>
                    <xdr:colOff>447675</xdr:colOff>
                    <xdr:row>41</xdr:row>
                    <xdr:rowOff>9525</xdr:rowOff>
                  </to>
                </anchor>
              </controlPr>
            </control>
          </mc:Choice>
        </mc:AlternateContent>
        <mc:AlternateContent xmlns:mc="http://schemas.openxmlformats.org/markup-compatibility/2006">
          <mc:Choice Requires="x14">
            <control shapeId="13370" r:id="rId42" name="Check Box 58">
              <controlPr defaultSize="0" autoFill="0" autoLine="0" autoPict="0">
                <anchor moveWithCells="1">
                  <from>
                    <xdr:col>7</xdr:col>
                    <xdr:colOff>285750</xdr:colOff>
                    <xdr:row>40</xdr:row>
                    <xdr:rowOff>152400</xdr:rowOff>
                  </from>
                  <to>
                    <xdr:col>7</xdr:col>
                    <xdr:colOff>447675</xdr:colOff>
                    <xdr:row>42</xdr:row>
                    <xdr:rowOff>9525</xdr:rowOff>
                  </to>
                </anchor>
              </controlPr>
            </control>
          </mc:Choice>
        </mc:AlternateContent>
        <mc:AlternateContent xmlns:mc="http://schemas.openxmlformats.org/markup-compatibility/2006">
          <mc:Choice Requires="x14">
            <control shapeId="13371" r:id="rId43" name="Check Box 59">
              <controlPr defaultSize="0" autoFill="0" autoLine="0" autoPict="0">
                <anchor moveWithCells="1">
                  <from>
                    <xdr:col>7</xdr:col>
                    <xdr:colOff>285750</xdr:colOff>
                    <xdr:row>41</xdr:row>
                    <xdr:rowOff>152400</xdr:rowOff>
                  </from>
                  <to>
                    <xdr:col>7</xdr:col>
                    <xdr:colOff>447675</xdr:colOff>
                    <xdr:row>43</xdr:row>
                    <xdr:rowOff>9525</xdr:rowOff>
                  </to>
                </anchor>
              </controlPr>
            </control>
          </mc:Choice>
        </mc:AlternateContent>
        <mc:AlternateContent xmlns:mc="http://schemas.openxmlformats.org/markup-compatibility/2006">
          <mc:Choice Requires="x14">
            <control shapeId="13372" r:id="rId44" name="Check Box 60">
              <controlPr defaultSize="0" autoFill="0" autoLine="0" autoPict="0">
                <anchor moveWithCells="1">
                  <from>
                    <xdr:col>7</xdr:col>
                    <xdr:colOff>285750</xdr:colOff>
                    <xdr:row>42</xdr:row>
                    <xdr:rowOff>152400</xdr:rowOff>
                  </from>
                  <to>
                    <xdr:col>7</xdr:col>
                    <xdr:colOff>447675</xdr:colOff>
                    <xdr:row>44</xdr:row>
                    <xdr:rowOff>9525</xdr:rowOff>
                  </to>
                </anchor>
              </controlPr>
            </control>
          </mc:Choice>
        </mc:AlternateContent>
        <mc:AlternateContent xmlns:mc="http://schemas.openxmlformats.org/markup-compatibility/2006">
          <mc:Choice Requires="x14">
            <control shapeId="13373" r:id="rId45" name="Check Box 61">
              <controlPr defaultSize="0" autoFill="0" autoLine="0" autoPict="0">
                <anchor moveWithCells="1">
                  <from>
                    <xdr:col>7</xdr:col>
                    <xdr:colOff>285750</xdr:colOff>
                    <xdr:row>43</xdr:row>
                    <xdr:rowOff>152400</xdr:rowOff>
                  </from>
                  <to>
                    <xdr:col>7</xdr:col>
                    <xdr:colOff>447675</xdr:colOff>
                    <xdr:row>45</xdr:row>
                    <xdr:rowOff>9525</xdr:rowOff>
                  </to>
                </anchor>
              </controlPr>
            </control>
          </mc:Choice>
        </mc:AlternateContent>
        <mc:AlternateContent xmlns:mc="http://schemas.openxmlformats.org/markup-compatibility/2006">
          <mc:Choice Requires="x14">
            <control shapeId="13374" r:id="rId46" name="Check Box 62">
              <controlPr defaultSize="0" autoFill="0" autoLine="0" autoPict="0">
                <anchor moveWithCells="1">
                  <from>
                    <xdr:col>7</xdr:col>
                    <xdr:colOff>285750</xdr:colOff>
                    <xdr:row>44</xdr:row>
                    <xdr:rowOff>152400</xdr:rowOff>
                  </from>
                  <to>
                    <xdr:col>7</xdr:col>
                    <xdr:colOff>447675</xdr:colOff>
                    <xdr:row>46</xdr:row>
                    <xdr:rowOff>9525</xdr:rowOff>
                  </to>
                </anchor>
              </controlPr>
            </control>
          </mc:Choice>
        </mc:AlternateContent>
        <mc:AlternateContent xmlns:mc="http://schemas.openxmlformats.org/markup-compatibility/2006">
          <mc:Choice Requires="x14">
            <control shapeId="13375" r:id="rId47" name="Check Box 63">
              <controlPr defaultSize="0" autoFill="0" autoLine="0" autoPict="0">
                <anchor moveWithCells="1">
                  <from>
                    <xdr:col>7</xdr:col>
                    <xdr:colOff>285750</xdr:colOff>
                    <xdr:row>45</xdr:row>
                    <xdr:rowOff>152400</xdr:rowOff>
                  </from>
                  <to>
                    <xdr:col>7</xdr:col>
                    <xdr:colOff>447675</xdr:colOff>
                    <xdr:row>47</xdr:row>
                    <xdr:rowOff>9525</xdr:rowOff>
                  </to>
                </anchor>
              </controlPr>
            </control>
          </mc:Choice>
        </mc:AlternateContent>
        <mc:AlternateContent xmlns:mc="http://schemas.openxmlformats.org/markup-compatibility/2006">
          <mc:Choice Requires="x14">
            <control shapeId="13376" r:id="rId48" name="Check Box 64">
              <controlPr defaultSize="0" autoFill="0" autoLine="0" autoPict="0">
                <anchor moveWithCells="1">
                  <from>
                    <xdr:col>7</xdr:col>
                    <xdr:colOff>285750</xdr:colOff>
                    <xdr:row>46</xdr:row>
                    <xdr:rowOff>152400</xdr:rowOff>
                  </from>
                  <to>
                    <xdr:col>7</xdr:col>
                    <xdr:colOff>447675</xdr:colOff>
                    <xdr:row>48</xdr:row>
                    <xdr:rowOff>9525</xdr:rowOff>
                  </to>
                </anchor>
              </controlPr>
            </control>
          </mc:Choice>
        </mc:AlternateContent>
        <mc:AlternateContent xmlns:mc="http://schemas.openxmlformats.org/markup-compatibility/2006">
          <mc:Choice Requires="x14">
            <control shapeId="13377" r:id="rId49" name="Check Box 65">
              <controlPr defaultSize="0" autoFill="0" autoLine="0" autoPict="0">
                <anchor moveWithCells="1">
                  <from>
                    <xdr:col>7</xdr:col>
                    <xdr:colOff>285750</xdr:colOff>
                    <xdr:row>47</xdr:row>
                    <xdr:rowOff>152400</xdr:rowOff>
                  </from>
                  <to>
                    <xdr:col>7</xdr:col>
                    <xdr:colOff>447675</xdr:colOff>
                    <xdr:row>49</xdr:row>
                    <xdr:rowOff>9525</xdr:rowOff>
                  </to>
                </anchor>
              </controlPr>
            </control>
          </mc:Choice>
        </mc:AlternateContent>
        <mc:AlternateContent xmlns:mc="http://schemas.openxmlformats.org/markup-compatibility/2006">
          <mc:Choice Requires="x14">
            <control shapeId="13378" r:id="rId50" name="Check Box 66">
              <controlPr defaultSize="0" autoFill="0" autoLine="0" autoPict="0">
                <anchor moveWithCells="1">
                  <from>
                    <xdr:col>7</xdr:col>
                    <xdr:colOff>285750</xdr:colOff>
                    <xdr:row>48</xdr:row>
                    <xdr:rowOff>152400</xdr:rowOff>
                  </from>
                  <to>
                    <xdr:col>7</xdr:col>
                    <xdr:colOff>447675</xdr:colOff>
                    <xdr:row>50</xdr:row>
                    <xdr:rowOff>9525</xdr:rowOff>
                  </to>
                </anchor>
              </controlPr>
            </control>
          </mc:Choice>
        </mc:AlternateContent>
        <mc:AlternateContent xmlns:mc="http://schemas.openxmlformats.org/markup-compatibility/2006">
          <mc:Choice Requires="x14">
            <control shapeId="13379" r:id="rId51" name="Check Box 67">
              <controlPr defaultSize="0" autoFill="0" autoLine="0" autoPict="0">
                <anchor moveWithCells="1">
                  <from>
                    <xdr:col>7</xdr:col>
                    <xdr:colOff>285750</xdr:colOff>
                    <xdr:row>49</xdr:row>
                    <xdr:rowOff>152400</xdr:rowOff>
                  </from>
                  <to>
                    <xdr:col>7</xdr:col>
                    <xdr:colOff>447675</xdr:colOff>
                    <xdr:row>51</xdr:row>
                    <xdr:rowOff>9525</xdr:rowOff>
                  </to>
                </anchor>
              </controlPr>
            </control>
          </mc:Choice>
        </mc:AlternateContent>
        <mc:AlternateContent xmlns:mc="http://schemas.openxmlformats.org/markup-compatibility/2006">
          <mc:Choice Requires="x14">
            <control shapeId="13380" r:id="rId52" name="Check Box 68">
              <controlPr defaultSize="0" autoFill="0" autoLine="0" autoPict="0">
                <anchor moveWithCells="1">
                  <from>
                    <xdr:col>7</xdr:col>
                    <xdr:colOff>285750</xdr:colOff>
                    <xdr:row>50</xdr:row>
                    <xdr:rowOff>152400</xdr:rowOff>
                  </from>
                  <to>
                    <xdr:col>7</xdr:col>
                    <xdr:colOff>447675</xdr:colOff>
                    <xdr:row>52</xdr:row>
                    <xdr:rowOff>9525</xdr:rowOff>
                  </to>
                </anchor>
              </controlPr>
            </control>
          </mc:Choice>
        </mc:AlternateContent>
        <mc:AlternateContent xmlns:mc="http://schemas.openxmlformats.org/markup-compatibility/2006">
          <mc:Choice Requires="x14">
            <control shapeId="13381" r:id="rId53" name="Check Box 69">
              <controlPr defaultSize="0" autoFill="0" autoLine="0" autoPict="0">
                <anchor moveWithCells="1">
                  <from>
                    <xdr:col>7</xdr:col>
                    <xdr:colOff>285750</xdr:colOff>
                    <xdr:row>51</xdr:row>
                    <xdr:rowOff>152400</xdr:rowOff>
                  </from>
                  <to>
                    <xdr:col>7</xdr:col>
                    <xdr:colOff>447675</xdr:colOff>
                    <xdr:row>53</xdr:row>
                    <xdr:rowOff>9525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5">
    <pageSetUpPr fitToPage="1"/>
  </sheetPr>
  <dimension ref="A1:IQ290"/>
  <sheetViews>
    <sheetView workbookViewId="0">
      <selection activeCell="H37" sqref="H37"/>
    </sheetView>
  </sheetViews>
  <sheetFormatPr baseColWidth="10" defaultColWidth="11" defaultRowHeight="12.75" x14ac:dyDescent="0.2"/>
  <cols>
    <col min="1" max="1" width="16.875" style="42" customWidth="1"/>
    <col min="2" max="2" width="7.125" style="72" bestFit="1" customWidth="1"/>
    <col min="3" max="6" width="10.875" style="72" customWidth="1"/>
    <col min="7" max="7" width="11.25" style="72" customWidth="1"/>
    <col min="8" max="10" width="10.875" style="72" customWidth="1"/>
    <col min="11" max="11" width="25.625" style="42" customWidth="1"/>
    <col min="12" max="17" width="11" style="42"/>
    <col min="18" max="20" width="12.125" style="42" customWidth="1"/>
    <col min="21" max="16384" width="11" style="42"/>
  </cols>
  <sheetData>
    <row r="1" spans="1:251" s="41" customFormat="1" ht="18" x14ac:dyDescent="0.25">
      <c r="A1" s="597" t="str">
        <f>Stammblatt!A1&amp;IF(Stammblatt!$L$4=1," Motivliste"," List of Locations")</f>
        <v>Test Motivliste</v>
      </c>
      <c r="B1" s="591"/>
      <c r="C1" s="591"/>
      <c r="D1" s="591"/>
      <c r="E1" s="591"/>
      <c r="F1" s="591"/>
      <c r="G1" s="591"/>
      <c r="H1" s="591"/>
      <c r="I1" s="591"/>
      <c r="J1" s="591"/>
      <c r="K1" s="592"/>
      <c r="L1" s="592"/>
      <c r="M1" s="592"/>
      <c r="N1" s="592"/>
      <c r="O1" s="592"/>
      <c r="P1" s="592"/>
      <c r="Q1" s="592"/>
      <c r="R1" s="592"/>
      <c r="S1" s="592"/>
      <c r="T1" s="592"/>
      <c r="U1" s="592"/>
      <c r="V1" s="592"/>
      <c r="W1" s="592"/>
      <c r="X1" s="592"/>
      <c r="Y1" s="592"/>
      <c r="Z1" s="592"/>
      <c r="AA1" s="592"/>
      <c r="AB1" s="592"/>
      <c r="AC1" s="592"/>
      <c r="AD1" s="592"/>
      <c r="AE1" s="592"/>
      <c r="AF1" s="592"/>
      <c r="AG1" s="592"/>
      <c r="AH1" s="592"/>
      <c r="AI1" s="592"/>
      <c r="AJ1" s="592"/>
      <c r="AK1" s="592"/>
      <c r="AL1" s="592"/>
      <c r="AM1" s="592"/>
      <c r="AN1" s="592"/>
      <c r="AO1" s="592"/>
      <c r="AP1" s="592"/>
      <c r="AQ1" s="592"/>
      <c r="AR1" s="592"/>
      <c r="AS1" s="592"/>
      <c r="AT1" s="592"/>
      <c r="AU1" s="592"/>
      <c r="AV1" s="592"/>
      <c r="AW1" s="592"/>
      <c r="AX1" s="592"/>
      <c r="AY1" s="592"/>
      <c r="AZ1" s="592"/>
      <c r="BA1" s="31"/>
      <c r="BB1" s="31"/>
      <c r="BC1" s="31"/>
    </row>
    <row r="2" spans="1:251" s="41" customFormat="1" ht="18" x14ac:dyDescent="0.25">
      <c r="A2" s="593"/>
      <c r="B2" s="591"/>
      <c r="C2" s="591"/>
      <c r="D2" s="591"/>
      <c r="E2" s="591"/>
      <c r="F2" s="591"/>
      <c r="G2" s="591"/>
      <c r="H2" s="591"/>
      <c r="I2" s="591"/>
      <c r="J2" s="591"/>
      <c r="K2" s="592"/>
      <c r="L2" s="592"/>
      <c r="M2" s="592"/>
      <c r="N2" s="592"/>
      <c r="O2" s="592"/>
      <c r="P2" s="592"/>
      <c r="Q2" s="592"/>
      <c r="R2" s="592"/>
      <c r="S2" s="592"/>
      <c r="T2" s="592"/>
      <c r="U2" s="592"/>
      <c r="V2" s="592"/>
      <c r="W2" s="592"/>
      <c r="X2" s="592"/>
      <c r="Y2" s="592"/>
      <c r="Z2" s="592"/>
      <c r="AA2" s="592"/>
      <c r="AB2" s="592"/>
      <c r="AC2" s="592"/>
      <c r="AD2" s="592"/>
      <c r="AE2" s="592"/>
      <c r="AF2" s="592"/>
      <c r="AG2" s="592"/>
      <c r="AH2" s="592"/>
      <c r="AI2" s="592"/>
      <c r="AJ2" s="592"/>
      <c r="AK2" s="592"/>
      <c r="AL2" s="592"/>
      <c r="AM2" s="592"/>
      <c r="AN2" s="592"/>
      <c r="AO2" s="592"/>
      <c r="AP2" s="592"/>
      <c r="AQ2" s="592"/>
      <c r="AR2" s="592"/>
      <c r="AS2" s="592"/>
      <c r="AT2" s="592"/>
      <c r="AU2" s="592"/>
      <c r="AV2" s="592"/>
      <c r="AW2" s="592"/>
      <c r="AX2" s="592"/>
      <c r="AY2" s="592"/>
      <c r="AZ2" s="592"/>
      <c r="BA2" s="42"/>
      <c r="BB2" s="42"/>
      <c r="BC2" s="42"/>
    </row>
    <row r="3" spans="1:251" s="41" customFormat="1" ht="26.25" hidden="1" x14ac:dyDescent="0.25">
      <c r="A3" s="593"/>
      <c r="B3" s="725" t="s">
        <v>218</v>
      </c>
      <c r="C3" s="725" t="s">
        <v>425</v>
      </c>
      <c r="D3" s="725" t="s">
        <v>426</v>
      </c>
      <c r="E3" s="725" t="s">
        <v>1055</v>
      </c>
      <c r="F3" s="725" t="s">
        <v>1056</v>
      </c>
      <c r="G3" s="725" t="s">
        <v>427</v>
      </c>
      <c r="H3" s="725" t="s">
        <v>219</v>
      </c>
      <c r="I3" s="725"/>
      <c r="J3" s="725" t="s">
        <v>747</v>
      </c>
      <c r="K3" s="726" t="s">
        <v>220</v>
      </c>
      <c r="L3" s="592"/>
      <c r="M3" s="592"/>
      <c r="N3" s="592"/>
      <c r="O3" s="592"/>
      <c r="P3" s="592"/>
      <c r="Q3" s="592"/>
      <c r="R3" s="592"/>
      <c r="S3" s="592"/>
      <c r="T3" s="592"/>
      <c r="U3" s="592"/>
      <c r="V3" s="592"/>
      <c r="W3" s="592"/>
      <c r="X3" s="592"/>
      <c r="Y3" s="592"/>
      <c r="Z3" s="592"/>
      <c r="AA3" s="592"/>
      <c r="AB3" s="592"/>
      <c r="AC3" s="592"/>
      <c r="AD3" s="592"/>
      <c r="AE3" s="592"/>
      <c r="AF3" s="592"/>
      <c r="AG3" s="592"/>
      <c r="AH3" s="592"/>
      <c r="AI3" s="592"/>
      <c r="AJ3" s="592"/>
      <c r="AK3" s="592"/>
      <c r="AL3" s="592"/>
      <c r="AM3" s="592"/>
      <c r="AN3" s="592"/>
      <c r="AO3" s="592"/>
      <c r="AP3" s="592"/>
      <c r="AQ3" s="592"/>
      <c r="AR3" s="592"/>
      <c r="AS3" s="592"/>
      <c r="AT3" s="592"/>
      <c r="AU3" s="592"/>
      <c r="AV3" s="592"/>
      <c r="AW3" s="592"/>
      <c r="AX3" s="592"/>
      <c r="AY3" s="592"/>
      <c r="AZ3" s="592"/>
      <c r="BA3" s="42"/>
      <c r="BB3" s="42"/>
      <c r="BC3" s="42"/>
    </row>
    <row r="4" spans="1:251" s="41" customFormat="1" ht="26.25" hidden="1" x14ac:dyDescent="0.25">
      <c r="A4" s="593"/>
      <c r="B4" s="725" t="s">
        <v>440</v>
      </c>
      <c r="C4" s="725" t="s">
        <v>441</v>
      </c>
      <c r="D4" s="725" t="s">
        <v>467</v>
      </c>
      <c r="E4" s="725" t="s">
        <v>1067</v>
      </c>
      <c r="F4" s="725" t="s">
        <v>1057</v>
      </c>
      <c r="G4" s="725" t="s">
        <v>468</v>
      </c>
      <c r="H4" s="725" t="s">
        <v>469</v>
      </c>
      <c r="I4" s="725"/>
      <c r="J4" s="725" t="s">
        <v>1058</v>
      </c>
      <c r="K4" s="726" t="s">
        <v>470</v>
      </c>
      <c r="L4" s="592"/>
      <c r="M4" s="592"/>
      <c r="N4" s="592"/>
      <c r="O4" s="592"/>
      <c r="P4" s="592"/>
      <c r="Q4" s="592"/>
      <c r="R4" s="592"/>
      <c r="S4" s="592"/>
      <c r="T4" s="592"/>
      <c r="U4" s="592"/>
      <c r="V4" s="592"/>
      <c r="W4" s="592"/>
      <c r="X4" s="592"/>
      <c r="Y4" s="592"/>
      <c r="Z4" s="592"/>
      <c r="AA4" s="592"/>
      <c r="AB4" s="592"/>
      <c r="AC4" s="592"/>
      <c r="AD4" s="592"/>
      <c r="AE4" s="592"/>
      <c r="AF4" s="592"/>
      <c r="AG4" s="592"/>
      <c r="AH4" s="592"/>
      <c r="AI4" s="592"/>
      <c r="AJ4" s="592"/>
      <c r="AK4" s="592"/>
      <c r="AL4" s="592"/>
      <c r="AM4" s="592"/>
      <c r="AN4" s="592"/>
      <c r="AO4" s="592"/>
      <c r="AP4" s="592"/>
      <c r="AQ4" s="592"/>
      <c r="AR4" s="592"/>
      <c r="AS4" s="592"/>
      <c r="AT4" s="592"/>
      <c r="AU4" s="592"/>
      <c r="AV4" s="592"/>
      <c r="AW4" s="592"/>
      <c r="AX4" s="592"/>
      <c r="AY4" s="592"/>
      <c r="AZ4" s="592"/>
      <c r="BA4" s="42"/>
      <c r="BB4" s="42"/>
      <c r="BC4" s="42"/>
    </row>
    <row r="5" spans="1:251" s="24" customFormat="1" ht="28.5" customHeight="1" x14ac:dyDescent="0.2">
      <c r="A5" s="594"/>
      <c r="B5" s="1185" t="str">
        <f>IF(Stammblatt!$L$4=1,Motivliste!B3,Motivliste!B4)</f>
        <v>I/A/T/N</v>
      </c>
      <c r="C5" s="1186" t="str">
        <f>IF(Stammblatt!$L$4=1,Motivliste!C3,Motivliste!C4)</f>
        <v>Motiv- gebühr</v>
      </c>
      <c r="D5" s="1186" t="str">
        <f>IF(Stammblatt!$L$4=1,Motivliste!D3,Motivliste!D4)</f>
        <v>Abgaben &amp; HV</v>
      </c>
      <c r="E5" s="1186" t="str">
        <f>IF(Stammblatt!$L$4=1,Motivliste!E3,Motivliste!E4)</f>
        <v>Neben-  räume</v>
      </c>
      <c r="F5" s="1186" t="str">
        <f>IF(Stammblatt!$L$4=1,Motivliste!F3,Motivliste!F4)</f>
        <v>Absperr- hilfen</v>
      </c>
      <c r="G5" s="1186" t="str">
        <f>IF(Stammblatt!$L$4=1,Motivliste!G3,Motivliste!G4)</f>
        <v>Bau-  material</v>
      </c>
      <c r="H5" s="1186" t="str">
        <f>IF(Stammblatt!$L$4=1,Motivliste!H3,Motivliste!H4)</f>
        <v>Requisiten</v>
      </c>
      <c r="I5" s="1186" t="s">
        <v>748</v>
      </c>
      <c r="J5" s="1186" t="str">
        <f>IF(Stammblatt!$L$4=1,Motivliste!J3,Motivliste!J4)</f>
        <v>Spiel-fahrzeuge</v>
      </c>
      <c r="K5" s="1186" t="str">
        <f>IF(Stammblatt!$L$4=1,Motivliste!K3,Motivliste!K4)</f>
        <v>Anmerkungen</v>
      </c>
      <c r="L5" s="596"/>
      <c r="M5" s="214"/>
      <c r="N5" s="214"/>
      <c r="O5" s="214"/>
      <c r="P5" s="214"/>
      <c r="Q5" s="214"/>
      <c r="R5" s="214"/>
      <c r="S5" s="214"/>
      <c r="T5" s="214"/>
      <c r="U5" s="214"/>
      <c r="V5" s="214"/>
      <c r="W5" s="214"/>
      <c r="X5" s="214"/>
      <c r="Y5" s="214"/>
      <c r="Z5" s="214"/>
      <c r="AA5" s="214"/>
      <c r="AB5" s="214"/>
      <c r="AC5" s="214"/>
      <c r="AD5" s="214"/>
      <c r="AE5" s="214"/>
      <c r="AF5" s="214"/>
      <c r="AG5" s="214"/>
      <c r="AH5" s="214"/>
      <c r="AI5" s="214"/>
      <c r="AJ5" s="214"/>
      <c r="AK5" s="214"/>
      <c r="AL5" s="214"/>
      <c r="AM5" s="214"/>
      <c r="AN5" s="214"/>
      <c r="AO5" s="214"/>
      <c r="AP5" s="214"/>
      <c r="AQ5" s="214"/>
      <c r="AR5" s="214"/>
      <c r="AS5" s="214"/>
      <c r="AT5" s="214"/>
      <c r="AU5" s="214"/>
      <c r="AV5" s="214"/>
      <c r="AW5" s="214"/>
      <c r="AX5" s="214"/>
      <c r="AY5" s="214"/>
      <c r="AZ5" s="214"/>
      <c r="BA5" s="42"/>
      <c r="BB5" s="42"/>
      <c r="BC5" s="42"/>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c r="CS5" s="25"/>
      <c r="CT5" s="25"/>
      <c r="CU5" s="25"/>
      <c r="CV5" s="25"/>
      <c r="CW5" s="25"/>
      <c r="CX5" s="25"/>
      <c r="CY5" s="25"/>
      <c r="CZ5" s="25"/>
      <c r="DA5" s="25"/>
      <c r="DB5" s="25"/>
      <c r="DC5" s="25"/>
      <c r="DD5" s="25"/>
      <c r="DE5" s="25"/>
      <c r="DF5" s="25"/>
      <c r="DG5" s="25"/>
      <c r="DH5" s="25"/>
      <c r="DI5" s="25"/>
      <c r="DJ5" s="25"/>
      <c r="DK5" s="25"/>
      <c r="DL5" s="25"/>
      <c r="DM5" s="25"/>
      <c r="DN5" s="25"/>
      <c r="DO5" s="25"/>
      <c r="DP5" s="25"/>
      <c r="DQ5" s="25"/>
      <c r="DR5" s="25"/>
      <c r="DS5" s="25"/>
      <c r="DT5" s="25"/>
      <c r="DU5" s="25"/>
      <c r="DV5" s="25"/>
      <c r="DW5" s="25"/>
      <c r="DX5" s="25"/>
      <c r="DY5" s="25"/>
      <c r="DZ5" s="25"/>
      <c r="EA5" s="25"/>
      <c r="EB5" s="25"/>
      <c r="EC5" s="25"/>
      <c r="ED5" s="25"/>
      <c r="EE5" s="25"/>
      <c r="EF5" s="25"/>
      <c r="EG5" s="25"/>
      <c r="EH5" s="25"/>
      <c r="EI5" s="25"/>
      <c r="EJ5" s="25"/>
      <c r="EK5" s="25"/>
      <c r="EL5" s="25"/>
      <c r="EM5" s="25"/>
      <c r="EN5" s="25"/>
      <c r="EO5" s="25"/>
      <c r="EP5" s="25"/>
      <c r="EQ5" s="25"/>
      <c r="ER5" s="25"/>
      <c r="ES5" s="25"/>
      <c r="ET5" s="25"/>
      <c r="EU5" s="25"/>
      <c r="EV5" s="25"/>
      <c r="EW5" s="25"/>
      <c r="EX5" s="25"/>
      <c r="EY5" s="25"/>
      <c r="EZ5" s="25"/>
      <c r="FA5" s="25"/>
      <c r="FB5" s="25"/>
      <c r="FC5" s="25"/>
      <c r="FD5" s="25"/>
      <c r="FE5" s="25"/>
      <c r="FF5" s="25"/>
      <c r="FG5" s="25"/>
      <c r="FH5" s="25"/>
      <c r="FI5" s="25"/>
      <c r="FJ5" s="25"/>
      <c r="FK5" s="25"/>
      <c r="FL5" s="25"/>
      <c r="FM5" s="25"/>
      <c r="FN5" s="25"/>
      <c r="FO5" s="25"/>
      <c r="FP5" s="25"/>
      <c r="FQ5" s="25"/>
      <c r="FR5" s="25"/>
      <c r="FS5" s="25"/>
      <c r="FT5" s="25"/>
      <c r="FU5" s="25"/>
      <c r="FV5" s="25"/>
      <c r="FW5" s="25"/>
      <c r="FX5" s="25"/>
      <c r="FY5" s="25"/>
      <c r="FZ5" s="25"/>
      <c r="GA5" s="25"/>
      <c r="GB5" s="25"/>
      <c r="GC5" s="25"/>
      <c r="GD5" s="25"/>
      <c r="GE5" s="25"/>
      <c r="GF5" s="25"/>
      <c r="GG5" s="25"/>
      <c r="GH5" s="25"/>
      <c r="GI5" s="25"/>
      <c r="GJ5" s="25"/>
      <c r="GK5" s="25"/>
      <c r="GL5" s="25"/>
      <c r="GM5" s="25"/>
      <c r="GN5" s="25"/>
      <c r="GO5" s="25"/>
      <c r="GP5" s="25"/>
      <c r="GQ5" s="25"/>
      <c r="GR5" s="25"/>
      <c r="GS5" s="25"/>
      <c r="GT5" s="25"/>
      <c r="GU5" s="25"/>
      <c r="GV5" s="25"/>
      <c r="GW5" s="25"/>
      <c r="GX5" s="25"/>
      <c r="GY5" s="25"/>
      <c r="GZ5" s="25"/>
      <c r="HA5" s="25"/>
      <c r="HB5" s="25"/>
      <c r="HC5" s="25"/>
      <c r="HD5" s="25"/>
      <c r="HE5" s="25"/>
      <c r="HF5" s="25"/>
      <c r="HG5" s="25"/>
      <c r="HH5" s="25"/>
      <c r="HI5" s="25"/>
      <c r="HJ5" s="25"/>
      <c r="HK5" s="25"/>
      <c r="HL5" s="25"/>
      <c r="HM5" s="25"/>
      <c r="HN5" s="25"/>
      <c r="HO5" s="25"/>
      <c r="HP5" s="25"/>
      <c r="HQ5" s="25"/>
      <c r="HR5" s="25"/>
      <c r="HS5" s="25"/>
      <c r="HT5" s="25"/>
      <c r="HU5" s="25"/>
      <c r="HV5" s="25"/>
      <c r="HW5" s="25"/>
      <c r="HX5" s="25"/>
      <c r="HY5" s="25"/>
      <c r="HZ5" s="25"/>
      <c r="IA5" s="25"/>
      <c r="IB5" s="25"/>
      <c r="IC5" s="25"/>
      <c r="ID5" s="25"/>
      <c r="IE5" s="25"/>
      <c r="IF5" s="25"/>
      <c r="IG5" s="25"/>
      <c r="IH5" s="25"/>
      <c r="II5" s="25"/>
      <c r="IJ5" s="25"/>
      <c r="IK5" s="25"/>
      <c r="IL5" s="25"/>
      <c r="IM5" s="25"/>
      <c r="IN5" s="25"/>
      <c r="IO5" s="25"/>
      <c r="IP5" s="25"/>
      <c r="IQ5" s="25"/>
    </row>
    <row r="6" spans="1:251" x14ac:dyDescent="0.2">
      <c r="A6" s="69" t="s">
        <v>442</v>
      </c>
      <c r="B6" s="70"/>
      <c r="C6" s="70"/>
      <c r="D6" s="70"/>
      <c r="E6" s="70"/>
      <c r="F6" s="70"/>
      <c r="G6" s="70"/>
      <c r="H6" s="70"/>
      <c r="I6" s="70"/>
      <c r="J6" s="70"/>
      <c r="K6" s="69"/>
      <c r="L6" s="569"/>
      <c r="M6" s="569"/>
      <c r="N6" s="569"/>
      <c r="O6" s="569"/>
      <c r="P6" s="569"/>
      <c r="Q6" s="569"/>
      <c r="R6" s="569"/>
      <c r="S6" s="569"/>
      <c r="T6" s="569"/>
      <c r="U6" s="569"/>
      <c r="V6" s="569"/>
      <c r="W6" s="569"/>
      <c r="X6" s="569"/>
      <c r="Y6" s="569"/>
      <c r="Z6" s="569"/>
      <c r="AA6" s="569"/>
      <c r="AB6" s="569"/>
      <c r="AC6" s="569"/>
      <c r="AD6" s="569"/>
      <c r="AE6" s="569"/>
      <c r="AF6" s="569"/>
      <c r="AG6" s="569"/>
      <c r="AH6" s="569"/>
      <c r="AI6" s="569"/>
      <c r="AJ6" s="569"/>
      <c r="AK6" s="569"/>
      <c r="AL6" s="569"/>
      <c r="AM6" s="569"/>
      <c r="AN6" s="569"/>
      <c r="AO6" s="569"/>
      <c r="AP6" s="569"/>
      <c r="AQ6" s="569"/>
      <c r="AR6" s="569"/>
      <c r="AS6" s="569"/>
      <c r="AT6" s="569"/>
      <c r="AU6" s="569"/>
      <c r="AV6" s="569"/>
      <c r="AW6" s="569"/>
      <c r="AX6" s="569"/>
      <c r="AY6" s="569"/>
      <c r="AZ6" s="569"/>
    </row>
    <row r="7" spans="1:251" x14ac:dyDescent="0.2">
      <c r="A7" s="69" t="s">
        <v>443</v>
      </c>
      <c r="B7" s="70"/>
      <c r="C7" s="70"/>
      <c r="D7" s="70"/>
      <c r="E7" s="70"/>
      <c r="F7" s="70"/>
      <c r="G7" s="70"/>
      <c r="H7" s="70"/>
      <c r="I7" s="70"/>
      <c r="J7" s="70"/>
      <c r="K7" s="69"/>
      <c r="L7" s="569"/>
      <c r="M7" s="569"/>
      <c r="N7" s="569"/>
      <c r="O7" s="569"/>
      <c r="P7" s="569"/>
      <c r="Q7" s="569"/>
      <c r="R7" s="569"/>
      <c r="S7" s="569"/>
      <c r="T7" s="569"/>
      <c r="U7" s="569"/>
      <c r="V7" s="569"/>
      <c r="W7" s="569"/>
      <c r="X7" s="569"/>
      <c r="Y7" s="569"/>
      <c r="Z7" s="569"/>
      <c r="AA7" s="569"/>
      <c r="AB7" s="569"/>
      <c r="AC7" s="569"/>
      <c r="AD7" s="569"/>
      <c r="AE7" s="569"/>
      <c r="AF7" s="569"/>
      <c r="AG7" s="569"/>
      <c r="AH7" s="569"/>
      <c r="AI7" s="569"/>
      <c r="AJ7" s="569"/>
      <c r="AK7" s="569"/>
      <c r="AL7" s="569"/>
      <c r="AM7" s="569"/>
      <c r="AN7" s="569"/>
      <c r="AO7" s="569"/>
      <c r="AP7" s="569"/>
      <c r="AQ7" s="569"/>
      <c r="AR7" s="569"/>
      <c r="AS7" s="569"/>
      <c r="AT7" s="569"/>
      <c r="AU7" s="569"/>
      <c r="AV7" s="569"/>
      <c r="AW7" s="569"/>
      <c r="AX7" s="569"/>
      <c r="AY7" s="569"/>
      <c r="AZ7" s="569"/>
    </row>
    <row r="8" spans="1:251" x14ac:dyDescent="0.2">
      <c r="A8" s="69" t="s">
        <v>444</v>
      </c>
      <c r="B8" s="70"/>
      <c r="C8" s="70"/>
      <c r="D8" s="70"/>
      <c r="E8" s="70"/>
      <c r="F8" s="70"/>
      <c r="G8" s="70"/>
      <c r="H8" s="70"/>
      <c r="I8" s="70"/>
      <c r="J8" s="70"/>
      <c r="K8" s="69"/>
      <c r="L8" s="569"/>
      <c r="M8" s="569"/>
      <c r="N8" s="569"/>
      <c r="O8" s="569"/>
      <c r="P8" s="569"/>
      <c r="Q8" s="569"/>
      <c r="R8" s="569"/>
      <c r="S8" s="569"/>
      <c r="T8" s="569"/>
      <c r="U8" s="569"/>
      <c r="V8" s="569"/>
      <c r="W8" s="569"/>
      <c r="X8" s="569"/>
      <c r="Y8" s="569"/>
      <c r="Z8" s="569"/>
      <c r="AA8" s="569"/>
      <c r="AB8" s="569"/>
      <c r="AC8" s="569"/>
      <c r="AD8" s="569"/>
      <c r="AE8" s="569"/>
      <c r="AF8" s="569"/>
      <c r="AG8" s="569"/>
      <c r="AH8" s="569"/>
      <c r="AI8" s="569"/>
      <c r="AJ8" s="569"/>
      <c r="AK8" s="569"/>
      <c r="AL8" s="569"/>
      <c r="AM8" s="569"/>
      <c r="AN8" s="569"/>
      <c r="AO8" s="569"/>
      <c r="AP8" s="569"/>
      <c r="AQ8" s="569"/>
      <c r="AR8" s="569"/>
      <c r="AS8" s="569"/>
      <c r="AT8" s="569"/>
      <c r="AU8" s="569"/>
      <c r="AV8" s="569"/>
      <c r="AW8" s="569"/>
      <c r="AX8" s="569"/>
      <c r="AY8" s="569"/>
      <c r="AZ8" s="569"/>
    </row>
    <row r="9" spans="1:251" x14ac:dyDescent="0.2">
      <c r="A9" s="69" t="s">
        <v>445</v>
      </c>
      <c r="B9" s="70"/>
      <c r="C9" s="70"/>
      <c r="D9" s="70"/>
      <c r="E9" s="70"/>
      <c r="F9" s="70"/>
      <c r="G9" s="70"/>
      <c r="H9" s="70"/>
      <c r="I9" s="70"/>
      <c r="J9" s="70"/>
      <c r="K9" s="69"/>
      <c r="L9" s="569"/>
      <c r="M9" s="569"/>
      <c r="N9" s="569"/>
      <c r="O9" s="569"/>
      <c r="P9" s="569"/>
      <c r="Q9" s="569"/>
      <c r="R9" s="569"/>
      <c r="S9" s="569"/>
      <c r="T9" s="569"/>
      <c r="U9" s="569"/>
      <c r="V9" s="569"/>
      <c r="W9" s="569"/>
      <c r="X9" s="569"/>
      <c r="Y9" s="569"/>
      <c r="Z9" s="569"/>
      <c r="AA9" s="569"/>
      <c r="AB9" s="569"/>
      <c r="AC9" s="569"/>
      <c r="AD9" s="569"/>
      <c r="AE9" s="569"/>
      <c r="AF9" s="569"/>
      <c r="AG9" s="569"/>
      <c r="AH9" s="569"/>
      <c r="AI9" s="569"/>
      <c r="AJ9" s="569"/>
      <c r="AK9" s="569"/>
      <c r="AL9" s="569"/>
      <c r="AM9" s="569"/>
      <c r="AN9" s="569"/>
      <c r="AO9" s="569"/>
      <c r="AP9" s="569"/>
      <c r="AQ9" s="569"/>
      <c r="AR9" s="569"/>
      <c r="AS9" s="569"/>
      <c r="AT9" s="569"/>
      <c r="AU9" s="569"/>
      <c r="AV9" s="569"/>
      <c r="AW9" s="569"/>
      <c r="AX9" s="569"/>
      <c r="AY9" s="569"/>
      <c r="AZ9" s="569"/>
    </row>
    <row r="10" spans="1:251" x14ac:dyDescent="0.2">
      <c r="A10" s="69" t="s">
        <v>446</v>
      </c>
      <c r="B10" s="70"/>
      <c r="C10" s="70"/>
      <c r="D10" s="70"/>
      <c r="E10" s="70"/>
      <c r="F10" s="70"/>
      <c r="G10" s="70"/>
      <c r="H10" s="70"/>
      <c r="I10" s="70"/>
      <c r="J10" s="70"/>
      <c r="K10" s="69"/>
      <c r="L10" s="569"/>
      <c r="M10" s="569"/>
      <c r="N10" s="569"/>
      <c r="O10" s="569"/>
      <c r="P10" s="569"/>
      <c r="Q10" s="569"/>
      <c r="R10" s="569"/>
      <c r="S10" s="569"/>
      <c r="T10" s="569"/>
      <c r="U10" s="569"/>
      <c r="V10" s="569"/>
      <c r="W10" s="569"/>
      <c r="X10" s="569"/>
      <c r="Y10" s="569"/>
      <c r="Z10" s="569"/>
      <c r="AA10" s="569"/>
      <c r="AB10" s="569"/>
      <c r="AC10" s="569"/>
      <c r="AD10" s="569"/>
      <c r="AE10" s="569"/>
      <c r="AF10" s="569"/>
      <c r="AG10" s="569"/>
      <c r="AH10" s="569"/>
      <c r="AI10" s="569"/>
      <c r="AJ10" s="569"/>
      <c r="AK10" s="569"/>
      <c r="AL10" s="569"/>
      <c r="AM10" s="569"/>
      <c r="AN10" s="569"/>
      <c r="AO10" s="569"/>
      <c r="AP10" s="569"/>
      <c r="AQ10" s="569"/>
      <c r="AR10" s="569"/>
      <c r="AS10" s="569"/>
      <c r="AT10" s="569"/>
      <c r="AU10" s="569"/>
      <c r="AV10" s="569"/>
      <c r="AW10" s="569"/>
      <c r="AX10" s="569"/>
      <c r="AY10" s="569"/>
      <c r="AZ10" s="569"/>
    </row>
    <row r="11" spans="1:251" x14ac:dyDescent="0.2">
      <c r="A11" s="69" t="s">
        <v>447</v>
      </c>
      <c r="B11" s="70"/>
      <c r="C11" s="70"/>
      <c r="D11" s="70"/>
      <c r="E11" s="70"/>
      <c r="F11" s="70"/>
      <c r="G11" s="70"/>
      <c r="H11" s="70"/>
      <c r="I11" s="70"/>
      <c r="J11" s="70"/>
      <c r="K11" s="69"/>
      <c r="L11" s="569"/>
      <c r="M11" s="569"/>
      <c r="N11" s="569"/>
      <c r="O11" s="569"/>
      <c r="P11" s="569"/>
      <c r="Q11" s="569"/>
      <c r="R11" s="569"/>
      <c r="S11" s="569"/>
      <c r="T11" s="569"/>
      <c r="U11" s="569"/>
      <c r="V11" s="569"/>
      <c r="W11" s="569"/>
      <c r="X11" s="569"/>
      <c r="Y11" s="569"/>
      <c r="Z11" s="569"/>
      <c r="AA11" s="569"/>
      <c r="AB11" s="569"/>
      <c r="AC11" s="569"/>
      <c r="AD11" s="569"/>
      <c r="AE11" s="569"/>
      <c r="AF11" s="569"/>
      <c r="AG11" s="569"/>
      <c r="AH11" s="569"/>
      <c r="AI11" s="569"/>
      <c r="AJ11" s="569"/>
      <c r="AK11" s="569"/>
      <c r="AL11" s="569"/>
      <c r="AM11" s="569"/>
      <c r="AN11" s="569"/>
      <c r="AO11" s="569"/>
      <c r="AP11" s="569"/>
      <c r="AQ11" s="569"/>
      <c r="AR11" s="569"/>
      <c r="AS11" s="569"/>
      <c r="AT11" s="569"/>
      <c r="AU11" s="569"/>
      <c r="AV11" s="569"/>
      <c r="AW11" s="569"/>
      <c r="AX11" s="569"/>
      <c r="AY11" s="569"/>
      <c r="AZ11" s="569"/>
    </row>
    <row r="12" spans="1:251" x14ac:dyDescent="0.2">
      <c r="A12" s="69" t="s">
        <v>448</v>
      </c>
      <c r="B12" s="70"/>
      <c r="C12" s="70"/>
      <c r="D12" s="70"/>
      <c r="E12" s="70"/>
      <c r="F12" s="70"/>
      <c r="G12" s="70"/>
      <c r="H12" s="70"/>
      <c r="I12" s="70"/>
      <c r="J12" s="70"/>
      <c r="K12" s="69"/>
      <c r="L12" s="569"/>
      <c r="M12" s="569"/>
      <c r="N12" s="569"/>
      <c r="O12" s="569"/>
      <c r="P12" s="569"/>
      <c r="Q12" s="569"/>
      <c r="R12" s="569"/>
      <c r="S12" s="569"/>
      <c r="T12" s="569"/>
      <c r="U12" s="569"/>
      <c r="V12" s="569"/>
      <c r="W12" s="569"/>
      <c r="X12" s="569"/>
      <c r="Y12" s="569"/>
      <c r="Z12" s="569"/>
      <c r="AA12" s="569"/>
      <c r="AB12" s="569"/>
      <c r="AC12" s="569"/>
      <c r="AD12" s="569"/>
      <c r="AE12" s="569"/>
      <c r="AF12" s="569"/>
      <c r="AG12" s="569"/>
      <c r="AH12" s="569"/>
      <c r="AI12" s="569"/>
      <c r="AJ12" s="569"/>
      <c r="AK12" s="569"/>
      <c r="AL12" s="569"/>
      <c r="AM12" s="569"/>
      <c r="AN12" s="569"/>
      <c r="AO12" s="569"/>
      <c r="AP12" s="569"/>
      <c r="AQ12" s="569"/>
      <c r="AR12" s="569"/>
      <c r="AS12" s="569"/>
      <c r="AT12" s="569"/>
      <c r="AU12" s="569"/>
      <c r="AV12" s="569"/>
      <c r="AW12" s="569"/>
      <c r="AX12" s="569"/>
      <c r="AY12" s="569"/>
      <c r="AZ12" s="569"/>
    </row>
    <row r="13" spans="1:251" x14ac:dyDescent="0.2">
      <c r="A13" s="69" t="s">
        <v>449</v>
      </c>
      <c r="B13" s="70"/>
      <c r="C13" s="70"/>
      <c r="D13" s="70"/>
      <c r="E13" s="70"/>
      <c r="F13" s="70"/>
      <c r="G13" s="70"/>
      <c r="H13" s="70"/>
      <c r="I13" s="70"/>
      <c r="J13" s="70"/>
      <c r="K13" s="69"/>
      <c r="L13" s="569"/>
      <c r="M13" s="569"/>
      <c r="N13" s="569"/>
      <c r="O13" s="569"/>
      <c r="P13" s="569"/>
      <c r="Q13" s="569"/>
      <c r="R13" s="569"/>
      <c r="S13" s="569"/>
      <c r="T13" s="569"/>
      <c r="U13" s="569"/>
      <c r="V13" s="569"/>
      <c r="W13" s="569"/>
      <c r="X13" s="569"/>
      <c r="Y13" s="569"/>
      <c r="Z13" s="569"/>
      <c r="AA13" s="569"/>
      <c r="AB13" s="569"/>
      <c r="AC13" s="569"/>
      <c r="AD13" s="569"/>
      <c r="AE13" s="569"/>
      <c r="AF13" s="569"/>
      <c r="AG13" s="569"/>
      <c r="AH13" s="569"/>
      <c r="AI13" s="569"/>
      <c r="AJ13" s="569"/>
      <c r="AK13" s="569"/>
      <c r="AL13" s="569"/>
      <c r="AM13" s="569"/>
      <c r="AN13" s="569"/>
      <c r="AO13" s="569"/>
      <c r="AP13" s="569"/>
      <c r="AQ13" s="569"/>
      <c r="AR13" s="569"/>
      <c r="AS13" s="569"/>
      <c r="AT13" s="569"/>
      <c r="AU13" s="569"/>
      <c r="AV13" s="569"/>
      <c r="AW13" s="569"/>
      <c r="AX13" s="569"/>
      <c r="AY13" s="569"/>
      <c r="AZ13" s="569"/>
    </row>
    <row r="14" spans="1:251" x14ac:dyDescent="0.2">
      <c r="A14" s="69" t="s">
        <v>450</v>
      </c>
      <c r="B14" s="70"/>
      <c r="C14" s="70"/>
      <c r="D14" s="70"/>
      <c r="E14" s="70"/>
      <c r="F14" s="70"/>
      <c r="G14" s="70"/>
      <c r="H14" s="70"/>
      <c r="I14" s="70"/>
      <c r="J14" s="70"/>
      <c r="K14" s="69"/>
      <c r="L14" s="569"/>
      <c r="M14" s="569"/>
      <c r="N14" s="569"/>
      <c r="O14" s="569"/>
      <c r="P14" s="569"/>
      <c r="Q14" s="569"/>
      <c r="R14" s="569"/>
      <c r="S14" s="569"/>
      <c r="T14" s="569"/>
      <c r="U14" s="569"/>
      <c r="V14" s="569"/>
      <c r="W14" s="569"/>
      <c r="X14" s="569"/>
      <c r="Y14" s="569"/>
      <c r="Z14" s="569"/>
      <c r="AA14" s="569"/>
      <c r="AB14" s="569"/>
      <c r="AC14" s="569"/>
      <c r="AD14" s="569"/>
      <c r="AE14" s="569"/>
      <c r="AF14" s="569"/>
      <c r="AG14" s="569"/>
      <c r="AH14" s="569"/>
      <c r="AI14" s="569"/>
      <c r="AJ14" s="569"/>
      <c r="AK14" s="569"/>
      <c r="AL14" s="569"/>
      <c r="AM14" s="569"/>
      <c r="AN14" s="569"/>
      <c r="AO14" s="569"/>
      <c r="AP14" s="569"/>
      <c r="AQ14" s="569"/>
      <c r="AR14" s="569"/>
      <c r="AS14" s="569"/>
      <c r="AT14" s="569"/>
      <c r="AU14" s="569"/>
      <c r="AV14" s="569"/>
      <c r="AW14" s="569"/>
      <c r="AX14" s="569"/>
      <c r="AY14" s="569"/>
      <c r="AZ14" s="569"/>
    </row>
    <row r="15" spans="1:251" x14ac:dyDescent="0.2">
      <c r="A15" s="69" t="s">
        <v>451</v>
      </c>
      <c r="B15" s="70"/>
      <c r="C15" s="70"/>
      <c r="D15" s="70"/>
      <c r="E15" s="70"/>
      <c r="F15" s="70"/>
      <c r="G15" s="70"/>
      <c r="H15" s="70"/>
      <c r="I15" s="70"/>
      <c r="J15" s="70"/>
      <c r="K15" s="69"/>
      <c r="L15" s="569"/>
      <c r="M15" s="569"/>
      <c r="N15" s="569"/>
      <c r="O15" s="569"/>
      <c r="P15" s="569"/>
      <c r="Q15" s="569"/>
      <c r="R15" s="569"/>
      <c r="S15" s="569"/>
      <c r="T15" s="569"/>
      <c r="U15" s="569"/>
      <c r="V15" s="569"/>
      <c r="W15" s="569"/>
      <c r="X15" s="569"/>
      <c r="Y15" s="569"/>
      <c r="Z15" s="569"/>
      <c r="AA15" s="569"/>
      <c r="AB15" s="569"/>
      <c r="AC15" s="569"/>
      <c r="AD15" s="569"/>
      <c r="AE15" s="569"/>
      <c r="AF15" s="569"/>
      <c r="AG15" s="569"/>
      <c r="AH15" s="569"/>
      <c r="AI15" s="569"/>
      <c r="AJ15" s="569"/>
      <c r="AK15" s="569"/>
      <c r="AL15" s="569"/>
      <c r="AM15" s="569"/>
      <c r="AN15" s="569"/>
      <c r="AO15" s="569"/>
      <c r="AP15" s="569"/>
      <c r="AQ15" s="569"/>
      <c r="AR15" s="569"/>
      <c r="AS15" s="569"/>
      <c r="AT15" s="569"/>
      <c r="AU15" s="569"/>
      <c r="AV15" s="569"/>
      <c r="AW15" s="569"/>
      <c r="AX15" s="569"/>
      <c r="AY15" s="569"/>
      <c r="AZ15" s="569"/>
    </row>
    <row r="16" spans="1:251" x14ac:dyDescent="0.2">
      <c r="A16" s="69" t="s">
        <v>452</v>
      </c>
      <c r="B16" s="70"/>
      <c r="C16" s="70"/>
      <c r="D16" s="70"/>
      <c r="E16" s="70"/>
      <c r="F16" s="70"/>
      <c r="G16" s="70"/>
      <c r="H16" s="70"/>
      <c r="I16" s="70"/>
      <c r="J16" s="70"/>
      <c r="K16" s="69"/>
      <c r="L16" s="569"/>
      <c r="M16" s="569"/>
      <c r="N16" s="569"/>
      <c r="O16" s="569"/>
      <c r="P16" s="569"/>
      <c r="Q16" s="569"/>
      <c r="R16" s="569"/>
      <c r="S16" s="569"/>
      <c r="T16" s="569"/>
      <c r="U16" s="569"/>
      <c r="V16" s="569"/>
      <c r="W16" s="569"/>
      <c r="X16" s="569"/>
      <c r="Y16" s="569"/>
      <c r="Z16" s="569"/>
      <c r="AA16" s="569"/>
      <c r="AB16" s="569"/>
      <c r="AC16" s="569"/>
      <c r="AD16" s="569"/>
      <c r="AE16" s="569"/>
      <c r="AF16" s="569"/>
      <c r="AG16" s="569"/>
      <c r="AH16" s="569"/>
      <c r="AI16" s="569"/>
      <c r="AJ16" s="569"/>
      <c r="AK16" s="569"/>
      <c r="AL16" s="569"/>
      <c r="AM16" s="569"/>
      <c r="AN16" s="569"/>
      <c r="AO16" s="569"/>
      <c r="AP16" s="569"/>
      <c r="AQ16" s="569"/>
      <c r="AR16" s="569"/>
      <c r="AS16" s="569"/>
      <c r="AT16" s="569"/>
      <c r="AU16" s="569"/>
      <c r="AV16" s="569"/>
      <c r="AW16" s="569"/>
      <c r="AX16" s="569"/>
      <c r="AY16" s="569"/>
      <c r="AZ16" s="569"/>
    </row>
    <row r="17" spans="1:52" x14ac:dyDescent="0.2">
      <c r="A17" s="69" t="s">
        <v>453</v>
      </c>
      <c r="B17" s="70"/>
      <c r="C17" s="70"/>
      <c r="D17" s="70"/>
      <c r="E17" s="70"/>
      <c r="F17" s="70"/>
      <c r="G17" s="70"/>
      <c r="H17" s="70"/>
      <c r="I17" s="70"/>
      <c r="J17" s="70"/>
      <c r="K17" s="69"/>
      <c r="L17" s="569"/>
      <c r="M17" s="569"/>
      <c r="N17" s="569"/>
      <c r="O17" s="569"/>
      <c r="P17" s="569"/>
      <c r="Q17" s="569"/>
      <c r="R17" s="569"/>
      <c r="S17" s="569"/>
      <c r="T17" s="569"/>
      <c r="U17" s="569"/>
      <c r="V17" s="569"/>
      <c r="W17" s="569"/>
      <c r="X17" s="569"/>
      <c r="Y17" s="569"/>
      <c r="Z17" s="569"/>
      <c r="AA17" s="569"/>
      <c r="AB17" s="569"/>
      <c r="AC17" s="569"/>
      <c r="AD17" s="569"/>
      <c r="AE17" s="569"/>
      <c r="AF17" s="569"/>
      <c r="AG17" s="569"/>
      <c r="AH17" s="569"/>
      <c r="AI17" s="569"/>
      <c r="AJ17" s="569"/>
      <c r="AK17" s="569"/>
      <c r="AL17" s="569"/>
      <c r="AM17" s="569"/>
      <c r="AN17" s="569"/>
      <c r="AO17" s="569"/>
      <c r="AP17" s="569"/>
      <c r="AQ17" s="569"/>
      <c r="AR17" s="569"/>
      <c r="AS17" s="569"/>
      <c r="AT17" s="569"/>
      <c r="AU17" s="569"/>
      <c r="AV17" s="569"/>
      <c r="AW17" s="569"/>
      <c r="AX17" s="569"/>
      <c r="AY17" s="569"/>
      <c r="AZ17" s="569"/>
    </row>
    <row r="18" spans="1:52" x14ac:dyDescent="0.2">
      <c r="A18" s="69" t="s">
        <v>454</v>
      </c>
      <c r="B18" s="70"/>
      <c r="C18" s="70"/>
      <c r="D18" s="70"/>
      <c r="E18" s="70"/>
      <c r="F18" s="70"/>
      <c r="G18" s="70"/>
      <c r="H18" s="70"/>
      <c r="I18" s="70"/>
      <c r="J18" s="70"/>
      <c r="K18" s="69"/>
      <c r="L18" s="569"/>
      <c r="M18" s="569"/>
      <c r="N18" s="569"/>
      <c r="O18" s="569"/>
      <c r="P18" s="569"/>
      <c r="Q18" s="569"/>
      <c r="R18" s="569"/>
      <c r="S18" s="569"/>
      <c r="T18" s="569"/>
      <c r="U18" s="569"/>
      <c r="V18" s="569"/>
      <c r="W18" s="569"/>
      <c r="X18" s="569"/>
      <c r="Y18" s="569"/>
      <c r="Z18" s="569"/>
      <c r="AA18" s="569"/>
      <c r="AB18" s="569"/>
      <c r="AC18" s="569"/>
      <c r="AD18" s="569"/>
      <c r="AE18" s="569"/>
      <c r="AF18" s="569"/>
      <c r="AG18" s="569"/>
      <c r="AH18" s="569"/>
      <c r="AI18" s="569"/>
      <c r="AJ18" s="569"/>
      <c r="AK18" s="569"/>
      <c r="AL18" s="569"/>
      <c r="AM18" s="569"/>
      <c r="AN18" s="569"/>
      <c r="AO18" s="569"/>
      <c r="AP18" s="569"/>
      <c r="AQ18" s="569"/>
      <c r="AR18" s="569"/>
      <c r="AS18" s="569"/>
      <c r="AT18" s="569"/>
      <c r="AU18" s="569"/>
      <c r="AV18" s="569"/>
      <c r="AW18" s="569"/>
      <c r="AX18" s="569"/>
      <c r="AY18" s="569"/>
      <c r="AZ18" s="569"/>
    </row>
    <row r="19" spans="1:52" x14ac:dyDescent="0.2">
      <c r="A19" s="69" t="s">
        <v>455</v>
      </c>
      <c r="B19" s="70"/>
      <c r="C19" s="70"/>
      <c r="D19" s="70"/>
      <c r="E19" s="70"/>
      <c r="F19" s="70"/>
      <c r="G19" s="70"/>
      <c r="H19" s="70"/>
      <c r="I19" s="70"/>
      <c r="J19" s="70"/>
      <c r="K19" s="69"/>
      <c r="L19" s="569"/>
      <c r="M19" s="569"/>
      <c r="N19" s="569"/>
      <c r="O19" s="569"/>
      <c r="P19" s="569"/>
      <c r="Q19" s="569"/>
      <c r="R19" s="569"/>
      <c r="S19" s="569"/>
      <c r="T19" s="569"/>
      <c r="U19" s="569"/>
      <c r="V19" s="569"/>
      <c r="W19" s="569"/>
      <c r="X19" s="569"/>
      <c r="Y19" s="569"/>
      <c r="Z19" s="569"/>
      <c r="AA19" s="569"/>
      <c r="AB19" s="569"/>
      <c r="AC19" s="569"/>
      <c r="AD19" s="569"/>
      <c r="AE19" s="569"/>
      <c r="AF19" s="569"/>
      <c r="AG19" s="569"/>
      <c r="AH19" s="569"/>
      <c r="AI19" s="569"/>
      <c r="AJ19" s="569"/>
      <c r="AK19" s="569"/>
      <c r="AL19" s="569"/>
      <c r="AM19" s="569"/>
      <c r="AN19" s="569"/>
      <c r="AO19" s="569"/>
      <c r="AP19" s="569"/>
      <c r="AQ19" s="569"/>
      <c r="AR19" s="569"/>
      <c r="AS19" s="569"/>
      <c r="AT19" s="569"/>
      <c r="AU19" s="569"/>
      <c r="AV19" s="569"/>
      <c r="AW19" s="569"/>
      <c r="AX19" s="569"/>
      <c r="AY19" s="569"/>
      <c r="AZ19" s="569"/>
    </row>
    <row r="20" spans="1:52" x14ac:dyDescent="0.2">
      <c r="A20" s="69" t="s">
        <v>456</v>
      </c>
      <c r="B20" s="70"/>
      <c r="C20" s="70"/>
      <c r="D20" s="70"/>
      <c r="E20" s="70"/>
      <c r="F20" s="70"/>
      <c r="G20" s="70"/>
      <c r="H20" s="70"/>
      <c r="I20" s="70"/>
      <c r="J20" s="70"/>
      <c r="K20" s="69"/>
      <c r="L20" s="569"/>
      <c r="M20" s="569"/>
      <c r="N20" s="569"/>
      <c r="O20" s="569"/>
      <c r="P20" s="569"/>
      <c r="Q20" s="569"/>
      <c r="R20" s="569"/>
      <c r="S20" s="569"/>
      <c r="T20" s="569"/>
      <c r="U20" s="569"/>
      <c r="V20" s="569"/>
      <c r="W20" s="569"/>
      <c r="X20" s="569"/>
      <c r="Y20" s="569"/>
      <c r="Z20" s="569"/>
      <c r="AA20" s="569"/>
      <c r="AB20" s="569"/>
      <c r="AC20" s="569"/>
      <c r="AD20" s="569"/>
      <c r="AE20" s="569"/>
      <c r="AF20" s="569"/>
      <c r="AG20" s="569"/>
      <c r="AH20" s="569"/>
      <c r="AI20" s="569"/>
      <c r="AJ20" s="569"/>
      <c r="AK20" s="569"/>
      <c r="AL20" s="569"/>
      <c r="AM20" s="569"/>
      <c r="AN20" s="569"/>
      <c r="AO20" s="569"/>
      <c r="AP20" s="569"/>
      <c r="AQ20" s="569"/>
      <c r="AR20" s="569"/>
      <c r="AS20" s="569"/>
      <c r="AT20" s="569"/>
      <c r="AU20" s="569"/>
      <c r="AV20" s="569"/>
      <c r="AW20" s="569"/>
      <c r="AX20" s="569"/>
      <c r="AY20" s="569"/>
      <c r="AZ20" s="569"/>
    </row>
    <row r="21" spans="1:52" x14ac:dyDescent="0.2">
      <c r="A21" s="69" t="s">
        <v>457</v>
      </c>
      <c r="B21" s="70"/>
      <c r="C21" s="70"/>
      <c r="D21" s="70"/>
      <c r="E21" s="70"/>
      <c r="F21" s="70"/>
      <c r="G21" s="70"/>
      <c r="H21" s="70"/>
      <c r="I21" s="70"/>
      <c r="J21" s="70"/>
      <c r="K21" s="69"/>
      <c r="L21" s="569"/>
      <c r="M21" s="569"/>
      <c r="N21" s="569"/>
      <c r="O21" s="569"/>
      <c r="P21" s="569"/>
      <c r="Q21" s="569"/>
      <c r="R21" s="569"/>
      <c r="S21" s="569"/>
      <c r="T21" s="569"/>
      <c r="U21" s="569"/>
      <c r="V21" s="569"/>
      <c r="W21" s="569"/>
      <c r="X21" s="569"/>
      <c r="Y21" s="569"/>
      <c r="Z21" s="569"/>
      <c r="AA21" s="569"/>
      <c r="AB21" s="569"/>
      <c r="AC21" s="569"/>
      <c r="AD21" s="569"/>
      <c r="AE21" s="569"/>
      <c r="AF21" s="569"/>
      <c r="AG21" s="569"/>
      <c r="AH21" s="569"/>
      <c r="AI21" s="569"/>
      <c r="AJ21" s="569"/>
      <c r="AK21" s="569"/>
      <c r="AL21" s="569"/>
      <c r="AM21" s="569"/>
      <c r="AN21" s="569"/>
      <c r="AO21" s="569"/>
      <c r="AP21" s="569"/>
      <c r="AQ21" s="569"/>
      <c r="AR21" s="569"/>
      <c r="AS21" s="569"/>
      <c r="AT21" s="569"/>
      <c r="AU21" s="569"/>
      <c r="AV21" s="569"/>
      <c r="AW21" s="569"/>
      <c r="AX21" s="569"/>
      <c r="AY21" s="569"/>
      <c r="AZ21" s="569"/>
    </row>
    <row r="22" spans="1:52" x14ac:dyDescent="0.2">
      <c r="A22" s="69" t="s">
        <v>458</v>
      </c>
      <c r="B22" s="70"/>
      <c r="C22" s="70"/>
      <c r="D22" s="70"/>
      <c r="E22" s="70"/>
      <c r="F22" s="70"/>
      <c r="G22" s="70"/>
      <c r="H22" s="70"/>
      <c r="I22" s="70"/>
      <c r="J22" s="70"/>
      <c r="K22" s="69"/>
      <c r="L22" s="569"/>
      <c r="M22" s="569"/>
      <c r="N22" s="569"/>
      <c r="O22" s="569"/>
      <c r="P22" s="569"/>
      <c r="Q22" s="569"/>
      <c r="R22" s="569"/>
      <c r="S22" s="569"/>
      <c r="T22" s="569"/>
      <c r="U22" s="569"/>
      <c r="V22" s="569"/>
      <c r="W22" s="569"/>
      <c r="X22" s="569"/>
      <c r="Y22" s="569"/>
      <c r="Z22" s="569"/>
      <c r="AA22" s="569"/>
      <c r="AB22" s="569"/>
      <c r="AC22" s="569"/>
      <c r="AD22" s="569"/>
      <c r="AE22" s="569"/>
      <c r="AF22" s="569"/>
      <c r="AG22" s="569"/>
      <c r="AH22" s="569"/>
      <c r="AI22" s="569"/>
      <c r="AJ22" s="569"/>
      <c r="AK22" s="569"/>
      <c r="AL22" s="569"/>
      <c r="AM22" s="569"/>
      <c r="AN22" s="569"/>
      <c r="AO22" s="569"/>
      <c r="AP22" s="569"/>
      <c r="AQ22" s="569"/>
      <c r="AR22" s="569"/>
      <c r="AS22" s="569"/>
      <c r="AT22" s="569"/>
      <c r="AU22" s="569"/>
      <c r="AV22" s="569"/>
      <c r="AW22" s="569"/>
      <c r="AX22" s="569"/>
      <c r="AY22" s="569"/>
      <c r="AZ22" s="569"/>
    </row>
    <row r="23" spans="1:52" x14ac:dyDescent="0.2">
      <c r="A23" s="69" t="s">
        <v>459</v>
      </c>
      <c r="B23" s="70"/>
      <c r="C23" s="70"/>
      <c r="D23" s="70"/>
      <c r="E23" s="70"/>
      <c r="F23" s="70"/>
      <c r="G23" s="70"/>
      <c r="H23" s="70"/>
      <c r="I23" s="70"/>
      <c r="J23" s="70"/>
      <c r="K23" s="69"/>
      <c r="L23" s="569"/>
      <c r="M23" s="569"/>
      <c r="N23" s="569"/>
      <c r="O23" s="569"/>
      <c r="P23" s="569"/>
      <c r="Q23" s="569"/>
      <c r="R23" s="569"/>
      <c r="S23" s="569"/>
      <c r="T23" s="569"/>
      <c r="U23" s="569"/>
      <c r="V23" s="569"/>
      <c r="W23" s="569"/>
      <c r="X23" s="569"/>
      <c r="Y23" s="569"/>
      <c r="Z23" s="569"/>
      <c r="AA23" s="569"/>
      <c r="AB23" s="569"/>
      <c r="AC23" s="569"/>
      <c r="AD23" s="569"/>
      <c r="AE23" s="569"/>
      <c r="AF23" s="569"/>
      <c r="AG23" s="569"/>
      <c r="AH23" s="569"/>
      <c r="AI23" s="569"/>
      <c r="AJ23" s="569"/>
      <c r="AK23" s="569"/>
      <c r="AL23" s="569"/>
      <c r="AM23" s="569"/>
      <c r="AN23" s="569"/>
      <c r="AO23" s="569"/>
      <c r="AP23" s="569"/>
      <c r="AQ23" s="569"/>
      <c r="AR23" s="569"/>
      <c r="AS23" s="569"/>
      <c r="AT23" s="569"/>
      <c r="AU23" s="569"/>
      <c r="AV23" s="569"/>
      <c r="AW23" s="569"/>
      <c r="AX23" s="569"/>
      <c r="AY23" s="569"/>
      <c r="AZ23" s="569"/>
    </row>
    <row r="24" spans="1:52" x14ac:dyDescent="0.2">
      <c r="A24" s="69" t="s">
        <v>460</v>
      </c>
      <c r="B24" s="70"/>
      <c r="C24" s="70"/>
      <c r="D24" s="70"/>
      <c r="E24" s="70"/>
      <c r="F24" s="70"/>
      <c r="G24" s="70"/>
      <c r="H24" s="70"/>
      <c r="I24" s="70"/>
      <c r="J24" s="70"/>
      <c r="K24" s="69"/>
      <c r="L24" s="569"/>
      <c r="M24" s="569"/>
      <c r="N24" s="569"/>
      <c r="O24" s="569"/>
      <c r="P24" s="569"/>
      <c r="Q24" s="569"/>
      <c r="R24" s="569"/>
      <c r="S24" s="569"/>
      <c r="T24" s="569"/>
      <c r="U24" s="569"/>
      <c r="V24" s="569"/>
      <c r="W24" s="569"/>
      <c r="X24" s="569"/>
      <c r="Y24" s="569"/>
      <c r="Z24" s="569"/>
      <c r="AA24" s="569"/>
      <c r="AB24" s="569"/>
      <c r="AC24" s="569"/>
      <c r="AD24" s="569"/>
      <c r="AE24" s="569"/>
      <c r="AF24" s="569"/>
      <c r="AG24" s="569"/>
      <c r="AH24" s="569"/>
      <c r="AI24" s="569"/>
      <c r="AJ24" s="569"/>
      <c r="AK24" s="569"/>
      <c r="AL24" s="569"/>
      <c r="AM24" s="569"/>
      <c r="AN24" s="569"/>
      <c r="AO24" s="569"/>
      <c r="AP24" s="569"/>
      <c r="AQ24" s="569"/>
      <c r="AR24" s="569"/>
      <c r="AS24" s="569"/>
      <c r="AT24" s="569"/>
      <c r="AU24" s="569"/>
      <c r="AV24" s="569"/>
      <c r="AW24" s="569"/>
      <c r="AX24" s="569"/>
      <c r="AY24" s="569"/>
      <c r="AZ24" s="569"/>
    </row>
    <row r="25" spans="1:52" x14ac:dyDescent="0.2">
      <c r="A25" s="69" t="s">
        <v>461</v>
      </c>
      <c r="B25" s="70"/>
      <c r="C25" s="70"/>
      <c r="D25" s="70"/>
      <c r="E25" s="70"/>
      <c r="F25" s="70"/>
      <c r="G25" s="70"/>
      <c r="H25" s="70"/>
      <c r="I25" s="70"/>
      <c r="J25" s="70"/>
      <c r="K25" s="69"/>
      <c r="L25" s="569"/>
      <c r="M25" s="569"/>
      <c r="N25" s="569"/>
      <c r="O25" s="569"/>
      <c r="P25" s="569"/>
      <c r="Q25" s="569"/>
      <c r="R25" s="569"/>
      <c r="S25" s="569"/>
      <c r="T25" s="569"/>
      <c r="U25" s="569"/>
      <c r="V25" s="569"/>
      <c r="W25" s="569"/>
      <c r="X25" s="569"/>
      <c r="Y25" s="569"/>
      <c r="Z25" s="569"/>
      <c r="AA25" s="569"/>
      <c r="AB25" s="569"/>
      <c r="AC25" s="569"/>
      <c r="AD25" s="569"/>
      <c r="AE25" s="569"/>
      <c r="AF25" s="569"/>
      <c r="AG25" s="569"/>
      <c r="AH25" s="569"/>
      <c r="AI25" s="569"/>
      <c r="AJ25" s="569"/>
      <c r="AK25" s="569"/>
      <c r="AL25" s="569"/>
      <c r="AM25" s="569"/>
      <c r="AN25" s="569"/>
      <c r="AO25" s="569"/>
      <c r="AP25" s="569"/>
      <c r="AQ25" s="569"/>
      <c r="AR25" s="569"/>
      <c r="AS25" s="569"/>
      <c r="AT25" s="569"/>
      <c r="AU25" s="569"/>
      <c r="AV25" s="569"/>
      <c r="AW25" s="569"/>
      <c r="AX25" s="569"/>
      <c r="AY25" s="569"/>
      <c r="AZ25" s="569"/>
    </row>
    <row r="26" spans="1:52" x14ac:dyDescent="0.2">
      <c r="A26" s="69" t="s">
        <v>462</v>
      </c>
      <c r="B26" s="70"/>
      <c r="C26" s="70"/>
      <c r="D26" s="70"/>
      <c r="E26" s="70"/>
      <c r="F26" s="70"/>
      <c r="G26" s="70"/>
      <c r="H26" s="70"/>
      <c r="I26" s="70"/>
      <c r="J26" s="70"/>
      <c r="K26" s="69"/>
      <c r="L26" s="569"/>
      <c r="M26" s="569"/>
      <c r="N26" s="569"/>
      <c r="O26" s="569"/>
      <c r="P26" s="569"/>
      <c r="Q26" s="569"/>
      <c r="R26" s="569"/>
      <c r="S26" s="569"/>
      <c r="T26" s="569"/>
      <c r="U26" s="569"/>
      <c r="V26" s="569"/>
      <c r="W26" s="569"/>
      <c r="X26" s="569"/>
      <c r="Y26" s="569"/>
      <c r="Z26" s="569"/>
      <c r="AA26" s="569"/>
      <c r="AB26" s="569"/>
      <c r="AC26" s="569"/>
      <c r="AD26" s="569"/>
      <c r="AE26" s="569"/>
      <c r="AF26" s="569"/>
      <c r="AG26" s="569"/>
      <c r="AH26" s="569"/>
      <c r="AI26" s="569"/>
      <c r="AJ26" s="569"/>
      <c r="AK26" s="569"/>
      <c r="AL26" s="569"/>
      <c r="AM26" s="569"/>
      <c r="AN26" s="569"/>
      <c r="AO26" s="569"/>
      <c r="AP26" s="569"/>
      <c r="AQ26" s="569"/>
      <c r="AR26" s="569"/>
      <c r="AS26" s="569"/>
      <c r="AT26" s="569"/>
      <c r="AU26" s="569"/>
      <c r="AV26" s="569"/>
      <c r="AW26" s="569"/>
      <c r="AX26" s="569"/>
      <c r="AY26" s="569"/>
      <c r="AZ26" s="569"/>
    </row>
    <row r="27" spans="1:52" x14ac:dyDescent="0.2">
      <c r="A27" s="69" t="s">
        <v>463</v>
      </c>
      <c r="B27" s="70"/>
      <c r="C27" s="70"/>
      <c r="D27" s="70"/>
      <c r="E27" s="70"/>
      <c r="F27" s="70"/>
      <c r="G27" s="70"/>
      <c r="H27" s="70"/>
      <c r="I27" s="70"/>
      <c r="J27" s="70"/>
      <c r="K27" s="69"/>
      <c r="L27" s="569"/>
      <c r="M27" s="569"/>
      <c r="N27" s="569"/>
      <c r="O27" s="569"/>
      <c r="P27" s="569"/>
      <c r="Q27" s="569"/>
      <c r="R27" s="569"/>
      <c r="S27" s="569"/>
      <c r="T27" s="569"/>
      <c r="U27" s="569"/>
      <c r="V27" s="569"/>
      <c r="W27" s="569"/>
      <c r="X27" s="569"/>
      <c r="Y27" s="569"/>
      <c r="Z27" s="569"/>
      <c r="AA27" s="569"/>
      <c r="AB27" s="569"/>
      <c r="AC27" s="569"/>
      <c r="AD27" s="569"/>
      <c r="AE27" s="569"/>
      <c r="AF27" s="569"/>
      <c r="AG27" s="569"/>
      <c r="AH27" s="569"/>
      <c r="AI27" s="569"/>
      <c r="AJ27" s="569"/>
      <c r="AK27" s="569"/>
      <c r="AL27" s="569"/>
      <c r="AM27" s="569"/>
      <c r="AN27" s="569"/>
      <c r="AO27" s="569"/>
      <c r="AP27" s="569"/>
      <c r="AQ27" s="569"/>
      <c r="AR27" s="569"/>
      <c r="AS27" s="569"/>
      <c r="AT27" s="569"/>
      <c r="AU27" s="569"/>
      <c r="AV27" s="569"/>
      <c r="AW27" s="569"/>
      <c r="AX27" s="569"/>
      <c r="AY27" s="569"/>
      <c r="AZ27" s="569"/>
    </row>
    <row r="28" spans="1:52" x14ac:dyDescent="0.2">
      <c r="A28" s="69" t="s">
        <v>464</v>
      </c>
      <c r="B28" s="70"/>
      <c r="C28" s="70"/>
      <c r="D28" s="70"/>
      <c r="E28" s="70"/>
      <c r="F28" s="70"/>
      <c r="G28" s="70"/>
      <c r="H28" s="70"/>
      <c r="I28" s="70"/>
      <c r="J28" s="70"/>
      <c r="K28" s="69"/>
      <c r="L28" s="569"/>
      <c r="M28" s="569"/>
      <c r="N28" s="569"/>
      <c r="O28" s="569"/>
      <c r="P28" s="569"/>
      <c r="Q28" s="569"/>
      <c r="R28" s="569"/>
      <c r="S28" s="569"/>
      <c r="T28" s="569"/>
      <c r="U28" s="569"/>
      <c r="V28" s="569"/>
      <c r="W28" s="569"/>
      <c r="X28" s="569"/>
      <c r="Y28" s="569"/>
      <c r="Z28" s="569"/>
      <c r="AA28" s="569"/>
      <c r="AB28" s="569"/>
      <c r="AC28" s="569"/>
      <c r="AD28" s="569"/>
      <c r="AE28" s="569"/>
      <c r="AF28" s="569"/>
      <c r="AG28" s="569"/>
      <c r="AH28" s="569"/>
      <c r="AI28" s="569"/>
      <c r="AJ28" s="569"/>
      <c r="AK28" s="569"/>
      <c r="AL28" s="569"/>
      <c r="AM28" s="569"/>
      <c r="AN28" s="569"/>
      <c r="AO28" s="569"/>
      <c r="AP28" s="569"/>
      <c r="AQ28" s="569"/>
      <c r="AR28" s="569"/>
      <c r="AS28" s="569"/>
      <c r="AT28" s="569"/>
      <c r="AU28" s="569"/>
      <c r="AV28" s="569"/>
      <c r="AW28" s="569"/>
      <c r="AX28" s="569"/>
      <c r="AY28" s="569"/>
      <c r="AZ28" s="569"/>
    </row>
    <row r="29" spans="1:52" x14ac:dyDescent="0.2">
      <c r="A29" s="69" t="s">
        <v>465</v>
      </c>
      <c r="B29" s="70"/>
      <c r="C29" s="70"/>
      <c r="D29" s="70"/>
      <c r="E29" s="70"/>
      <c r="F29" s="70"/>
      <c r="G29" s="70"/>
      <c r="H29" s="70"/>
      <c r="I29" s="70"/>
      <c r="J29" s="70"/>
      <c r="K29" s="69"/>
      <c r="L29" s="569"/>
      <c r="M29" s="569"/>
      <c r="N29" s="569"/>
      <c r="O29" s="569"/>
      <c r="P29" s="569"/>
      <c r="Q29" s="569"/>
      <c r="R29" s="569"/>
      <c r="S29" s="569"/>
      <c r="T29" s="569"/>
      <c r="U29" s="569"/>
      <c r="V29" s="569"/>
      <c r="W29" s="569"/>
      <c r="X29" s="569"/>
      <c r="Y29" s="569"/>
      <c r="Z29" s="569"/>
      <c r="AA29" s="569"/>
      <c r="AB29" s="569"/>
      <c r="AC29" s="569"/>
      <c r="AD29" s="569"/>
      <c r="AE29" s="569"/>
      <c r="AF29" s="569"/>
      <c r="AG29" s="569"/>
      <c r="AH29" s="569"/>
      <c r="AI29" s="569"/>
      <c r="AJ29" s="569"/>
      <c r="AK29" s="569"/>
      <c r="AL29" s="569"/>
      <c r="AM29" s="569"/>
      <c r="AN29" s="569"/>
      <c r="AO29" s="569"/>
      <c r="AP29" s="569"/>
      <c r="AQ29" s="569"/>
      <c r="AR29" s="569"/>
      <c r="AS29" s="569"/>
      <c r="AT29" s="569"/>
      <c r="AU29" s="569"/>
      <c r="AV29" s="569"/>
      <c r="AW29" s="569"/>
      <c r="AX29" s="569"/>
      <c r="AY29" s="569"/>
      <c r="AZ29" s="569"/>
    </row>
    <row r="30" spans="1:52" x14ac:dyDescent="0.2">
      <c r="A30" s="69" t="s">
        <v>466</v>
      </c>
      <c r="B30" s="70"/>
      <c r="C30" s="70"/>
      <c r="D30" s="70"/>
      <c r="E30" s="70"/>
      <c r="F30" s="70"/>
      <c r="G30" s="70"/>
      <c r="H30" s="70"/>
      <c r="I30" s="70"/>
      <c r="J30" s="70"/>
      <c r="K30" s="69"/>
      <c r="L30" s="569"/>
      <c r="M30" s="569"/>
      <c r="N30" s="569"/>
      <c r="O30" s="569"/>
      <c r="P30" s="569"/>
      <c r="Q30" s="569"/>
      <c r="R30" s="569"/>
      <c r="S30" s="569"/>
      <c r="T30" s="569"/>
      <c r="U30" s="569"/>
      <c r="V30" s="569"/>
      <c r="W30" s="569"/>
      <c r="X30" s="569"/>
      <c r="Y30" s="569"/>
      <c r="Z30" s="569"/>
      <c r="AA30" s="569"/>
      <c r="AB30" s="569"/>
      <c r="AC30" s="569"/>
      <c r="AD30" s="569"/>
      <c r="AE30" s="569"/>
      <c r="AF30" s="569"/>
      <c r="AG30" s="569"/>
      <c r="AH30" s="569"/>
      <c r="AI30" s="569"/>
      <c r="AJ30" s="569"/>
      <c r="AK30" s="569"/>
      <c r="AL30" s="569"/>
      <c r="AM30" s="569"/>
      <c r="AN30" s="569"/>
      <c r="AO30" s="569"/>
      <c r="AP30" s="569"/>
      <c r="AQ30" s="569"/>
      <c r="AR30" s="569"/>
      <c r="AS30" s="569"/>
      <c r="AT30" s="569"/>
      <c r="AU30" s="569"/>
      <c r="AV30" s="569"/>
      <c r="AW30" s="569"/>
      <c r="AX30" s="569"/>
      <c r="AY30" s="569"/>
      <c r="AZ30" s="569"/>
    </row>
    <row r="31" spans="1:52" x14ac:dyDescent="0.2">
      <c r="A31" s="69" t="s">
        <v>749</v>
      </c>
      <c r="B31" s="70"/>
      <c r="C31" s="70"/>
      <c r="D31" s="70"/>
      <c r="E31" s="70"/>
      <c r="F31" s="70"/>
      <c r="G31" s="70"/>
      <c r="H31" s="70"/>
      <c r="I31" s="70"/>
      <c r="J31" s="70"/>
      <c r="K31" s="69"/>
      <c r="L31" s="569"/>
      <c r="M31" s="569"/>
      <c r="N31" s="569"/>
      <c r="O31" s="569"/>
      <c r="P31" s="569"/>
      <c r="Q31" s="569"/>
      <c r="R31" s="569"/>
      <c r="S31" s="569"/>
      <c r="T31" s="569"/>
      <c r="U31" s="569"/>
      <c r="V31" s="569"/>
      <c r="W31" s="569"/>
      <c r="X31" s="569"/>
      <c r="Y31" s="569"/>
      <c r="Z31" s="569"/>
      <c r="AA31" s="569"/>
      <c r="AB31" s="569"/>
      <c r="AC31" s="569"/>
      <c r="AD31" s="569"/>
      <c r="AE31" s="569"/>
      <c r="AF31" s="569"/>
      <c r="AG31" s="569"/>
      <c r="AH31" s="569"/>
      <c r="AI31" s="569"/>
      <c r="AJ31" s="569"/>
      <c r="AK31" s="569"/>
      <c r="AL31" s="569"/>
      <c r="AM31" s="569"/>
      <c r="AN31" s="569"/>
      <c r="AO31" s="569"/>
      <c r="AP31" s="569"/>
      <c r="AQ31" s="569"/>
      <c r="AR31" s="569"/>
      <c r="AS31" s="569"/>
      <c r="AT31" s="569"/>
      <c r="AU31" s="569"/>
      <c r="AV31" s="569"/>
      <c r="AW31" s="569"/>
      <c r="AX31" s="569"/>
      <c r="AY31" s="569"/>
      <c r="AZ31" s="569"/>
    </row>
    <row r="32" spans="1:52" x14ac:dyDescent="0.2">
      <c r="A32" s="69" t="s">
        <v>750</v>
      </c>
      <c r="B32" s="70"/>
      <c r="C32" s="70"/>
      <c r="D32" s="70"/>
      <c r="E32" s="70"/>
      <c r="F32" s="70"/>
      <c r="G32" s="70"/>
      <c r="H32" s="70"/>
      <c r="I32" s="70"/>
      <c r="J32" s="70"/>
      <c r="K32" s="69"/>
      <c r="L32" s="569"/>
      <c r="M32" s="569"/>
      <c r="N32" s="569"/>
      <c r="O32" s="569"/>
      <c r="P32" s="569"/>
      <c r="Q32" s="569"/>
      <c r="R32" s="569"/>
      <c r="S32" s="569"/>
      <c r="T32" s="569"/>
      <c r="U32" s="569"/>
      <c r="V32" s="569"/>
      <c r="W32" s="569"/>
      <c r="X32" s="569"/>
      <c r="Y32" s="569"/>
      <c r="Z32" s="569"/>
      <c r="AA32" s="569"/>
      <c r="AB32" s="569"/>
      <c r="AC32" s="569"/>
      <c r="AD32" s="569"/>
      <c r="AE32" s="569"/>
      <c r="AF32" s="569"/>
      <c r="AG32" s="569"/>
      <c r="AH32" s="569"/>
      <c r="AI32" s="569"/>
      <c r="AJ32" s="569"/>
      <c r="AK32" s="569"/>
      <c r="AL32" s="569"/>
      <c r="AM32" s="569"/>
      <c r="AN32" s="569"/>
      <c r="AO32" s="569"/>
      <c r="AP32" s="569"/>
      <c r="AQ32" s="569"/>
      <c r="AR32" s="569"/>
      <c r="AS32" s="569"/>
      <c r="AT32" s="569"/>
      <c r="AU32" s="569"/>
      <c r="AV32" s="569"/>
      <c r="AW32" s="569"/>
      <c r="AX32" s="569"/>
      <c r="AY32" s="569"/>
      <c r="AZ32" s="569"/>
    </row>
    <row r="33" spans="1:52" x14ac:dyDescent="0.2">
      <c r="A33" s="69" t="s">
        <v>751</v>
      </c>
      <c r="B33" s="70"/>
      <c r="C33" s="70"/>
      <c r="D33" s="70"/>
      <c r="E33" s="70"/>
      <c r="F33" s="70"/>
      <c r="G33" s="70"/>
      <c r="H33" s="70"/>
      <c r="I33" s="70"/>
      <c r="J33" s="70"/>
      <c r="K33" s="69"/>
      <c r="L33" s="569"/>
      <c r="M33" s="569"/>
      <c r="N33" s="569"/>
      <c r="O33" s="569"/>
      <c r="P33" s="569"/>
      <c r="Q33" s="569"/>
      <c r="R33" s="569"/>
      <c r="S33" s="569"/>
      <c r="T33" s="569"/>
      <c r="U33" s="569"/>
      <c r="V33" s="569"/>
      <c r="W33" s="569"/>
      <c r="X33" s="569"/>
      <c r="Y33" s="569"/>
      <c r="Z33" s="569"/>
      <c r="AA33" s="569"/>
      <c r="AB33" s="569"/>
      <c r="AC33" s="569"/>
      <c r="AD33" s="569"/>
      <c r="AE33" s="569"/>
      <c r="AF33" s="569"/>
      <c r="AG33" s="569"/>
      <c r="AH33" s="569"/>
      <c r="AI33" s="569"/>
      <c r="AJ33" s="569"/>
      <c r="AK33" s="569"/>
      <c r="AL33" s="569"/>
      <c r="AM33" s="569"/>
      <c r="AN33" s="569"/>
      <c r="AO33" s="569"/>
      <c r="AP33" s="569"/>
      <c r="AQ33" s="569"/>
      <c r="AR33" s="569"/>
      <c r="AS33" s="569"/>
      <c r="AT33" s="569"/>
      <c r="AU33" s="569"/>
      <c r="AV33" s="569"/>
      <c r="AW33" s="569"/>
      <c r="AX33" s="569"/>
      <c r="AY33" s="569"/>
      <c r="AZ33" s="569"/>
    </row>
    <row r="34" spans="1:52" x14ac:dyDescent="0.2">
      <c r="A34" s="69" t="s">
        <v>752</v>
      </c>
      <c r="B34" s="70"/>
      <c r="C34" s="70"/>
      <c r="D34" s="70"/>
      <c r="E34" s="70"/>
      <c r="F34" s="70"/>
      <c r="G34" s="70"/>
      <c r="H34" s="70"/>
      <c r="I34" s="70"/>
      <c r="J34" s="70"/>
      <c r="K34" s="69"/>
      <c r="L34" s="569"/>
      <c r="M34" s="569"/>
      <c r="N34" s="569"/>
      <c r="O34" s="569"/>
      <c r="P34" s="569"/>
      <c r="Q34" s="569"/>
      <c r="R34" s="569"/>
      <c r="S34" s="569"/>
      <c r="T34" s="569"/>
      <c r="U34" s="569"/>
      <c r="V34" s="569"/>
      <c r="W34" s="569"/>
      <c r="X34" s="569"/>
      <c r="Y34" s="569"/>
      <c r="Z34" s="569"/>
      <c r="AA34" s="569"/>
      <c r="AB34" s="569"/>
      <c r="AC34" s="569"/>
      <c r="AD34" s="569"/>
      <c r="AE34" s="569"/>
      <c r="AF34" s="569"/>
      <c r="AG34" s="569"/>
      <c r="AH34" s="569"/>
      <c r="AI34" s="569"/>
      <c r="AJ34" s="569"/>
      <c r="AK34" s="569"/>
      <c r="AL34" s="569"/>
      <c r="AM34" s="569"/>
      <c r="AN34" s="569"/>
      <c r="AO34" s="569"/>
      <c r="AP34" s="569"/>
      <c r="AQ34" s="569"/>
      <c r="AR34" s="569"/>
      <c r="AS34" s="569"/>
      <c r="AT34" s="569"/>
      <c r="AU34" s="569"/>
      <c r="AV34" s="569"/>
      <c r="AW34" s="569"/>
      <c r="AX34" s="569"/>
      <c r="AY34" s="569"/>
      <c r="AZ34" s="569"/>
    </row>
    <row r="35" spans="1:52" x14ac:dyDescent="0.2">
      <c r="A35" s="69" t="s">
        <v>753</v>
      </c>
      <c r="B35" s="70"/>
      <c r="C35" s="70"/>
      <c r="D35" s="70"/>
      <c r="E35" s="70"/>
      <c r="F35" s="70"/>
      <c r="G35" s="70"/>
      <c r="H35" s="70"/>
      <c r="I35" s="70"/>
      <c r="J35" s="70"/>
      <c r="K35" s="69"/>
      <c r="L35" s="569"/>
      <c r="M35" s="569"/>
      <c r="N35" s="569"/>
      <c r="O35" s="569"/>
      <c r="P35" s="569"/>
      <c r="Q35" s="569"/>
      <c r="R35" s="569"/>
      <c r="S35" s="569"/>
      <c r="T35" s="569"/>
      <c r="U35" s="569"/>
      <c r="V35" s="569"/>
      <c r="W35" s="569"/>
      <c r="X35" s="569"/>
      <c r="Y35" s="569"/>
      <c r="Z35" s="569"/>
      <c r="AA35" s="569"/>
      <c r="AB35" s="569"/>
      <c r="AC35" s="569"/>
      <c r="AD35" s="569"/>
      <c r="AE35" s="569"/>
      <c r="AF35" s="569"/>
      <c r="AG35" s="569"/>
      <c r="AH35" s="569"/>
      <c r="AI35" s="569"/>
      <c r="AJ35" s="569"/>
      <c r="AK35" s="569"/>
      <c r="AL35" s="569"/>
      <c r="AM35" s="569"/>
      <c r="AN35" s="569"/>
      <c r="AO35" s="569"/>
      <c r="AP35" s="569"/>
      <c r="AQ35" s="569"/>
      <c r="AR35" s="569"/>
      <c r="AS35" s="569"/>
      <c r="AT35" s="569"/>
      <c r="AU35" s="569"/>
      <c r="AV35" s="569"/>
      <c r="AW35" s="569"/>
      <c r="AX35" s="569"/>
      <c r="AY35" s="569"/>
      <c r="AZ35" s="569"/>
    </row>
    <row r="36" spans="1:52" x14ac:dyDescent="0.2">
      <c r="A36" s="569"/>
      <c r="B36" s="595"/>
      <c r="C36" s="595"/>
      <c r="D36" s="595"/>
      <c r="E36" s="595"/>
      <c r="F36" s="595"/>
      <c r="G36" s="595"/>
      <c r="H36" s="595"/>
      <c r="I36" s="595"/>
      <c r="J36" s="595"/>
      <c r="K36" s="569"/>
      <c r="L36" s="569"/>
      <c r="M36" s="569"/>
      <c r="N36" s="569"/>
      <c r="O36" s="569"/>
      <c r="P36" s="569"/>
      <c r="Q36" s="569"/>
      <c r="R36" s="569"/>
      <c r="S36" s="569"/>
      <c r="T36" s="569"/>
      <c r="U36" s="569"/>
      <c r="V36" s="569"/>
      <c r="W36" s="569"/>
      <c r="X36" s="569"/>
      <c r="Y36" s="569"/>
      <c r="Z36" s="569"/>
      <c r="AA36" s="569"/>
      <c r="AB36" s="569"/>
      <c r="AC36" s="569"/>
      <c r="AD36" s="569"/>
      <c r="AE36" s="569"/>
      <c r="AF36" s="569"/>
      <c r="AG36" s="569"/>
      <c r="AH36" s="569"/>
      <c r="AI36" s="569"/>
      <c r="AJ36" s="569"/>
      <c r="AK36" s="569"/>
      <c r="AL36" s="569"/>
      <c r="AM36" s="569"/>
      <c r="AN36" s="569"/>
      <c r="AO36" s="569"/>
      <c r="AP36" s="569"/>
      <c r="AQ36" s="569"/>
      <c r="AR36" s="569"/>
      <c r="AS36" s="569"/>
      <c r="AT36" s="569"/>
      <c r="AU36" s="569"/>
      <c r="AV36" s="569"/>
      <c r="AW36" s="569"/>
      <c r="AX36" s="569"/>
      <c r="AY36" s="569"/>
      <c r="AZ36" s="569"/>
    </row>
    <row r="37" spans="1:52" x14ac:dyDescent="0.2">
      <c r="A37" s="1183" t="s">
        <v>276</v>
      </c>
      <c r="B37" s="1184"/>
      <c r="C37" s="586">
        <f t="shared" ref="C37:J37" si="0">SUM(C6:C36)</f>
        <v>0</v>
      </c>
      <c r="D37" s="586">
        <f t="shared" si="0"/>
        <v>0</v>
      </c>
      <c r="E37" s="586">
        <f t="shared" si="0"/>
        <v>0</v>
      </c>
      <c r="F37" s="586">
        <f t="shared" si="0"/>
        <v>0</v>
      </c>
      <c r="G37" s="586">
        <f t="shared" si="0"/>
        <v>0</v>
      </c>
      <c r="H37" s="586">
        <f t="shared" si="0"/>
        <v>0</v>
      </c>
      <c r="I37" s="586">
        <f t="shared" si="0"/>
        <v>0</v>
      </c>
      <c r="J37" s="586">
        <f t="shared" si="0"/>
        <v>0</v>
      </c>
      <c r="K37" s="218"/>
      <c r="L37" s="569"/>
      <c r="M37" s="569"/>
      <c r="N37" s="569"/>
      <c r="O37" s="569"/>
      <c r="P37" s="569"/>
      <c r="Q37" s="569"/>
      <c r="R37" s="569"/>
      <c r="S37" s="569"/>
      <c r="T37" s="569"/>
      <c r="U37" s="569"/>
      <c r="V37" s="569"/>
      <c r="W37" s="569"/>
      <c r="X37" s="569"/>
      <c r="Y37" s="569"/>
      <c r="Z37" s="569"/>
      <c r="AA37" s="569"/>
      <c r="AB37" s="569"/>
      <c r="AC37" s="569"/>
      <c r="AD37" s="569"/>
      <c r="AE37" s="569"/>
      <c r="AF37" s="569"/>
      <c r="AG37" s="569"/>
      <c r="AH37" s="569"/>
      <c r="AI37" s="569"/>
      <c r="AJ37" s="569"/>
      <c r="AK37" s="569"/>
      <c r="AL37" s="569"/>
      <c r="AM37" s="569"/>
      <c r="AN37" s="569"/>
      <c r="AO37" s="569"/>
      <c r="AP37" s="569"/>
      <c r="AQ37" s="569"/>
      <c r="AR37" s="569"/>
      <c r="AS37" s="569"/>
      <c r="AT37" s="569"/>
      <c r="AU37" s="569"/>
      <c r="AV37" s="569"/>
      <c r="AW37" s="569"/>
      <c r="AX37" s="569"/>
      <c r="AY37" s="569"/>
      <c r="AZ37" s="569"/>
    </row>
    <row r="38" spans="1:52" x14ac:dyDescent="0.2">
      <c r="A38" s="569"/>
      <c r="B38" s="595"/>
      <c r="C38" s="595"/>
      <c r="D38" s="595"/>
      <c r="E38" s="595"/>
      <c r="F38" s="595"/>
      <c r="G38" s="595"/>
      <c r="H38" s="595"/>
      <c r="I38" s="595"/>
      <c r="J38" s="595"/>
      <c r="K38" s="569"/>
      <c r="L38" s="569"/>
      <c r="M38" s="569"/>
      <c r="N38" s="569"/>
      <c r="O38" s="569"/>
      <c r="P38" s="569"/>
      <c r="Q38" s="569"/>
      <c r="R38" s="569"/>
      <c r="S38" s="569"/>
      <c r="T38" s="569"/>
      <c r="U38" s="569"/>
      <c r="V38" s="569"/>
      <c r="W38" s="569"/>
      <c r="X38" s="569"/>
      <c r="Y38" s="569"/>
      <c r="Z38" s="569"/>
      <c r="AA38" s="569"/>
      <c r="AB38" s="569"/>
      <c r="AC38" s="569"/>
      <c r="AD38" s="569"/>
      <c r="AE38" s="569"/>
      <c r="AF38" s="569"/>
      <c r="AG38" s="569"/>
      <c r="AH38" s="569"/>
      <c r="AI38" s="569"/>
      <c r="AJ38" s="569"/>
      <c r="AK38" s="569"/>
      <c r="AL38" s="569"/>
      <c r="AM38" s="569"/>
      <c r="AN38" s="569"/>
      <c r="AO38" s="569"/>
      <c r="AP38" s="569"/>
      <c r="AQ38" s="569"/>
      <c r="AR38" s="569"/>
      <c r="AS38" s="569"/>
      <c r="AT38" s="569"/>
      <c r="AU38" s="569"/>
      <c r="AV38" s="569"/>
      <c r="AW38" s="569"/>
      <c r="AX38" s="569"/>
      <c r="AY38" s="569"/>
      <c r="AZ38" s="569"/>
    </row>
    <row r="39" spans="1:52" x14ac:dyDescent="0.2">
      <c r="A39" s="569"/>
      <c r="B39" s="595"/>
      <c r="C39" s="595"/>
      <c r="D39" s="595"/>
      <c r="E39" s="595"/>
      <c r="F39" s="595"/>
      <c r="G39" s="595"/>
      <c r="H39" s="595"/>
      <c r="I39" s="595"/>
      <c r="J39" s="595"/>
      <c r="K39" s="569"/>
      <c r="L39" s="569"/>
      <c r="M39" s="569"/>
      <c r="N39" s="569"/>
      <c r="O39" s="569"/>
      <c r="P39" s="569"/>
      <c r="Q39" s="569"/>
      <c r="R39" s="569"/>
      <c r="S39" s="569"/>
      <c r="T39" s="569"/>
      <c r="U39" s="569"/>
      <c r="V39" s="569"/>
      <c r="W39" s="569"/>
      <c r="X39" s="569"/>
      <c r="Y39" s="569"/>
      <c r="Z39" s="569"/>
      <c r="AA39" s="569"/>
      <c r="AB39" s="569"/>
      <c r="AC39" s="569"/>
      <c r="AD39" s="569"/>
      <c r="AE39" s="569"/>
      <c r="AF39" s="569"/>
      <c r="AG39" s="569"/>
      <c r="AH39" s="569"/>
      <c r="AI39" s="569"/>
      <c r="AJ39" s="569"/>
      <c r="AK39" s="569"/>
      <c r="AL39" s="569"/>
      <c r="AM39" s="569"/>
      <c r="AN39" s="569"/>
      <c r="AO39" s="569"/>
      <c r="AP39" s="569"/>
      <c r="AQ39" s="569"/>
      <c r="AR39" s="569"/>
      <c r="AS39" s="569"/>
      <c r="AT39" s="569"/>
      <c r="AU39" s="569"/>
      <c r="AV39" s="569"/>
      <c r="AW39" s="569"/>
      <c r="AX39" s="569"/>
      <c r="AY39" s="569"/>
      <c r="AZ39" s="569"/>
    </row>
    <row r="40" spans="1:52" x14ac:dyDescent="0.2">
      <c r="A40" s="569"/>
      <c r="B40" s="595"/>
      <c r="C40" s="595"/>
      <c r="D40" s="595"/>
      <c r="E40" s="595"/>
      <c r="F40" s="595"/>
      <c r="G40" s="595"/>
      <c r="H40" s="595"/>
      <c r="I40" s="595"/>
      <c r="J40" s="595"/>
      <c r="K40" s="569"/>
      <c r="L40" s="569"/>
      <c r="M40" s="569"/>
      <c r="N40" s="569"/>
      <c r="O40" s="569"/>
      <c r="P40" s="569"/>
      <c r="Q40" s="569"/>
      <c r="R40" s="569"/>
      <c r="S40" s="569"/>
      <c r="T40" s="569"/>
      <c r="U40" s="569"/>
      <c r="V40" s="569"/>
      <c r="W40" s="569"/>
      <c r="X40" s="569"/>
      <c r="Y40" s="569"/>
      <c r="Z40" s="569"/>
      <c r="AA40" s="569"/>
      <c r="AB40" s="569"/>
      <c r="AC40" s="569"/>
      <c r="AD40" s="569"/>
      <c r="AE40" s="569"/>
      <c r="AF40" s="569"/>
      <c r="AG40" s="569"/>
      <c r="AH40" s="569"/>
      <c r="AI40" s="569"/>
      <c r="AJ40" s="569"/>
      <c r="AK40" s="569"/>
      <c r="AL40" s="569"/>
      <c r="AM40" s="569"/>
      <c r="AN40" s="569"/>
      <c r="AO40" s="569"/>
      <c r="AP40" s="569"/>
      <c r="AQ40" s="569"/>
      <c r="AR40" s="569"/>
      <c r="AS40" s="569"/>
      <c r="AT40" s="569"/>
      <c r="AU40" s="569"/>
      <c r="AV40" s="569"/>
      <c r="AW40" s="569"/>
      <c r="AX40" s="569"/>
      <c r="AY40" s="569"/>
      <c r="AZ40" s="569"/>
    </row>
    <row r="41" spans="1:52" x14ac:dyDescent="0.2">
      <c r="A41" s="569"/>
      <c r="B41" s="595"/>
      <c r="C41" s="595"/>
      <c r="D41" s="595"/>
      <c r="E41" s="595"/>
      <c r="F41" s="595"/>
      <c r="G41" s="595"/>
      <c r="H41" s="595"/>
      <c r="I41" s="595"/>
      <c r="J41" s="595"/>
      <c r="K41" s="569"/>
      <c r="L41" s="569"/>
      <c r="M41" s="569"/>
      <c r="N41" s="569"/>
      <c r="O41" s="569"/>
      <c r="P41" s="569"/>
      <c r="Q41" s="569"/>
      <c r="R41" s="569"/>
      <c r="S41" s="569"/>
      <c r="T41" s="569"/>
      <c r="U41" s="569"/>
      <c r="V41" s="569"/>
      <c r="W41" s="569"/>
      <c r="X41" s="569"/>
      <c r="Y41" s="569"/>
      <c r="Z41" s="569"/>
      <c r="AA41" s="569"/>
      <c r="AB41" s="569"/>
      <c r="AC41" s="569"/>
      <c r="AD41" s="569"/>
      <c r="AE41" s="569"/>
      <c r="AF41" s="569"/>
      <c r="AG41" s="569"/>
      <c r="AH41" s="569"/>
      <c r="AI41" s="569"/>
      <c r="AJ41" s="569"/>
      <c r="AK41" s="569"/>
      <c r="AL41" s="569"/>
      <c r="AM41" s="569"/>
      <c r="AN41" s="569"/>
      <c r="AO41" s="569"/>
      <c r="AP41" s="569"/>
      <c r="AQ41" s="569"/>
      <c r="AR41" s="569"/>
      <c r="AS41" s="569"/>
      <c r="AT41" s="569"/>
      <c r="AU41" s="569"/>
      <c r="AV41" s="569"/>
      <c r="AW41" s="569"/>
      <c r="AX41" s="569"/>
      <c r="AY41" s="569"/>
      <c r="AZ41" s="569"/>
    </row>
    <row r="42" spans="1:52" x14ac:dyDescent="0.2">
      <c r="A42" s="569"/>
      <c r="B42" s="595"/>
      <c r="C42" s="595"/>
      <c r="D42" s="595"/>
      <c r="E42" s="595"/>
      <c r="F42" s="595"/>
      <c r="G42" s="595"/>
      <c r="H42" s="595"/>
      <c r="I42" s="595"/>
      <c r="J42" s="595"/>
      <c r="K42" s="569"/>
      <c r="L42" s="569"/>
      <c r="M42" s="569"/>
      <c r="N42" s="569"/>
      <c r="O42" s="569"/>
      <c r="P42" s="569"/>
      <c r="Q42" s="569"/>
      <c r="R42" s="569"/>
      <c r="S42" s="569"/>
      <c r="T42" s="569"/>
      <c r="U42" s="569"/>
      <c r="V42" s="569"/>
      <c r="W42" s="569"/>
      <c r="X42" s="569"/>
      <c r="Y42" s="569"/>
      <c r="Z42" s="569"/>
      <c r="AA42" s="569"/>
      <c r="AB42" s="569"/>
      <c r="AC42" s="569"/>
      <c r="AD42" s="569"/>
      <c r="AE42" s="569"/>
      <c r="AF42" s="569"/>
      <c r="AG42" s="569"/>
      <c r="AH42" s="569"/>
      <c r="AI42" s="569"/>
      <c r="AJ42" s="569"/>
      <c r="AK42" s="569"/>
      <c r="AL42" s="569"/>
      <c r="AM42" s="569"/>
      <c r="AN42" s="569"/>
      <c r="AO42" s="569"/>
      <c r="AP42" s="569"/>
      <c r="AQ42" s="569"/>
      <c r="AR42" s="569"/>
      <c r="AS42" s="569"/>
      <c r="AT42" s="569"/>
      <c r="AU42" s="569"/>
      <c r="AV42" s="569"/>
      <c r="AW42" s="569"/>
      <c r="AX42" s="569"/>
      <c r="AY42" s="569"/>
      <c r="AZ42" s="569"/>
    </row>
    <row r="43" spans="1:52" x14ac:dyDescent="0.2">
      <c r="A43" s="569"/>
      <c r="B43" s="595"/>
      <c r="C43" s="595"/>
      <c r="D43" s="595"/>
      <c r="E43" s="595"/>
      <c r="F43" s="595"/>
      <c r="G43" s="595"/>
      <c r="H43" s="595"/>
      <c r="I43" s="595"/>
      <c r="J43" s="595"/>
      <c r="K43" s="569"/>
      <c r="L43" s="569"/>
      <c r="M43" s="569"/>
      <c r="N43" s="569"/>
      <c r="O43" s="569"/>
      <c r="P43" s="569"/>
      <c r="Q43" s="569"/>
      <c r="R43" s="569"/>
      <c r="S43" s="569"/>
      <c r="T43" s="569"/>
      <c r="U43" s="569"/>
      <c r="V43" s="569"/>
      <c r="W43" s="569"/>
      <c r="X43" s="569"/>
      <c r="Y43" s="569"/>
      <c r="Z43" s="569"/>
      <c r="AA43" s="569"/>
      <c r="AB43" s="569"/>
      <c r="AC43" s="569"/>
      <c r="AD43" s="569"/>
      <c r="AE43" s="569"/>
      <c r="AF43" s="569"/>
      <c r="AG43" s="569"/>
      <c r="AH43" s="569"/>
      <c r="AI43" s="569"/>
      <c r="AJ43" s="569"/>
      <c r="AK43" s="569"/>
      <c r="AL43" s="569"/>
      <c r="AM43" s="569"/>
      <c r="AN43" s="569"/>
      <c r="AO43" s="569"/>
      <c r="AP43" s="569"/>
      <c r="AQ43" s="569"/>
      <c r="AR43" s="569"/>
      <c r="AS43" s="569"/>
      <c r="AT43" s="569"/>
      <c r="AU43" s="569"/>
      <c r="AV43" s="569"/>
      <c r="AW43" s="569"/>
      <c r="AX43" s="569"/>
      <c r="AY43" s="569"/>
      <c r="AZ43" s="569"/>
    </row>
    <row r="44" spans="1:52" x14ac:dyDescent="0.2">
      <c r="A44" s="569"/>
      <c r="B44" s="595"/>
      <c r="C44" s="595"/>
      <c r="D44" s="595"/>
      <c r="E44" s="595"/>
      <c r="F44" s="595"/>
      <c r="G44" s="595"/>
      <c r="H44" s="595"/>
      <c r="I44" s="595"/>
      <c r="J44" s="595"/>
      <c r="K44" s="569"/>
      <c r="L44" s="569"/>
      <c r="M44" s="569"/>
      <c r="N44" s="569"/>
      <c r="O44" s="569"/>
      <c r="P44" s="569"/>
      <c r="Q44" s="569"/>
      <c r="R44" s="569"/>
      <c r="S44" s="569"/>
      <c r="T44" s="569"/>
      <c r="U44" s="569"/>
      <c r="V44" s="569"/>
      <c r="W44" s="569"/>
      <c r="X44" s="569"/>
      <c r="Y44" s="569"/>
      <c r="Z44" s="569"/>
      <c r="AA44" s="569"/>
      <c r="AB44" s="569"/>
      <c r="AC44" s="569"/>
      <c r="AD44" s="569"/>
      <c r="AE44" s="569"/>
      <c r="AF44" s="569"/>
      <c r="AG44" s="569"/>
      <c r="AH44" s="569"/>
      <c r="AI44" s="569"/>
      <c r="AJ44" s="569"/>
      <c r="AK44" s="569"/>
      <c r="AL44" s="569"/>
      <c r="AM44" s="569"/>
      <c r="AN44" s="569"/>
      <c r="AO44" s="569"/>
      <c r="AP44" s="569"/>
      <c r="AQ44" s="569"/>
      <c r="AR44" s="569"/>
      <c r="AS44" s="569"/>
      <c r="AT44" s="569"/>
      <c r="AU44" s="569"/>
      <c r="AV44" s="569"/>
      <c r="AW44" s="569"/>
      <c r="AX44" s="569"/>
      <c r="AY44" s="569"/>
      <c r="AZ44" s="569"/>
    </row>
    <row r="45" spans="1:52" x14ac:dyDescent="0.2">
      <c r="A45" s="569"/>
      <c r="B45" s="595"/>
      <c r="C45" s="595"/>
      <c r="D45" s="595"/>
      <c r="E45" s="595"/>
      <c r="F45" s="595"/>
      <c r="G45" s="595"/>
      <c r="H45" s="595"/>
      <c r="I45" s="595"/>
      <c r="J45" s="595"/>
      <c r="K45" s="569"/>
      <c r="L45" s="569"/>
      <c r="M45" s="569"/>
      <c r="N45" s="569"/>
      <c r="O45" s="569"/>
      <c r="P45" s="569"/>
      <c r="Q45" s="569"/>
      <c r="R45" s="569"/>
      <c r="S45" s="569"/>
      <c r="T45" s="569"/>
      <c r="U45" s="569"/>
      <c r="V45" s="569"/>
      <c r="W45" s="569"/>
      <c r="X45" s="569"/>
      <c r="Y45" s="569"/>
      <c r="Z45" s="569"/>
      <c r="AA45" s="569"/>
      <c r="AB45" s="569"/>
      <c r="AC45" s="569"/>
      <c r="AD45" s="569"/>
      <c r="AE45" s="569"/>
      <c r="AF45" s="569"/>
      <c r="AG45" s="569"/>
      <c r="AH45" s="569"/>
      <c r="AI45" s="569"/>
      <c r="AJ45" s="569"/>
      <c r="AK45" s="569"/>
      <c r="AL45" s="569"/>
      <c r="AM45" s="569"/>
      <c r="AN45" s="569"/>
      <c r="AO45" s="569"/>
      <c r="AP45" s="569"/>
      <c r="AQ45" s="569"/>
      <c r="AR45" s="569"/>
      <c r="AS45" s="569"/>
      <c r="AT45" s="569"/>
      <c r="AU45" s="569"/>
      <c r="AV45" s="569"/>
      <c r="AW45" s="569"/>
      <c r="AX45" s="569"/>
      <c r="AY45" s="569"/>
      <c r="AZ45" s="569"/>
    </row>
    <row r="46" spans="1:52" x14ac:dyDescent="0.2">
      <c r="A46" s="569"/>
      <c r="B46" s="595"/>
      <c r="C46" s="595"/>
      <c r="D46" s="595"/>
      <c r="E46" s="595"/>
      <c r="F46" s="595"/>
      <c r="G46" s="595"/>
      <c r="H46" s="595"/>
      <c r="I46" s="595"/>
      <c r="J46" s="595"/>
      <c r="K46" s="569"/>
      <c r="L46" s="569"/>
      <c r="M46" s="569"/>
      <c r="N46" s="569"/>
      <c r="O46" s="569"/>
      <c r="P46" s="569"/>
      <c r="Q46" s="569"/>
      <c r="R46" s="569"/>
      <c r="S46" s="569"/>
      <c r="T46" s="569"/>
      <c r="U46" s="569"/>
      <c r="V46" s="569"/>
      <c r="W46" s="569"/>
      <c r="X46" s="569"/>
      <c r="Y46" s="569"/>
      <c r="Z46" s="569"/>
      <c r="AA46" s="569"/>
      <c r="AB46" s="569"/>
      <c r="AC46" s="569"/>
      <c r="AD46" s="569"/>
      <c r="AE46" s="569"/>
      <c r="AF46" s="569"/>
      <c r="AG46" s="569"/>
      <c r="AH46" s="569"/>
      <c r="AI46" s="569"/>
      <c r="AJ46" s="569"/>
      <c r="AK46" s="569"/>
      <c r="AL46" s="569"/>
      <c r="AM46" s="569"/>
      <c r="AN46" s="569"/>
      <c r="AO46" s="569"/>
      <c r="AP46" s="569"/>
      <c r="AQ46" s="569"/>
      <c r="AR46" s="569"/>
      <c r="AS46" s="569"/>
      <c r="AT46" s="569"/>
      <c r="AU46" s="569"/>
      <c r="AV46" s="569"/>
      <c r="AW46" s="569"/>
      <c r="AX46" s="569"/>
      <c r="AY46" s="569"/>
      <c r="AZ46" s="569"/>
    </row>
    <row r="47" spans="1:52" x14ac:dyDescent="0.2">
      <c r="A47" s="569"/>
      <c r="B47" s="595"/>
      <c r="C47" s="595"/>
      <c r="D47" s="595"/>
      <c r="E47" s="595"/>
      <c r="F47" s="595"/>
      <c r="G47" s="595"/>
      <c r="H47" s="595"/>
      <c r="I47" s="595"/>
      <c r="J47" s="595"/>
      <c r="K47" s="569"/>
      <c r="L47" s="569"/>
      <c r="M47" s="569"/>
      <c r="N47" s="569"/>
      <c r="O47" s="569"/>
      <c r="P47" s="569"/>
      <c r="Q47" s="569"/>
      <c r="R47" s="569"/>
      <c r="S47" s="569"/>
      <c r="T47" s="569"/>
      <c r="U47" s="569"/>
      <c r="V47" s="569"/>
      <c r="W47" s="569"/>
      <c r="X47" s="569"/>
      <c r="Y47" s="569"/>
      <c r="Z47" s="569"/>
      <c r="AA47" s="569"/>
      <c r="AB47" s="569"/>
      <c r="AC47" s="569"/>
      <c r="AD47" s="569"/>
      <c r="AE47" s="569"/>
      <c r="AF47" s="569"/>
      <c r="AG47" s="569"/>
      <c r="AH47" s="569"/>
      <c r="AI47" s="569"/>
      <c r="AJ47" s="569"/>
      <c r="AK47" s="569"/>
      <c r="AL47" s="569"/>
      <c r="AM47" s="569"/>
      <c r="AN47" s="569"/>
      <c r="AO47" s="569"/>
      <c r="AP47" s="569"/>
      <c r="AQ47" s="569"/>
      <c r="AR47" s="569"/>
      <c r="AS47" s="569"/>
      <c r="AT47" s="569"/>
      <c r="AU47" s="569"/>
      <c r="AV47" s="569"/>
      <c r="AW47" s="569"/>
      <c r="AX47" s="569"/>
      <c r="AY47" s="569"/>
      <c r="AZ47" s="569"/>
    </row>
    <row r="48" spans="1:52" x14ac:dyDescent="0.2">
      <c r="A48" s="569"/>
      <c r="B48" s="595"/>
      <c r="C48" s="595"/>
      <c r="D48" s="595"/>
      <c r="E48" s="595"/>
      <c r="F48" s="595"/>
      <c r="G48" s="595"/>
      <c r="H48" s="595"/>
      <c r="I48" s="595"/>
      <c r="J48" s="595"/>
      <c r="K48" s="569"/>
      <c r="L48" s="569"/>
      <c r="M48" s="569"/>
      <c r="N48" s="569"/>
      <c r="O48" s="569"/>
      <c r="P48" s="569"/>
      <c r="Q48" s="569"/>
      <c r="R48" s="569"/>
      <c r="S48" s="569"/>
      <c r="T48" s="569"/>
      <c r="U48" s="569"/>
      <c r="V48" s="569"/>
      <c r="W48" s="569"/>
      <c r="X48" s="569"/>
      <c r="Y48" s="569"/>
      <c r="Z48" s="569"/>
      <c r="AA48" s="569"/>
      <c r="AB48" s="569"/>
      <c r="AC48" s="569"/>
      <c r="AD48" s="569"/>
      <c r="AE48" s="569"/>
      <c r="AF48" s="569"/>
      <c r="AG48" s="569"/>
      <c r="AH48" s="569"/>
      <c r="AI48" s="569"/>
      <c r="AJ48" s="569"/>
      <c r="AK48" s="569"/>
      <c r="AL48" s="569"/>
      <c r="AM48" s="569"/>
      <c r="AN48" s="569"/>
      <c r="AO48" s="569"/>
      <c r="AP48" s="569"/>
      <c r="AQ48" s="569"/>
      <c r="AR48" s="569"/>
      <c r="AS48" s="569"/>
      <c r="AT48" s="569"/>
      <c r="AU48" s="569"/>
      <c r="AV48" s="569"/>
      <c r="AW48" s="569"/>
      <c r="AX48" s="569"/>
      <c r="AY48" s="569"/>
      <c r="AZ48" s="569"/>
    </row>
    <row r="49" spans="1:52" x14ac:dyDescent="0.2">
      <c r="A49" s="569"/>
      <c r="B49" s="595"/>
      <c r="C49" s="595"/>
      <c r="D49" s="595"/>
      <c r="E49" s="595"/>
      <c r="F49" s="595"/>
      <c r="G49" s="595"/>
      <c r="H49" s="595"/>
      <c r="I49" s="595"/>
      <c r="J49" s="595"/>
      <c r="K49" s="569"/>
      <c r="L49" s="569"/>
      <c r="M49" s="569"/>
      <c r="N49" s="569"/>
      <c r="O49" s="569"/>
      <c r="P49" s="569"/>
      <c r="Q49" s="569"/>
      <c r="R49" s="569"/>
      <c r="S49" s="569"/>
      <c r="T49" s="569"/>
      <c r="U49" s="569"/>
      <c r="V49" s="569"/>
      <c r="W49" s="569"/>
      <c r="X49" s="569"/>
      <c r="Y49" s="569"/>
      <c r="Z49" s="569"/>
      <c r="AA49" s="569"/>
      <c r="AB49" s="569"/>
      <c r="AC49" s="569"/>
      <c r="AD49" s="569"/>
      <c r="AE49" s="569"/>
      <c r="AF49" s="569"/>
      <c r="AG49" s="569"/>
      <c r="AH49" s="569"/>
      <c r="AI49" s="569"/>
      <c r="AJ49" s="569"/>
      <c r="AK49" s="569"/>
      <c r="AL49" s="569"/>
      <c r="AM49" s="569"/>
      <c r="AN49" s="569"/>
      <c r="AO49" s="569"/>
      <c r="AP49" s="569"/>
      <c r="AQ49" s="569"/>
      <c r="AR49" s="569"/>
      <c r="AS49" s="569"/>
      <c r="AT49" s="569"/>
      <c r="AU49" s="569"/>
      <c r="AV49" s="569"/>
      <c r="AW49" s="569"/>
      <c r="AX49" s="569"/>
      <c r="AY49" s="569"/>
      <c r="AZ49" s="569"/>
    </row>
    <row r="50" spans="1:52" x14ac:dyDescent="0.2">
      <c r="A50" s="569"/>
      <c r="B50" s="595"/>
      <c r="C50" s="595"/>
      <c r="D50" s="595"/>
      <c r="E50" s="595"/>
      <c r="F50" s="595"/>
      <c r="G50" s="595"/>
      <c r="H50" s="595"/>
      <c r="I50" s="595"/>
      <c r="J50" s="595"/>
      <c r="K50" s="569"/>
      <c r="L50" s="569"/>
      <c r="M50" s="569"/>
      <c r="N50" s="569"/>
      <c r="O50" s="569"/>
      <c r="P50" s="569"/>
      <c r="Q50" s="569"/>
      <c r="R50" s="569"/>
      <c r="S50" s="569"/>
      <c r="T50" s="569"/>
      <c r="U50" s="569"/>
      <c r="V50" s="569"/>
      <c r="W50" s="569"/>
      <c r="X50" s="569"/>
      <c r="Y50" s="569"/>
      <c r="Z50" s="569"/>
      <c r="AA50" s="569"/>
      <c r="AB50" s="569"/>
      <c r="AC50" s="569"/>
      <c r="AD50" s="569"/>
      <c r="AE50" s="569"/>
      <c r="AF50" s="569"/>
      <c r="AG50" s="569"/>
      <c r="AH50" s="569"/>
      <c r="AI50" s="569"/>
      <c r="AJ50" s="569"/>
      <c r="AK50" s="569"/>
      <c r="AL50" s="569"/>
      <c r="AM50" s="569"/>
      <c r="AN50" s="569"/>
      <c r="AO50" s="569"/>
      <c r="AP50" s="569"/>
      <c r="AQ50" s="569"/>
      <c r="AR50" s="569"/>
      <c r="AS50" s="569"/>
      <c r="AT50" s="569"/>
      <c r="AU50" s="569"/>
      <c r="AV50" s="569"/>
      <c r="AW50" s="569"/>
      <c r="AX50" s="569"/>
      <c r="AY50" s="569"/>
      <c r="AZ50" s="569"/>
    </row>
    <row r="51" spans="1:52" x14ac:dyDescent="0.2">
      <c r="A51" s="569"/>
      <c r="B51" s="595"/>
      <c r="C51" s="595"/>
      <c r="D51" s="595"/>
      <c r="E51" s="595"/>
      <c r="F51" s="595"/>
      <c r="G51" s="595"/>
      <c r="H51" s="595"/>
      <c r="I51" s="595"/>
      <c r="J51" s="595"/>
      <c r="K51" s="569"/>
      <c r="L51" s="569"/>
      <c r="M51" s="569"/>
      <c r="N51" s="569"/>
      <c r="O51" s="569"/>
      <c r="P51" s="569"/>
      <c r="Q51" s="569"/>
      <c r="R51" s="569"/>
      <c r="S51" s="569"/>
      <c r="T51" s="569"/>
      <c r="U51" s="569"/>
      <c r="V51" s="569"/>
      <c r="W51" s="569"/>
      <c r="X51" s="569"/>
      <c r="Y51" s="569"/>
      <c r="Z51" s="569"/>
      <c r="AA51" s="569"/>
      <c r="AB51" s="569"/>
      <c r="AC51" s="569"/>
      <c r="AD51" s="569"/>
      <c r="AE51" s="569"/>
      <c r="AF51" s="569"/>
      <c r="AG51" s="569"/>
      <c r="AH51" s="569"/>
      <c r="AI51" s="569"/>
      <c r="AJ51" s="569"/>
      <c r="AK51" s="569"/>
      <c r="AL51" s="569"/>
      <c r="AM51" s="569"/>
      <c r="AN51" s="569"/>
      <c r="AO51" s="569"/>
      <c r="AP51" s="569"/>
      <c r="AQ51" s="569"/>
      <c r="AR51" s="569"/>
      <c r="AS51" s="569"/>
      <c r="AT51" s="569"/>
      <c r="AU51" s="569"/>
      <c r="AV51" s="569"/>
      <c r="AW51" s="569"/>
      <c r="AX51" s="569"/>
      <c r="AY51" s="569"/>
      <c r="AZ51" s="569"/>
    </row>
    <row r="52" spans="1:52" x14ac:dyDescent="0.2">
      <c r="A52" s="569"/>
      <c r="B52" s="595"/>
      <c r="C52" s="595"/>
      <c r="D52" s="595"/>
      <c r="E52" s="595"/>
      <c r="F52" s="595"/>
      <c r="G52" s="595"/>
      <c r="H52" s="595"/>
      <c r="I52" s="595"/>
      <c r="J52" s="595"/>
      <c r="K52" s="569"/>
      <c r="L52" s="569"/>
      <c r="M52" s="569"/>
      <c r="N52" s="569"/>
      <c r="O52" s="569"/>
      <c r="P52" s="569"/>
      <c r="Q52" s="569"/>
      <c r="R52" s="569"/>
      <c r="S52" s="569"/>
      <c r="T52" s="569"/>
      <c r="U52" s="569"/>
      <c r="V52" s="569"/>
      <c r="W52" s="569"/>
      <c r="X52" s="569"/>
      <c r="Y52" s="569"/>
      <c r="Z52" s="569"/>
      <c r="AA52" s="569"/>
      <c r="AB52" s="569"/>
      <c r="AC52" s="569"/>
      <c r="AD52" s="569"/>
      <c r="AE52" s="569"/>
      <c r="AF52" s="569"/>
      <c r="AG52" s="569"/>
      <c r="AH52" s="569"/>
      <c r="AI52" s="569"/>
      <c r="AJ52" s="569"/>
      <c r="AK52" s="569"/>
      <c r="AL52" s="569"/>
      <c r="AM52" s="569"/>
      <c r="AN52" s="569"/>
      <c r="AO52" s="569"/>
      <c r="AP52" s="569"/>
      <c r="AQ52" s="569"/>
      <c r="AR52" s="569"/>
      <c r="AS52" s="569"/>
      <c r="AT52" s="569"/>
      <c r="AU52" s="569"/>
      <c r="AV52" s="569"/>
      <c r="AW52" s="569"/>
      <c r="AX52" s="569"/>
      <c r="AY52" s="569"/>
      <c r="AZ52" s="569"/>
    </row>
    <row r="53" spans="1:52" x14ac:dyDescent="0.2">
      <c r="A53" s="569"/>
      <c r="B53" s="595"/>
      <c r="C53" s="595"/>
      <c r="D53" s="595"/>
      <c r="E53" s="595"/>
      <c r="F53" s="595"/>
      <c r="G53" s="595"/>
      <c r="H53" s="595"/>
      <c r="I53" s="595"/>
      <c r="J53" s="595"/>
      <c r="K53" s="569"/>
      <c r="L53" s="569"/>
      <c r="M53" s="569"/>
      <c r="N53" s="569"/>
      <c r="O53" s="569"/>
      <c r="P53" s="569"/>
      <c r="Q53" s="569"/>
      <c r="R53" s="569"/>
      <c r="S53" s="569"/>
      <c r="T53" s="569"/>
      <c r="U53" s="569"/>
      <c r="V53" s="569"/>
      <c r="W53" s="569"/>
      <c r="X53" s="569"/>
      <c r="Y53" s="569"/>
      <c r="Z53" s="569"/>
      <c r="AA53" s="569"/>
      <c r="AB53" s="569"/>
      <c r="AC53" s="569"/>
      <c r="AD53" s="569"/>
      <c r="AE53" s="569"/>
      <c r="AF53" s="569"/>
      <c r="AG53" s="569"/>
      <c r="AH53" s="569"/>
      <c r="AI53" s="569"/>
      <c r="AJ53" s="569"/>
      <c r="AK53" s="569"/>
      <c r="AL53" s="569"/>
      <c r="AM53" s="569"/>
      <c r="AN53" s="569"/>
      <c r="AO53" s="569"/>
      <c r="AP53" s="569"/>
      <c r="AQ53" s="569"/>
      <c r="AR53" s="569"/>
      <c r="AS53" s="569"/>
      <c r="AT53" s="569"/>
      <c r="AU53" s="569"/>
      <c r="AV53" s="569"/>
      <c r="AW53" s="569"/>
      <c r="AX53" s="569"/>
      <c r="AY53" s="569"/>
      <c r="AZ53" s="569"/>
    </row>
    <row r="54" spans="1:52" x14ac:dyDescent="0.2">
      <c r="A54" s="569"/>
      <c r="B54" s="595"/>
      <c r="C54" s="595"/>
      <c r="D54" s="595"/>
      <c r="E54" s="595"/>
      <c r="F54" s="595"/>
      <c r="G54" s="595"/>
      <c r="H54" s="595"/>
      <c r="I54" s="595"/>
      <c r="J54" s="595"/>
      <c r="K54" s="569"/>
      <c r="L54" s="569"/>
      <c r="M54" s="569"/>
      <c r="N54" s="569"/>
      <c r="O54" s="569"/>
      <c r="P54" s="569"/>
      <c r="Q54" s="569"/>
      <c r="R54" s="569"/>
      <c r="S54" s="569"/>
      <c r="T54" s="569"/>
      <c r="U54" s="569"/>
      <c r="V54" s="569"/>
      <c r="W54" s="569"/>
      <c r="X54" s="569"/>
      <c r="Y54" s="569"/>
      <c r="Z54" s="569"/>
      <c r="AA54" s="569"/>
      <c r="AB54" s="569"/>
      <c r="AC54" s="569"/>
      <c r="AD54" s="569"/>
      <c r="AE54" s="569"/>
      <c r="AF54" s="569"/>
      <c r="AG54" s="569"/>
      <c r="AH54" s="569"/>
      <c r="AI54" s="569"/>
      <c r="AJ54" s="569"/>
      <c r="AK54" s="569"/>
      <c r="AL54" s="569"/>
      <c r="AM54" s="569"/>
      <c r="AN54" s="569"/>
      <c r="AO54" s="569"/>
      <c r="AP54" s="569"/>
      <c r="AQ54" s="569"/>
      <c r="AR54" s="569"/>
      <c r="AS54" s="569"/>
      <c r="AT54" s="569"/>
      <c r="AU54" s="569"/>
      <c r="AV54" s="569"/>
      <c r="AW54" s="569"/>
      <c r="AX54" s="569"/>
      <c r="AY54" s="569"/>
      <c r="AZ54" s="569"/>
    </row>
    <row r="55" spans="1:52" x14ac:dyDescent="0.2">
      <c r="A55" s="569"/>
      <c r="B55" s="595"/>
      <c r="C55" s="595"/>
      <c r="D55" s="595"/>
      <c r="E55" s="595"/>
      <c r="F55" s="595"/>
      <c r="G55" s="595"/>
      <c r="H55" s="595"/>
      <c r="I55" s="595"/>
      <c r="J55" s="595"/>
      <c r="K55" s="569"/>
      <c r="L55" s="569"/>
      <c r="M55" s="569"/>
      <c r="N55" s="569"/>
      <c r="O55" s="569"/>
      <c r="P55" s="569"/>
      <c r="Q55" s="569"/>
      <c r="R55" s="569"/>
      <c r="S55" s="569"/>
      <c r="T55" s="569"/>
      <c r="U55" s="569"/>
      <c r="V55" s="569"/>
      <c r="W55" s="569"/>
      <c r="X55" s="569"/>
      <c r="Y55" s="569"/>
      <c r="Z55" s="569"/>
      <c r="AA55" s="569"/>
      <c r="AB55" s="569"/>
      <c r="AC55" s="569"/>
      <c r="AD55" s="569"/>
      <c r="AE55" s="569"/>
      <c r="AF55" s="569"/>
      <c r="AG55" s="569"/>
      <c r="AH55" s="569"/>
      <c r="AI55" s="569"/>
      <c r="AJ55" s="569"/>
      <c r="AK55" s="569"/>
      <c r="AL55" s="569"/>
      <c r="AM55" s="569"/>
      <c r="AN55" s="569"/>
      <c r="AO55" s="569"/>
      <c r="AP55" s="569"/>
      <c r="AQ55" s="569"/>
      <c r="AR55" s="569"/>
      <c r="AS55" s="569"/>
      <c r="AT55" s="569"/>
      <c r="AU55" s="569"/>
      <c r="AV55" s="569"/>
      <c r="AW55" s="569"/>
      <c r="AX55" s="569"/>
      <c r="AY55" s="569"/>
      <c r="AZ55" s="569"/>
    </row>
    <row r="56" spans="1:52" x14ac:dyDescent="0.2">
      <c r="A56" s="569"/>
      <c r="B56" s="595"/>
      <c r="C56" s="595"/>
      <c r="D56" s="595"/>
      <c r="E56" s="595"/>
      <c r="F56" s="595"/>
      <c r="G56" s="595"/>
      <c r="H56" s="595"/>
      <c r="I56" s="595"/>
      <c r="J56" s="595"/>
      <c r="K56" s="569"/>
      <c r="L56" s="569"/>
      <c r="M56" s="569"/>
      <c r="N56" s="569"/>
      <c r="O56" s="569"/>
      <c r="P56" s="569"/>
      <c r="Q56" s="569"/>
      <c r="R56" s="569"/>
      <c r="S56" s="569"/>
      <c r="T56" s="569"/>
      <c r="U56" s="569"/>
      <c r="V56" s="569"/>
      <c r="W56" s="569"/>
      <c r="X56" s="569"/>
      <c r="Y56" s="569"/>
      <c r="Z56" s="569"/>
      <c r="AA56" s="569"/>
      <c r="AB56" s="569"/>
      <c r="AC56" s="569"/>
      <c r="AD56" s="569"/>
      <c r="AE56" s="569"/>
      <c r="AF56" s="569"/>
      <c r="AG56" s="569"/>
      <c r="AH56" s="569"/>
      <c r="AI56" s="569"/>
      <c r="AJ56" s="569"/>
      <c r="AK56" s="569"/>
      <c r="AL56" s="569"/>
      <c r="AM56" s="569"/>
      <c r="AN56" s="569"/>
      <c r="AO56" s="569"/>
      <c r="AP56" s="569"/>
      <c r="AQ56" s="569"/>
      <c r="AR56" s="569"/>
      <c r="AS56" s="569"/>
      <c r="AT56" s="569"/>
      <c r="AU56" s="569"/>
      <c r="AV56" s="569"/>
      <c r="AW56" s="569"/>
      <c r="AX56" s="569"/>
      <c r="AY56" s="569"/>
      <c r="AZ56" s="569"/>
    </row>
    <row r="57" spans="1:52" x14ac:dyDescent="0.2">
      <c r="A57" s="569"/>
      <c r="B57" s="595"/>
      <c r="C57" s="595"/>
      <c r="D57" s="595"/>
      <c r="E57" s="595"/>
      <c r="F57" s="595"/>
      <c r="G57" s="595"/>
      <c r="H57" s="595"/>
      <c r="I57" s="595"/>
      <c r="J57" s="595"/>
      <c r="K57" s="569"/>
      <c r="L57" s="569"/>
      <c r="M57" s="569"/>
      <c r="N57" s="569"/>
      <c r="O57" s="569"/>
      <c r="P57" s="569"/>
      <c r="Q57" s="569"/>
      <c r="R57" s="569"/>
      <c r="S57" s="569"/>
      <c r="T57" s="569"/>
      <c r="U57" s="569"/>
      <c r="V57" s="569"/>
      <c r="W57" s="569"/>
      <c r="X57" s="569"/>
      <c r="Y57" s="569"/>
      <c r="Z57" s="569"/>
      <c r="AA57" s="569"/>
      <c r="AB57" s="569"/>
      <c r="AC57" s="569"/>
      <c r="AD57" s="569"/>
      <c r="AE57" s="569"/>
      <c r="AF57" s="569"/>
      <c r="AG57" s="569"/>
      <c r="AH57" s="569"/>
      <c r="AI57" s="569"/>
      <c r="AJ57" s="569"/>
      <c r="AK57" s="569"/>
      <c r="AL57" s="569"/>
      <c r="AM57" s="569"/>
      <c r="AN57" s="569"/>
      <c r="AO57" s="569"/>
      <c r="AP57" s="569"/>
      <c r="AQ57" s="569"/>
      <c r="AR57" s="569"/>
      <c r="AS57" s="569"/>
      <c r="AT57" s="569"/>
      <c r="AU57" s="569"/>
      <c r="AV57" s="569"/>
      <c r="AW57" s="569"/>
      <c r="AX57" s="569"/>
      <c r="AY57" s="569"/>
      <c r="AZ57" s="569"/>
    </row>
    <row r="58" spans="1:52" x14ac:dyDescent="0.2">
      <c r="A58" s="569"/>
      <c r="B58" s="595"/>
      <c r="C58" s="595"/>
      <c r="D58" s="595"/>
      <c r="E58" s="595"/>
      <c r="F58" s="595"/>
      <c r="G58" s="595"/>
      <c r="H58" s="595"/>
      <c r="I58" s="595"/>
      <c r="J58" s="595"/>
      <c r="K58" s="569"/>
      <c r="L58" s="569"/>
      <c r="M58" s="569"/>
      <c r="N58" s="569"/>
      <c r="O58" s="569"/>
      <c r="P58" s="569"/>
      <c r="Q58" s="569"/>
      <c r="R58" s="569"/>
      <c r="S58" s="569"/>
      <c r="T58" s="569"/>
      <c r="U58" s="569"/>
      <c r="V58" s="569"/>
      <c r="W58" s="569"/>
      <c r="X58" s="569"/>
      <c r="Y58" s="569"/>
      <c r="Z58" s="569"/>
      <c r="AA58" s="569"/>
      <c r="AB58" s="569"/>
      <c r="AC58" s="569"/>
      <c r="AD58" s="569"/>
      <c r="AE58" s="569"/>
      <c r="AF58" s="569"/>
      <c r="AG58" s="569"/>
      <c r="AH58" s="569"/>
      <c r="AI58" s="569"/>
      <c r="AJ58" s="569"/>
      <c r="AK58" s="569"/>
      <c r="AL58" s="569"/>
      <c r="AM58" s="569"/>
      <c r="AN58" s="569"/>
      <c r="AO58" s="569"/>
      <c r="AP58" s="569"/>
      <c r="AQ58" s="569"/>
      <c r="AR58" s="569"/>
      <c r="AS58" s="569"/>
      <c r="AT58" s="569"/>
      <c r="AU58" s="569"/>
      <c r="AV58" s="569"/>
      <c r="AW58" s="569"/>
      <c r="AX58" s="569"/>
      <c r="AY58" s="569"/>
      <c r="AZ58" s="569"/>
    </row>
    <row r="59" spans="1:52" x14ac:dyDescent="0.2">
      <c r="A59" s="569"/>
      <c r="B59" s="595"/>
      <c r="C59" s="595"/>
      <c r="D59" s="595"/>
      <c r="E59" s="595"/>
      <c r="F59" s="595"/>
      <c r="G59" s="595"/>
      <c r="H59" s="595"/>
      <c r="I59" s="595"/>
      <c r="J59" s="595"/>
      <c r="K59" s="569"/>
      <c r="L59" s="569"/>
      <c r="M59" s="569"/>
      <c r="N59" s="569"/>
      <c r="O59" s="569"/>
      <c r="P59" s="569"/>
      <c r="Q59" s="569"/>
      <c r="R59" s="569"/>
      <c r="S59" s="569"/>
      <c r="T59" s="569"/>
      <c r="U59" s="569"/>
      <c r="V59" s="569"/>
      <c r="W59" s="569"/>
      <c r="X59" s="569"/>
      <c r="Y59" s="569"/>
      <c r="Z59" s="569"/>
      <c r="AA59" s="569"/>
      <c r="AB59" s="569"/>
      <c r="AC59" s="569"/>
      <c r="AD59" s="569"/>
      <c r="AE59" s="569"/>
      <c r="AF59" s="569"/>
      <c r="AG59" s="569"/>
      <c r="AH59" s="569"/>
      <c r="AI59" s="569"/>
      <c r="AJ59" s="569"/>
      <c r="AK59" s="569"/>
      <c r="AL59" s="569"/>
      <c r="AM59" s="569"/>
      <c r="AN59" s="569"/>
      <c r="AO59" s="569"/>
      <c r="AP59" s="569"/>
      <c r="AQ59" s="569"/>
      <c r="AR59" s="569"/>
      <c r="AS59" s="569"/>
      <c r="AT59" s="569"/>
      <c r="AU59" s="569"/>
      <c r="AV59" s="569"/>
      <c r="AW59" s="569"/>
      <c r="AX59" s="569"/>
      <c r="AY59" s="569"/>
      <c r="AZ59" s="569"/>
    </row>
    <row r="60" spans="1:52" x14ac:dyDescent="0.2">
      <c r="A60" s="569"/>
      <c r="B60" s="595"/>
      <c r="C60" s="595"/>
      <c r="D60" s="595"/>
      <c r="E60" s="595"/>
      <c r="F60" s="595"/>
      <c r="G60" s="595"/>
      <c r="H60" s="595"/>
      <c r="I60" s="595"/>
      <c r="J60" s="595"/>
      <c r="K60" s="569"/>
      <c r="L60" s="569"/>
      <c r="M60" s="569"/>
      <c r="N60" s="569"/>
      <c r="O60" s="569"/>
      <c r="P60" s="569"/>
      <c r="Q60" s="569"/>
      <c r="R60" s="569"/>
      <c r="S60" s="569"/>
      <c r="T60" s="569"/>
      <c r="U60" s="569"/>
      <c r="V60" s="569"/>
      <c r="W60" s="569"/>
      <c r="X60" s="569"/>
      <c r="Y60" s="569"/>
      <c r="Z60" s="569"/>
      <c r="AA60" s="569"/>
      <c r="AB60" s="569"/>
      <c r="AC60" s="569"/>
      <c r="AD60" s="569"/>
      <c r="AE60" s="569"/>
      <c r="AF60" s="569"/>
      <c r="AG60" s="569"/>
      <c r="AH60" s="569"/>
      <c r="AI60" s="569"/>
      <c r="AJ60" s="569"/>
      <c r="AK60" s="569"/>
      <c r="AL60" s="569"/>
      <c r="AM60" s="569"/>
      <c r="AN60" s="569"/>
      <c r="AO60" s="569"/>
      <c r="AP60" s="569"/>
      <c r="AQ60" s="569"/>
      <c r="AR60" s="569"/>
      <c r="AS60" s="569"/>
      <c r="AT60" s="569"/>
      <c r="AU60" s="569"/>
      <c r="AV60" s="569"/>
      <c r="AW60" s="569"/>
      <c r="AX60" s="569"/>
      <c r="AY60" s="569"/>
      <c r="AZ60" s="569"/>
    </row>
    <row r="61" spans="1:52" x14ac:dyDescent="0.2">
      <c r="A61" s="569"/>
      <c r="B61" s="595"/>
      <c r="C61" s="595"/>
      <c r="D61" s="595"/>
      <c r="E61" s="595"/>
      <c r="F61" s="595"/>
      <c r="G61" s="595"/>
      <c r="H61" s="595"/>
      <c r="I61" s="595"/>
      <c r="J61" s="595"/>
      <c r="K61" s="569"/>
      <c r="L61" s="569"/>
      <c r="M61" s="569"/>
      <c r="N61" s="569"/>
      <c r="O61" s="569"/>
      <c r="P61" s="569"/>
      <c r="Q61" s="569"/>
      <c r="R61" s="569"/>
      <c r="S61" s="569"/>
      <c r="T61" s="569"/>
      <c r="U61" s="569"/>
      <c r="V61" s="569"/>
      <c r="W61" s="569"/>
      <c r="X61" s="569"/>
      <c r="Y61" s="569"/>
      <c r="Z61" s="569"/>
      <c r="AA61" s="569"/>
      <c r="AB61" s="569"/>
      <c r="AC61" s="569"/>
      <c r="AD61" s="569"/>
      <c r="AE61" s="569"/>
      <c r="AF61" s="569"/>
      <c r="AG61" s="569"/>
      <c r="AH61" s="569"/>
      <c r="AI61" s="569"/>
      <c r="AJ61" s="569"/>
      <c r="AK61" s="569"/>
      <c r="AL61" s="569"/>
      <c r="AM61" s="569"/>
      <c r="AN61" s="569"/>
      <c r="AO61" s="569"/>
      <c r="AP61" s="569"/>
      <c r="AQ61" s="569"/>
      <c r="AR61" s="569"/>
      <c r="AS61" s="569"/>
      <c r="AT61" s="569"/>
      <c r="AU61" s="569"/>
      <c r="AV61" s="569"/>
      <c r="AW61" s="569"/>
      <c r="AX61" s="569"/>
      <c r="AY61" s="569"/>
      <c r="AZ61" s="569"/>
    </row>
    <row r="62" spans="1:52" x14ac:dyDescent="0.2">
      <c r="A62" s="569"/>
      <c r="B62" s="595"/>
      <c r="C62" s="595"/>
      <c r="D62" s="595"/>
      <c r="E62" s="595"/>
      <c r="F62" s="595"/>
      <c r="G62" s="595"/>
      <c r="H62" s="595"/>
      <c r="I62" s="595"/>
      <c r="J62" s="595"/>
      <c r="K62" s="569"/>
      <c r="L62" s="569"/>
      <c r="M62" s="569"/>
      <c r="N62" s="569"/>
      <c r="O62" s="569"/>
      <c r="P62" s="569"/>
      <c r="Q62" s="569"/>
      <c r="R62" s="569"/>
      <c r="S62" s="569"/>
      <c r="T62" s="569"/>
      <c r="U62" s="569"/>
      <c r="V62" s="569"/>
      <c r="W62" s="569"/>
      <c r="X62" s="569"/>
      <c r="Y62" s="569"/>
      <c r="Z62" s="569"/>
      <c r="AA62" s="569"/>
      <c r="AB62" s="569"/>
      <c r="AC62" s="569"/>
      <c r="AD62" s="569"/>
      <c r="AE62" s="569"/>
      <c r="AF62" s="569"/>
      <c r="AG62" s="569"/>
      <c r="AH62" s="569"/>
      <c r="AI62" s="569"/>
      <c r="AJ62" s="569"/>
      <c r="AK62" s="569"/>
      <c r="AL62" s="569"/>
      <c r="AM62" s="569"/>
      <c r="AN62" s="569"/>
      <c r="AO62" s="569"/>
      <c r="AP62" s="569"/>
      <c r="AQ62" s="569"/>
      <c r="AR62" s="569"/>
      <c r="AS62" s="569"/>
      <c r="AT62" s="569"/>
      <c r="AU62" s="569"/>
      <c r="AV62" s="569"/>
      <c r="AW62" s="569"/>
      <c r="AX62" s="569"/>
      <c r="AY62" s="569"/>
      <c r="AZ62" s="569"/>
    </row>
    <row r="63" spans="1:52" x14ac:dyDescent="0.2">
      <c r="A63" s="569"/>
      <c r="B63" s="595"/>
      <c r="C63" s="595"/>
      <c r="D63" s="595"/>
      <c r="E63" s="595"/>
      <c r="F63" s="595"/>
      <c r="G63" s="595"/>
      <c r="H63" s="595"/>
      <c r="I63" s="595"/>
      <c r="J63" s="595"/>
      <c r="K63" s="569"/>
      <c r="L63" s="569"/>
      <c r="M63" s="569"/>
      <c r="N63" s="569"/>
      <c r="O63" s="569"/>
      <c r="P63" s="569"/>
      <c r="Q63" s="569"/>
      <c r="R63" s="569"/>
      <c r="S63" s="569"/>
      <c r="T63" s="569"/>
      <c r="U63" s="569"/>
      <c r="V63" s="569"/>
      <c r="W63" s="569"/>
      <c r="X63" s="569"/>
      <c r="Y63" s="569"/>
      <c r="Z63" s="569"/>
      <c r="AA63" s="569"/>
      <c r="AB63" s="569"/>
      <c r="AC63" s="569"/>
      <c r="AD63" s="569"/>
      <c r="AE63" s="569"/>
      <c r="AF63" s="569"/>
      <c r="AG63" s="569"/>
      <c r="AH63" s="569"/>
      <c r="AI63" s="569"/>
      <c r="AJ63" s="569"/>
      <c r="AK63" s="569"/>
      <c r="AL63" s="569"/>
      <c r="AM63" s="569"/>
      <c r="AN63" s="569"/>
      <c r="AO63" s="569"/>
      <c r="AP63" s="569"/>
      <c r="AQ63" s="569"/>
      <c r="AR63" s="569"/>
      <c r="AS63" s="569"/>
      <c r="AT63" s="569"/>
      <c r="AU63" s="569"/>
      <c r="AV63" s="569"/>
      <c r="AW63" s="569"/>
      <c r="AX63" s="569"/>
      <c r="AY63" s="569"/>
      <c r="AZ63" s="569"/>
    </row>
    <row r="64" spans="1:52" x14ac:dyDescent="0.2">
      <c r="A64" s="569"/>
      <c r="B64" s="595"/>
      <c r="C64" s="595"/>
      <c r="D64" s="595"/>
      <c r="E64" s="595"/>
      <c r="F64" s="595"/>
      <c r="G64" s="595"/>
      <c r="H64" s="595"/>
      <c r="I64" s="595"/>
      <c r="J64" s="595"/>
      <c r="K64" s="569"/>
      <c r="L64" s="569"/>
      <c r="M64" s="569"/>
      <c r="N64" s="569"/>
      <c r="O64" s="569"/>
      <c r="P64" s="569"/>
      <c r="Q64" s="569"/>
      <c r="R64" s="569"/>
      <c r="S64" s="569"/>
      <c r="T64" s="569"/>
      <c r="U64" s="569"/>
      <c r="V64" s="569"/>
      <c r="W64" s="569"/>
      <c r="X64" s="569"/>
      <c r="Y64" s="569"/>
      <c r="Z64" s="569"/>
      <c r="AA64" s="569"/>
      <c r="AB64" s="569"/>
      <c r="AC64" s="569"/>
      <c r="AD64" s="569"/>
      <c r="AE64" s="569"/>
      <c r="AF64" s="569"/>
      <c r="AG64" s="569"/>
      <c r="AH64" s="569"/>
      <c r="AI64" s="569"/>
      <c r="AJ64" s="569"/>
      <c r="AK64" s="569"/>
      <c r="AL64" s="569"/>
      <c r="AM64" s="569"/>
      <c r="AN64" s="569"/>
      <c r="AO64" s="569"/>
      <c r="AP64" s="569"/>
      <c r="AQ64" s="569"/>
      <c r="AR64" s="569"/>
      <c r="AS64" s="569"/>
      <c r="AT64" s="569"/>
      <c r="AU64" s="569"/>
      <c r="AV64" s="569"/>
      <c r="AW64" s="569"/>
      <c r="AX64" s="569"/>
      <c r="AY64" s="569"/>
      <c r="AZ64" s="569"/>
    </row>
    <row r="65" spans="1:52" x14ac:dyDescent="0.2">
      <c r="A65" s="569"/>
      <c r="B65" s="595"/>
      <c r="C65" s="595"/>
      <c r="D65" s="595"/>
      <c r="E65" s="595"/>
      <c r="F65" s="595"/>
      <c r="G65" s="595"/>
      <c r="H65" s="595"/>
      <c r="I65" s="595"/>
      <c r="J65" s="595"/>
      <c r="K65" s="569"/>
      <c r="L65" s="569"/>
      <c r="M65" s="569"/>
      <c r="N65" s="569"/>
      <c r="O65" s="569"/>
      <c r="P65" s="569"/>
      <c r="Q65" s="569"/>
      <c r="R65" s="569"/>
      <c r="S65" s="569"/>
      <c r="T65" s="569"/>
      <c r="U65" s="569"/>
      <c r="V65" s="569"/>
      <c r="W65" s="569"/>
      <c r="X65" s="569"/>
      <c r="Y65" s="569"/>
      <c r="Z65" s="569"/>
      <c r="AA65" s="569"/>
      <c r="AB65" s="569"/>
      <c r="AC65" s="569"/>
      <c r="AD65" s="569"/>
      <c r="AE65" s="569"/>
      <c r="AF65" s="569"/>
      <c r="AG65" s="569"/>
      <c r="AH65" s="569"/>
      <c r="AI65" s="569"/>
      <c r="AJ65" s="569"/>
      <c r="AK65" s="569"/>
      <c r="AL65" s="569"/>
      <c r="AM65" s="569"/>
      <c r="AN65" s="569"/>
      <c r="AO65" s="569"/>
      <c r="AP65" s="569"/>
      <c r="AQ65" s="569"/>
      <c r="AR65" s="569"/>
      <c r="AS65" s="569"/>
      <c r="AT65" s="569"/>
      <c r="AU65" s="569"/>
      <c r="AV65" s="569"/>
      <c r="AW65" s="569"/>
      <c r="AX65" s="569"/>
      <c r="AY65" s="569"/>
      <c r="AZ65" s="569"/>
    </row>
    <row r="66" spans="1:52" x14ac:dyDescent="0.2">
      <c r="A66" s="569"/>
      <c r="B66" s="595"/>
      <c r="C66" s="595"/>
      <c r="D66" s="595"/>
      <c r="E66" s="595"/>
      <c r="F66" s="595"/>
      <c r="G66" s="595"/>
      <c r="H66" s="595"/>
      <c r="I66" s="595"/>
      <c r="J66" s="595"/>
      <c r="K66" s="569"/>
      <c r="L66" s="569"/>
      <c r="M66" s="569"/>
      <c r="N66" s="569"/>
      <c r="O66" s="569"/>
      <c r="P66" s="569"/>
      <c r="Q66" s="569"/>
      <c r="R66" s="569"/>
      <c r="S66" s="569"/>
      <c r="T66" s="569"/>
      <c r="U66" s="569"/>
      <c r="V66" s="569"/>
      <c r="W66" s="569"/>
      <c r="X66" s="569"/>
      <c r="Y66" s="569"/>
      <c r="Z66" s="569"/>
      <c r="AA66" s="569"/>
      <c r="AB66" s="569"/>
      <c r="AC66" s="569"/>
      <c r="AD66" s="569"/>
      <c r="AE66" s="569"/>
      <c r="AF66" s="569"/>
      <c r="AG66" s="569"/>
      <c r="AH66" s="569"/>
      <c r="AI66" s="569"/>
      <c r="AJ66" s="569"/>
      <c r="AK66" s="569"/>
      <c r="AL66" s="569"/>
      <c r="AM66" s="569"/>
      <c r="AN66" s="569"/>
      <c r="AO66" s="569"/>
      <c r="AP66" s="569"/>
      <c r="AQ66" s="569"/>
      <c r="AR66" s="569"/>
      <c r="AS66" s="569"/>
      <c r="AT66" s="569"/>
      <c r="AU66" s="569"/>
      <c r="AV66" s="569"/>
      <c r="AW66" s="569"/>
      <c r="AX66" s="569"/>
      <c r="AY66" s="569"/>
      <c r="AZ66" s="569"/>
    </row>
    <row r="67" spans="1:52" x14ac:dyDescent="0.2">
      <c r="A67" s="569"/>
      <c r="B67" s="595"/>
      <c r="C67" s="595"/>
      <c r="D67" s="595"/>
      <c r="E67" s="595"/>
      <c r="F67" s="595"/>
      <c r="G67" s="595"/>
      <c r="H67" s="595"/>
      <c r="I67" s="595"/>
      <c r="J67" s="595"/>
      <c r="K67" s="569"/>
      <c r="L67" s="569"/>
      <c r="M67" s="569"/>
      <c r="N67" s="569"/>
      <c r="O67" s="569"/>
      <c r="P67" s="569"/>
      <c r="Q67" s="569"/>
      <c r="R67" s="569"/>
      <c r="S67" s="569"/>
      <c r="T67" s="569"/>
      <c r="U67" s="569"/>
      <c r="V67" s="569"/>
      <c r="W67" s="569"/>
      <c r="X67" s="569"/>
      <c r="Y67" s="569"/>
      <c r="Z67" s="569"/>
      <c r="AA67" s="569"/>
      <c r="AB67" s="569"/>
      <c r="AC67" s="569"/>
      <c r="AD67" s="569"/>
      <c r="AE67" s="569"/>
      <c r="AF67" s="569"/>
      <c r="AG67" s="569"/>
      <c r="AH67" s="569"/>
      <c r="AI67" s="569"/>
      <c r="AJ67" s="569"/>
      <c r="AK67" s="569"/>
      <c r="AL67" s="569"/>
      <c r="AM67" s="569"/>
      <c r="AN67" s="569"/>
      <c r="AO67" s="569"/>
      <c r="AP67" s="569"/>
      <c r="AQ67" s="569"/>
      <c r="AR67" s="569"/>
      <c r="AS67" s="569"/>
      <c r="AT67" s="569"/>
      <c r="AU67" s="569"/>
      <c r="AV67" s="569"/>
      <c r="AW67" s="569"/>
      <c r="AX67" s="569"/>
      <c r="AY67" s="569"/>
      <c r="AZ67" s="569"/>
    </row>
    <row r="68" spans="1:52" x14ac:dyDescent="0.2">
      <c r="A68" s="569"/>
      <c r="B68" s="595"/>
      <c r="C68" s="595"/>
      <c r="D68" s="595"/>
      <c r="E68" s="595"/>
      <c r="F68" s="595"/>
      <c r="G68" s="595"/>
      <c r="H68" s="595"/>
      <c r="I68" s="595"/>
      <c r="J68" s="595"/>
      <c r="K68" s="569"/>
      <c r="L68" s="569"/>
      <c r="M68" s="569"/>
      <c r="N68" s="569"/>
      <c r="O68" s="569"/>
      <c r="P68" s="569"/>
      <c r="Q68" s="569"/>
      <c r="R68" s="569"/>
      <c r="S68" s="569"/>
      <c r="T68" s="569"/>
      <c r="U68" s="569"/>
      <c r="V68" s="569"/>
      <c r="W68" s="569"/>
      <c r="X68" s="569"/>
      <c r="Y68" s="569"/>
      <c r="Z68" s="569"/>
      <c r="AA68" s="569"/>
      <c r="AB68" s="569"/>
      <c r="AC68" s="569"/>
      <c r="AD68" s="569"/>
      <c r="AE68" s="569"/>
      <c r="AF68" s="569"/>
      <c r="AG68" s="569"/>
      <c r="AH68" s="569"/>
      <c r="AI68" s="569"/>
      <c r="AJ68" s="569"/>
      <c r="AK68" s="569"/>
      <c r="AL68" s="569"/>
      <c r="AM68" s="569"/>
      <c r="AN68" s="569"/>
      <c r="AO68" s="569"/>
      <c r="AP68" s="569"/>
      <c r="AQ68" s="569"/>
      <c r="AR68" s="569"/>
      <c r="AS68" s="569"/>
      <c r="AT68" s="569"/>
      <c r="AU68" s="569"/>
      <c r="AV68" s="569"/>
      <c r="AW68" s="569"/>
      <c r="AX68" s="569"/>
      <c r="AY68" s="569"/>
      <c r="AZ68" s="569"/>
    </row>
    <row r="69" spans="1:52" x14ac:dyDescent="0.2">
      <c r="A69" s="569"/>
      <c r="B69" s="595"/>
      <c r="C69" s="595"/>
      <c r="D69" s="595"/>
      <c r="E69" s="595"/>
      <c r="F69" s="595"/>
      <c r="G69" s="595"/>
      <c r="H69" s="595"/>
      <c r="I69" s="595"/>
      <c r="J69" s="595"/>
      <c r="K69" s="569"/>
      <c r="L69" s="569"/>
      <c r="M69" s="569"/>
      <c r="N69" s="569"/>
      <c r="O69" s="569"/>
      <c r="P69" s="569"/>
      <c r="Q69" s="569"/>
      <c r="R69" s="569"/>
      <c r="S69" s="569"/>
      <c r="T69" s="569"/>
      <c r="U69" s="569"/>
      <c r="V69" s="569"/>
      <c r="W69" s="569"/>
      <c r="X69" s="569"/>
      <c r="Y69" s="569"/>
      <c r="Z69" s="569"/>
      <c r="AA69" s="569"/>
      <c r="AB69" s="569"/>
      <c r="AC69" s="569"/>
      <c r="AD69" s="569"/>
      <c r="AE69" s="569"/>
      <c r="AF69" s="569"/>
      <c r="AG69" s="569"/>
      <c r="AH69" s="569"/>
      <c r="AI69" s="569"/>
      <c r="AJ69" s="569"/>
      <c r="AK69" s="569"/>
      <c r="AL69" s="569"/>
      <c r="AM69" s="569"/>
      <c r="AN69" s="569"/>
      <c r="AO69" s="569"/>
      <c r="AP69" s="569"/>
      <c r="AQ69" s="569"/>
      <c r="AR69" s="569"/>
      <c r="AS69" s="569"/>
      <c r="AT69" s="569"/>
      <c r="AU69" s="569"/>
      <c r="AV69" s="569"/>
      <c r="AW69" s="569"/>
      <c r="AX69" s="569"/>
      <c r="AY69" s="569"/>
      <c r="AZ69" s="569"/>
    </row>
    <row r="70" spans="1:52" x14ac:dyDescent="0.2">
      <c r="A70" s="569"/>
      <c r="B70" s="595"/>
      <c r="C70" s="595"/>
      <c r="D70" s="595"/>
      <c r="E70" s="595"/>
      <c r="F70" s="595"/>
      <c r="G70" s="595"/>
      <c r="H70" s="595"/>
      <c r="I70" s="595"/>
      <c r="J70" s="595"/>
      <c r="K70" s="569"/>
      <c r="L70" s="569"/>
      <c r="M70" s="569"/>
      <c r="N70" s="569"/>
      <c r="O70" s="569"/>
      <c r="P70" s="569"/>
      <c r="Q70" s="569"/>
      <c r="R70" s="569"/>
      <c r="S70" s="569"/>
      <c r="T70" s="569"/>
      <c r="U70" s="569"/>
      <c r="V70" s="569"/>
      <c r="W70" s="569"/>
      <c r="X70" s="569"/>
      <c r="Y70" s="569"/>
      <c r="Z70" s="569"/>
      <c r="AA70" s="569"/>
      <c r="AB70" s="569"/>
      <c r="AC70" s="569"/>
      <c r="AD70" s="569"/>
      <c r="AE70" s="569"/>
      <c r="AF70" s="569"/>
      <c r="AG70" s="569"/>
      <c r="AH70" s="569"/>
      <c r="AI70" s="569"/>
      <c r="AJ70" s="569"/>
      <c r="AK70" s="569"/>
      <c r="AL70" s="569"/>
      <c r="AM70" s="569"/>
      <c r="AN70" s="569"/>
      <c r="AO70" s="569"/>
      <c r="AP70" s="569"/>
      <c r="AQ70" s="569"/>
      <c r="AR70" s="569"/>
      <c r="AS70" s="569"/>
      <c r="AT70" s="569"/>
      <c r="AU70" s="569"/>
      <c r="AV70" s="569"/>
      <c r="AW70" s="569"/>
      <c r="AX70" s="569"/>
      <c r="AY70" s="569"/>
      <c r="AZ70" s="569"/>
    </row>
    <row r="71" spans="1:52" x14ac:dyDescent="0.2">
      <c r="A71" s="569"/>
      <c r="B71" s="595"/>
      <c r="C71" s="595"/>
      <c r="D71" s="595"/>
      <c r="E71" s="595"/>
      <c r="F71" s="595"/>
      <c r="G71" s="595"/>
      <c r="H71" s="595"/>
      <c r="I71" s="595"/>
      <c r="J71" s="595"/>
      <c r="K71" s="569"/>
      <c r="L71" s="569"/>
      <c r="M71" s="569"/>
      <c r="N71" s="569"/>
      <c r="O71" s="569"/>
      <c r="P71" s="569"/>
      <c r="Q71" s="569"/>
      <c r="R71" s="569"/>
      <c r="S71" s="569"/>
      <c r="T71" s="569"/>
      <c r="U71" s="569"/>
      <c r="V71" s="569"/>
      <c r="W71" s="569"/>
      <c r="X71" s="569"/>
      <c r="Y71" s="569"/>
      <c r="Z71" s="569"/>
      <c r="AA71" s="569"/>
      <c r="AB71" s="569"/>
      <c r="AC71" s="569"/>
      <c r="AD71" s="569"/>
      <c r="AE71" s="569"/>
      <c r="AF71" s="569"/>
      <c r="AG71" s="569"/>
      <c r="AH71" s="569"/>
      <c r="AI71" s="569"/>
      <c r="AJ71" s="569"/>
      <c r="AK71" s="569"/>
      <c r="AL71" s="569"/>
      <c r="AM71" s="569"/>
      <c r="AN71" s="569"/>
      <c r="AO71" s="569"/>
      <c r="AP71" s="569"/>
      <c r="AQ71" s="569"/>
      <c r="AR71" s="569"/>
      <c r="AS71" s="569"/>
      <c r="AT71" s="569"/>
      <c r="AU71" s="569"/>
      <c r="AV71" s="569"/>
      <c r="AW71" s="569"/>
      <c r="AX71" s="569"/>
      <c r="AY71" s="569"/>
      <c r="AZ71" s="569"/>
    </row>
    <row r="72" spans="1:52" x14ac:dyDescent="0.2">
      <c r="A72" s="569"/>
      <c r="B72" s="595"/>
      <c r="C72" s="595"/>
      <c r="D72" s="595"/>
      <c r="E72" s="595"/>
      <c r="F72" s="595"/>
      <c r="G72" s="595"/>
      <c r="H72" s="595"/>
      <c r="I72" s="595"/>
      <c r="J72" s="595"/>
      <c r="K72" s="569"/>
      <c r="L72" s="569"/>
      <c r="M72" s="569"/>
      <c r="N72" s="569"/>
      <c r="O72" s="569"/>
      <c r="P72" s="569"/>
      <c r="Q72" s="569"/>
      <c r="R72" s="569"/>
      <c r="S72" s="569"/>
      <c r="T72" s="569"/>
      <c r="U72" s="569"/>
      <c r="V72" s="569"/>
      <c r="W72" s="569"/>
      <c r="X72" s="569"/>
      <c r="Y72" s="569"/>
      <c r="Z72" s="569"/>
      <c r="AA72" s="569"/>
      <c r="AB72" s="569"/>
      <c r="AC72" s="569"/>
      <c r="AD72" s="569"/>
      <c r="AE72" s="569"/>
      <c r="AF72" s="569"/>
      <c r="AG72" s="569"/>
      <c r="AH72" s="569"/>
      <c r="AI72" s="569"/>
      <c r="AJ72" s="569"/>
      <c r="AK72" s="569"/>
      <c r="AL72" s="569"/>
      <c r="AM72" s="569"/>
      <c r="AN72" s="569"/>
      <c r="AO72" s="569"/>
      <c r="AP72" s="569"/>
      <c r="AQ72" s="569"/>
      <c r="AR72" s="569"/>
      <c r="AS72" s="569"/>
      <c r="AT72" s="569"/>
      <c r="AU72" s="569"/>
      <c r="AV72" s="569"/>
      <c r="AW72" s="569"/>
      <c r="AX72" s="569"/>
      <c r="AY72" s="569"/>
      <c r="AZ72" s="569"/>
    </row>
    <row r="73" spans="1:52" x14ac:dyDescent="0.2">
      <c r="A73" s="569"/>
      <c r="B73" s="595"/>
      <c r="C73" s="595"/>
      <c r="D73" s="595"/>
      <c r="E73" s="595"/>
      <c r="F73" s="595"/>
      <c r="G73" s="595"/>
      <c r="H73" s="595"/>
      <c r="I73" s="595"/>
      <c r="J73" s="595"/>
      <c r="K73" s="569"/>
      <c r="L73" s="569"/>
      <c r="M73" s="569"/>
      <c r="N73" s="569"/>
      <c r="O73" s="569"/>
      <c r="P73" s="569"/>
      <c r="Q73" s="569"/>
      <c r="R73" s="569"/>
      <c r="S73" s="569"/>
      <c r="T73" s="569"/>
      <c r="U73" s="569"/>
      <c r="V73" s="569"/>
      <c r="W73" s="569"/>
      <c r="X73" s="569"/>
      <c r="Y73" s="569"/>
      <c r="Z73" s="569"/>
      <c r="AA73" s="569"/>
      <c r="AB73" s="569"/>
      <c r="AC73" s="569"/>
      <c r="AD73" s="569"/>
      <c r="AE73" s="569"/>
      <c r="AF73" s="569"/>
      <c r="AG73" s="569"/>
      <c r="AH73" s="569"/>
      <c r="AI73" s="569"/>
      <c r="AJ73" s="569"/>
      <c r="AK73" s="569"/>
      <c r="AL73" s="569"/>
      <c r="AM73" s="569"/>
      <c r="AN73" s="569"/>
      <c r="AO73" s="569"/>
      <c r="AP73" s="569"/>
      <c r="AQ73" s="569"/>
      <c r="AR73" s="569"/>
      <c r="AS73" s="569"/>
      <c r="AT73" s="569"/>
      <c r="AU73" s="569"/>
      <c r="AV73" s="569"/>
      <c r="AW73" s="569"/>
      <c r="AX73" s="569"/>
      <c r="AY73" s="569"/>
      <c r="AZ73" s="569"/>
    </row>
    <row r="74" spans="1:52" x14ac:dyDescent="0.2">
      <c r="A74" s="569"/>
      <c r="B74" s="595"/>
      <c r="C74" s="595"/>
      <c r="D74" s="595"/>
      <c r="E74" s="595"/>
      <c r="F74" s="595"/>
      <c r="G74" s="595"/>
      <c r="H74" s="595"/>
      <c r="I74" s="595"/>
      <c r="J74" s="595"/>
      <c r="K74" s="569"/>
      <c r="L74" s="569"/>
      <c r="M74" s="569"/>
      <c r="N74" s="569"/>
      <c r="O74" s="569"/>
      <c r="P74" s="569"/>
      <c r="Q74" s="569"/>
      <c r="R74" s="569"/>
      <c r="S74" s="569"/>
      <c r="T74" s="569"/>
      <c r="U74" s="569"/>
      <c r="V74" s="569"/>
      <c r="W74" s="569"/>
      <c r="X74" s="569"/>
      <c r="Y74" s="569"/>
      <c r="Z74" s="569"/>
      <c r="AA74" s="569"/>
      <c r="AB74" s="569"/>
      <c r="AC74" s="569"/>
      <c r="AD74" s="569"/>
      <c r="AE74" s="569"/>
      <c r="AF74" s="569"/>
      <c r="AG74" s="569"/>
      <c r="AH74" s="569"/>
      <c r="AI74" s="569"/>
      <c r="AJ74" s="569"/>
      <c r="AK74" s="569"/>
      <c r="AL74" s="569"/>
      <c r="AM74" s="569"/>
      <c r="AN74" s="569"/>
      <c r="AO74" s="569"/>
      <c r="AP74" s="569"/>
      <c r="AQ74" s="569"/>
      <c r="AR74" s="569"/>
      <c r="AS74" s="569"/>
      <c r="AT74" s="569"/>
      <c r="AU74" s="569"/>
      <c r="AV74" s="569"/>
      <c r="AW74" s="569"/>
      <c r="AX74" s="569"/>
      <c r="AY74" s="569"/>
      <c r="AZ74" s="569"/>
    </row>
    <row r="75" spans="1:52" x14ac:dyDescent="0.2">
      <c r="A75" s="569"/>
      <c r="B75" s="595"/>
      <c r="C75" s="595"/>
      <c r="D75" s="595"/>
      <c r="E75" s="595"/>
      <c r="F75" s="595"/>
      <c r="G75" s="595"/>
      <c r="H75" s="595"/>
      <c r="I75" s="595"/>
      <c r="J75" s="595"/>
      <c r="K75" s="569"/>
      <c r="L75" s="569"/>
      <c r="M75" s="569"/>
      <c r="N75" s="569"/>
      <c r="O75" s="569"/>
      <c r="P75" s="569"/>
      <c r="Q75" s="569"/>
      <c r="R75" s="569"/>
      <c r="S75" s="569"/>
      <c r="T75" s="569"/>
      <c r="U75" s="569"/>
      <c r="V75" s="569"/>
      <c r="W75" s="569"/>
      <c r="X75" s="569"/>
      <c r="Y75" s="569"/>
      <c r="Z75" s="569"/>
      <c r="AA75" s="569"/>
      <c r="AB75" s="569"/>
      <c r="AC75" s="569"/>
      <c r="AD75" s="569"/>
      <c r="AE75" s="569"/>
      <c r="AF75" s="569"/>
      <c r="AG75" s="569"/>
      <c r="AH75" s="569"/>
      <c r="AI75" s="569"/>
      <c r="AJ75" s="569"/>
      <c r="AK75" s="569"/>
      <c r="AL75" s="569"/>
      <c r="AM75" s="569"/>
      <c r="AN75" s="569"/>
      <c r="AO75" s="569"/>
      <c r="AP75" s="569"/>
      <c r="AQ75" s="569"/>
      <c r="AR75" s="569"/>
      <c r="AS75" s="569"/>
      <c r="AT75" s="569"/>
      <c r="AU75" s="569"/>
      <c r="AV75" s="569"/>
      <c r="AW75" s="569"/>
      <c r="AX75" s="569"/>
      <c r="AY75" s="569"/>
      <c r="AZ75" s="569"/>
    </row>
    <row r="76" spans="1:52" x14ac:dyDescent="0.2">
      <c r="A76" s="569"/>
      <c r="B76" s="595"/>
      <c r="C76" s="595"/>
      <c r="D76" s="595"/>
      <c r="E76" s="595"/>
      <c r="F76" s="595"/>
      <c r="G76" s="595"/>
      <c r="H76" s="595"/>
      <c r="I76" s="595"/>
      <c r="J76" s="595"/>
      <c r="K76" s="569"/>
      <c r="L76" s="569"/>
      <c r="M76" s="569"/>
      <c r="N76" s="569"/>
      <c r="O76" s="569"/>
      <c r="P76" s="569"/>
      <c r="Q76" s="569"/>
      <c r="R76" s="569"/>
      <c r="S76" s="569"/>
      <c r="T76" s="569"/>
      <c r="U76" s="569"/>
      <c r="V76" s="569"/>
      <c r="W76" s="569"/>
      <c r="X76" s="569"/>
      <c r="Y76" s="569"/>
      <c r="Z76" s="569"/>
      <c r="AA76" s="569"/>
      <c r="AB76" s="569"/>
      <c r="AC76" s="569"/>
      <c r="AD76" s="569"/>
      <c r="AE76" s="569"/>
      <c r="AF76" s="569"/>
      <c r="AG76" s="569"/>
      <c r="AH76" s="569"/>
      <c r="AI76" s="569"/>
      <c r="AJ76" s="569"/>
      <c r="AK76" s="569"/>
      <c r="AL76" s="569"/>
      <c r="AM76" s="569"/>
      <c r="AN76" s="569"/>
      <c r="AO76" s="569"/>
      <c r="AP76" s="569"/>
      <c r="AQ76" s="569"/>
      <c r="AR76" s="569"/>
      <c r="AS76" s="569"/>
      <c r="AT76" s="569"/>
      <c r="AU76" s="569"/>
      <c r="AV76" s="569"/>
      <c r="AW76" s="569"/>
      <c r="AX76" s="569"/>
      <c r="AY76" s="569"/>
      <c r="AZ76" s="569"/>
    </row>
    <row r="77" spans="1:52" x14ac:dyDescent="0.2">
      <c r="A77" s="569"/>
      <c r="B77" s="595"/>
      <c r="C77" s="595"/>
      <c r="D77" s="595"/>
      <c r="E77" s="595"/>
      <c r="F77" s="595"/>
      <c r="G77" s="595"/>
      <c r="H77" s="595"/>
      <c r="I77" s="595"/>
      <c r="J77" s="595"/>
      <c r="K77" s="569"/>
      <c r="L77" s="569"/>
      <c r="M77" s="569"/>
      <c r="N77" s="569"/>
      <c r="O77" s="569"/>
      <c r="P77" s="569"/>
      <c r="Q77" s="569"/>
      <c r="R77" s="569"/>
      <c r="S77" s="569"/>
      <c r="T77" s="569"/>
      <c r="U77" s="569"/>
      <c r="V77" s="569"/>
      <c r="W77" s="569"/>
      <c r="X77" s="569"/>
      <c r="Y77" s="569"/>
      <c r="Z77" s="569"/>
      <c r="AA77" s="569"/>
      <c r="AB77" s="569"/>
      <c r="AC77" s="569"/>
      <c r="AD77" s="569"/>
      <c r="AE77" s="569"/>
      <c r="AF77" s="569"/>
      <c r="AG77" s="569"/>
      <c r="AH77" s="569"/>
      <c r="AI77" s="569"/>
      <c r="AJ77" s="569"/>
      <c r="AK77" s="569"/>
      <c r="AL77" s="569"/>
      <c r="AM77" s="569"/>
      <c r="AN77" s="569"/>
      <c r="AO77" s="569"/>
      <c r="AP77" s="569"/>
      <c r="AQ77" s="569"/>
      <c r="AR77" s="569"/>
      <c r="AS77" s="569"/>
      <c r="AT77" s="569"/>
      <c r="AU77" s="569"/>
      <c r="AV77" s="569"/>
      <c r="AW77" s="569"/>
      <c r="AX77" s="569"/>
      <c r="AY77" s="569"/>
      <c r="AZ77" s="569"/>
    </row>
    <row r="78" spans="1:52" x14ac:dyDescent="0.2">
      <c r="A78" s="569"/>
      <c r="B78" s="595"/>
      <c r="C78" s="595"/>
      <c r="D78" s="595"/>
      <c r="E78" s="595"/>
      <c r="F78" s="595"/>
      <c r="G78" s="595"/>
      <c r="H78" s="595"/>
      <c r="I78" s="595"/>
      <c r="J78" s="595"/>
      <c r="K78" s="569"/>
      <c r="L78" s="569"/>
      <c r="M78" s="569"/>
      <c r="N78" s="569"/>
      <c r="O78" s="569"/>
      <c r="P78" s="569"/>
      <c r="Q78" s="569"/>
      <c r="R78" s="569"/>
      <c r="S78" s="569"/>
      <c r="T78" s="569"/>
      <c r="U78" s="569"/>
      <c r="V78" s="569"/>
      <c r="W78" s="569"/>
      <c r="X78" s="569"/>
      <c r="Y78" s="569"/>
      <c r="Z78" s="569"/>
      <c r="AA78" s="569"/>
      <c r="AB78" s="569"/>
      <c r="AC78" s="569"/>
      <c r="AD78" s="569"/>
      <c r="AE78" s="569"/>
      <c r="AF78" s="569"/>
      <c r="AG78" s="569"/>
      <c r="AH78" s="569"/>
      <c r="AI78" s="569"/>
      <c r="AJ78" s="569"/>
      <c r="AK78" s="569"/>
      <c r="AL78" s="569"/>
      <c r="AM78" s="569"/>
      <c r="AN78" s="569"/>
      <c r="AO78" s="569"/>
      <c r="AP78" s="569"/>
      <c r="AQ78" s="569"/>
      <c r="AR78" s="569"/>
      <c r="AS78" s="569"/>
      <c r="AT78" s="569"/>
      <c r="AU78" s="569"/>
      <c r="AV78" s="569"/>
      <c r="AW78" s="569"/>
      <c r="AX78" s="569"/>
      <c r="AY78" s="569"/>
      <c r="AZ78" s="569"/>
    </row>
    <row r="79" spans="1:52" x14ac:dyDescent="0.2">
      <c r="A79" s="569"/>
      <c r="B79" s="595"/>
      <c r="C79" s="595"/>
      <c r="D79" s="595"/>
      <c r="E79" s="595"/>
      <c r="F79" s="595"/>
      <c r="G79" s="595"/>
      <c r="H79" s="595"/>
      <c r="I79" s="595"/>
      <c r="J79" s="595"/>
      <c r="K79" s="569"/>
      <c r="L79" s="569"/>
      <c r="M79" s="569"/>
      <c r="N79" s="569"/>
      <c r="O79" s="569"/>
      <c r="P79" s="569"/>
      <c r="Q79" s="569"/>
      <c r="R79" s="569"/>
      <c r="S79" s="569"/>
      <c r="T79" s="569"/>
      <c r="U79" s="569"/>
      <c r="V79" s="569"/>
      <c r="W79" s="569"/>
      <c r="X79" s="569"/>
      <c r="Y79" s="569"/>
      <c r="Z79" s="569"/>
      <c r="AA79" s="569"/>
      <c r="AB79" s="569"/>
      <c r="AC79" s="569"/>
      <c r="AD79" s="569"/>
      <c r="AE79" s="569"/>
      <c r="AF79" s="569"/>
      <c r="AG79" s="569"/>
      <c r="AH79" s="569"/>
      <c r="AI79" s="569"/>
      <c r="AJ79" s="569"/>
      <c r="AK79" s="569"/>
      <c r="AL79" s="569"/>
      <c r="AM79" s="569"/>
      <c r="AN79" s="569"/>
      <c r="AO79" s="569"/>
      <c r="AP79" s="569"/>
      <c r="AQ79" s="569"/>
      <c r="AR79" s="569"/>
      <c r="AS79" s="569"/>
      <c r="AT79" s="569"/>
      <c r="AU79" s="569"/>
      <c r="AV79" s="569"/>
      <c r="AW79" s="569"/>
      <c r="AX79" s="569"/>
      <c r="AY79" s="569"/>
      <c r="AZ79" s="569"/>
    </row>
    <row r="80" spans="1:52" x14ac:dyDescent="0.2">
      <c r="A80" s="569"/>
      <c r="B80" s="595"/>
      <c r="C80" s="595"/>
      <c r="D80" s="595"/>
      <c r="E80" s="595"/>
      <c r="F80" s="595"/>
      <c r="G80" s="595"/>
      <c r="H80" s="595"/>
      <c r="I80" s="595"/>
      <c r="J80" s="595"/>
      <c r="K80" s="569"/>
      <c r="L80" s="569"/>
      <c r="M80" s="569"/>
      <c r="N80" s="569"/>
      <c r="O80" s="569"/>
      <c r="P80" s="569"/>
      <c r="Q80" s="569"/>
      <c r="R80" s="569"/>
      <c r="S80" s="569"/>
      <c r="T80" s="569"/>
      <c r="U80" s="569"/>
      <c r="V80" s="569"/>
      <c r="W80" s="569"/>
      <c r="X80" s="569"/>
      <c r="Y80" s="569"/>
      <c r="Z80" s="569"/>
      <c r="AA80" s="569"/>
      <c r="AB80" s="569"/>
      <c r="AC80" s="569"/>
      <c r="AD80" s="569"/>
      <c r="AE80" s="569"/>
      <c r="AF80" s="569"/>
      <c r="AG80" s="569"/>
      <c r="AH80" s="569"/>
      <c r="AI80" s="569"/>
      <c r="AJ80" s="569"/>
      <c r="AK80" s="569"/>
      <c r="AL80" s="569"/>
      <c r="AM80" s="569"/>
      <c r="AN80" s="569"/>
      <c r="AO80" s="569"/>
      <c r="AP80" s="569"/>
      <c r="AQ80" s="569"/>
      <c r="AR80" s="569"/>
      <c r="AS80" s="569"/>
      <c r="AT80" s="569"/>
      <c r="AU80" s="569"/>
      <c r="AV80" s="569"/>
      <c r="AW80" s="569"/>
      <c r="AX80" s="569"/>
      <c r="AY80" s="569"/>
      <c r="AZ80" s="569"/>
    </row>
    <row r="81" spans="1:52" x14ac:dyDescent="0.2">
      <c r="A81" s="569"/>
      <c r="B81" s="595"/>
      <c r="C81" s="595"/>
      <c r="D81" s="595"/>
      <c r="E81" s="595"/>
      <c r="F81" s="595"/>
      <c r="G81" s="595"/>
      <c r="H81" s="595"/>
      <c r="I81" s="595"/>
      <c r="J81" s="595"/>
      <c r="K81" s="569"/>
      <c r="L81" s="569"/>
      <c r="M81" s="569"/>
      <c r="N81" s="569"/>
      <c r="O81" s="569"/>
      <c r="P81" s="569"/>
      <c r="Q81" s="569"/>
      <c r="R81" s="569"/>
      <c r="S81" s="569"/>
      <c r="T81" s="569"/>
      <c r="U81" s="569"/>
      <c r="V81" s="569"/>
      <c r="W81" s="569"/>
      <c r="X81" s="569"/>
      <c r="Y81" s="569"/>
      <c r="Z81" s="569"/>
      <c r="AA81" s="569"/>
      <c r="AB81" s="569"/>
      <c r="AC81" s="569"/>
      <c r="AD81" s="569"/>
      <c r="AE81" s="569"/>
      <c r="AF81" s="569"/>
      <c r="AG81" s="569"/>
      <c r="AH81" s="569"/>
      <c r="AI81" s="569"/>
      <c r="AJ81" s="569"/>
      <c r="AK81" s="569"/>
      <c r="AL81" s="569"/>
      <c r="AM81" s="569"/>
      <c r="AN81" s="569"/>
      <c r="AO81" s="569"/>
      <c r="AP81" s="569"/>
      <c r="AQ81" s="569"/>
      <c r="AR81" s="569"/>
      <c r="AS81" s="569"/>
      <c r="AT81" s="569"/>
      <c r="AU81" s="569"/>
      <c r="AV81" s="569"/>
      <c r="AW81" s="569"/>
      <c r="AX81" s="569"/>
      <c r="AY81" s="569"/>
      <c r="AZ81" s="569"/>
    </row>
    <row r="82" spans="1:52" x14ac:dyDescent="0.2">
      <c r="A82" s="569"/>
      <c r="B82" s="595"/>
      <c r="C82" s="595"/>
      <c r="D82" s="595"/>
      <c r="E82" s="595"/>
      <c r="F82" s="595"/>
      <c r="G82" s="595"/>
      <c r="H82" s="595"/>
      <c r="I82" s="595"/>
      <c r="J82" s="595"/>
      <c r="K82" s="569"/>
      <c r="L82" s="569"/>
      <c r="M82" s="569"/>
      <c r="N82" s="569"/>
      <c r="O82" s="569"/>
      <c r="P82" s="569"/>
      <c r="Q82" s="569"/>
      <c r="R82" s="569"/>
      <c r="S82" s="569"/>
      <c r="T82" s="569"/>
      <c r="U82" s="569"/>
      <c r="V82" s="569"/>
      <c r="W82" s="569"/>
      <c r="X82" s="569"/>
      <c r="Y82" s="569"/>
      <c r="Z82" s="569"/>
      <c r="AA82" s="569"/>
      <c r="AB82" s="569"/>
      <c r="AC82" s="569"/>
      <c r="AD82" s="569"/>
      <c r="AE82" s="569"/>
      <c r="AF82" s="569"/>
      <c r="AG82" s="569"/>
      <c r="AH82" s="569"/>
      <c r="AI82" s="569"/>
      <c r="AJ82" s="569"/>
      <c r="AK82" s="569"/>
      <c r="AL82" s="569"/>
      <c r="AM82" s="569"/>
      <c r="AN82" s="569"/>
      <c r="AO82" s="569"/>
      <c r="AP82" s="569"/>
      <c r="AQ82" s="569"/>
      <c r="AR82" s="569"/>
      <c r="AS82" s="569"/>
      <c r="AT82" s="569"/>
      <c r="AU82" s="569"/>
      <c r="AV82" s="569"/>
      <c r="AW82" s="569"/>
      <c r="AX82" s="569"/>
      <c r="AY82" s="569"/>
      <c r="AZ82" s="569"/>
    </row>
    <row r="83" spans="1:52" x14ac:dyDescent="0.2">
      <c r="A83" s="569"/>
      <c r="B83" s="595"/>
      <c r="C83" s="595"/>
      <c r="D83" s="595"/>
      <c r="E83" s="595"/>
      <c r="F83" s="595"/>
      <c r="G83" s="595"/>
      <c r="H83" s="595"/>
      <c r="I83" s="595"/>
      <c r="J83" s="595"/>
      <c r="K83" s="569"/>
      <c r="L83" s="569"/>
      <c r="M83" s="569"/>
      <c r="N83" s="569"/>
      <c r="O83" s="569"/>
      <c r="P83" s="569"/>
      <c r="Q83" s="569"/>
      <c r="R83" s="569"/>
      <c r="S83" s="569"/>
      <c r="T83" s="569"/>
      <c r="U83" s="569"/>
      <c r="V83" s="569"/>
      <c r="W83" s="569"/>
      <c r="X83" s="569"/>
      <c r="Y83" s="569"/>
      <c r="Z83" s="569"/>
      <c r="AA83" s="569"/>
      <c r="AB83" s="569"/>
      <c r="AC83" s="569"/>
      <c r="AD83" s="569"/>
      <c r="AE83" s="569"/>
      <c r="AF83" s="569"/>
      <c r="AG83" s="569"/>
      <c r="AH83" s="569"/>
      <c r="AI83" s="569"/>
      <c r="AJ83" s="569"/>
      <c r="AK83" s="569"/>
      <c r="AL83" s="569"/>
      <c r="AM83" s="569"/>
      <c r="AN83" s="569"/>
      <c r="AO83" s="569"/>
      <c r="AP83" s="569"/>
      <c r="AQ83" s="569"/>
      <c r="AR83" s="569"/>
      <c r="AS83" s="569"/>
      <c r="AT83" s="569"/>
      <c r="AU83" s="569"/>
      <c r="AV83" s="569"/>
      <c r="AW83" s="569"/>
      <c r="AX83" s="569"/>
      <c r="AY83" s="569"/>
      <c r="AZ83" s="569"/>
    </row>
    <row r="84" spans="1:52" x14ac:dyDescent="0.2">
      <c r="A84" s="569"/>
      <c r="B84" s="595"/>
      <c r="C84" s="595"/>
      <c r="D84" s="595"/>
      <c r="E84" s="595"/>
      <c r="F84" s="595"/>
      <c r="G84" s="595"/>
      <c r="H84" s="595"/>
      <c r="I84" s="595"/>
      <c r="J84" s="595"/>
      <c r="K84" s="569"/>
      <c r="L84" s="569"/>
      <c r="M84" s="569"/>
      <c r="N84" s="569"/>
      <c r="O84" s="569"/>
      <c r="P84" s="569"/>
      <c r="Q84" s="569"/>
      <c r="R84" s="569"/>
      <c r="S84" s="569"/>
      <c r="T84" s="569"/>
      <c r="U84" s="569"/>
      <c r="V84" s="569"/>
      <c r="W84" s="569"/>
      <c r="X84" s="569"/>
      <c r="Y84" s="569"/>
      <c r="Z84" s="569"/>
      <c r="AA84" s="569"/>
      <c r="AB84" s="569"/>
      <c r="AC84" s="569"/>
      <c r="AD84" s="569"/>
      <c r="AE84" s="569"/>
      <c r="AF84" s="569"/>
      <c r="AG84" s="569"/>
      <c r="AH84" s="569"/>
      <c r="AI84" s="569"/>
      <c r="AJ84" s="569"/>
      <c r="AK84" s="569"/>
      <c r="AL84" s="569"/>
      <c r="AM84" s="569"/>
      <c r="AN84" s="569"/>
      <c r="AO84" s="569"/>
      <c r="AP84" s="569"/>
      <c r="AQ84" s="569"/>
      <c r="AR84" s="569"/>
      <c r="AS84" s="569"/>
      <c r="AT84" s="569"/>
      <c r="AU84" s="569"/>
      <c r="AV84" s="569"/>
      <c r="AW84" s="569"/>
      <c r="AX84" s="569"/>
      <c r="AY84" s="569"/>
      <c r="AZ84" s="569"/>
    </row>
    <row r="85" spans="1:52" x14ac:dyDescent="0.2">
      <c r="A85" s="569"/>
      <c r="B85" s="595"/>
      <c r="C85" s="595"/>
      <c r="D85" s="595"/>
      <c r="E85" s="595"/>
      <c r="F85" s="595"/>
      <c r="G85" s="595"/>
      <c r="H85" s="595"/>
      <c r="I85" s="595"/>
      <c r="J85" s="595"/>
      <c r="K85" s="569"/>
      <c r="L85" s="569"/>
      <c r="M85" s="569"/>
      <c r="N85" s="569"/>
      <c r="O85" s="569"/>
      <c r="P85" s="569"/>
      <c r="Q85" s="569"/>
      <c r="R85" s="569"/>
      <c r="S85" s="569"/>
      <c r="T85" s="569"/>
      <c r="U85" s="569"/>
      <c r="V85" s="569"/>
      <c r="W85" s="569"/>
      <c r="X85" s="569"/>
      <c r="Y85" s="569"/>
      <c r="Z85" s="569"/>
      <c r="AA85" s="569"/>
      <c r="AB85" s="569"/>
      <c r="AC85" s="569"/>
      <c r="AD85" s="569"/>
      <c r="AE85" s="569"/>
      <c r="AF85" s="569"/>
      <c r="AG85" s="569"/>
      <c r="AH85" s="569"/>
      <c r="AI85" s="569"/>
      <c r="AJ85" s="569"/>
      <c r="AK85" s="569"/>
      <c r="AL85" s="569"/>
      <c r="AM85" s="569"/>
      <c r="AN85" s="569"/>
      <c r="AO85" s="569"/>
      <c r="AP85" s="569"/>
      <c r="AQ85" s="569"/>
      <c r="AR85" s="569"/>
      <c r="AS85" s="569"/>
      <c r="AT85" s="569"/>
      <c r="AU85" s="569"/>
      <c r="AV85" s="569"/>
      <c r="AW85" s="569"/>
      <c r="AX85" s="569"/>
      <c r="AY85" s="569"/>
      <c r="AZ85" s="569"/>
    </row>
    <row r="86" spans="1:52" x14ac:dyDescent="0.2">
      <c r="A86" s="569"/>
      <c r="B86" s="595"/>
      <c r="C86" s="595"/>
      <c r="D86" s="595"/>
      <c r="E86" s="595"/>
      <c r="F86" s="595"/>
      <c r="G86" s="595"/>
      <c r="H86" s="595"/>
      <c r="I86" s="595"/>
      <c r="J86" s="595"/>
      <c r="K86" s="569"/>
      <c r="L86" s="569"/>
      <c r="M86" s="569"/>
      <c r="N86" s="569"/>
      <c r="O86" s="569"/>
      <c r="P86" s="569"/>
      <c r="Q86" s="569"/>
      <c r="R86" s="569"/>
      <c r="S86" s="569"/>
      <c r="T86" s="569"/>
      <c r="U86" s="569"/>
      <c r="V86" s="569"/>
      <c r="W86" s="569"/>
      <c r="X86" s="569"/>
      <c r="Y86" s="569"/>
      <c r="Z86" s="569"/>
      <c r="AA86" s="569"/>
      <c r="AB86" s="569"/>
      <c r="AC86" s="569"/>
      <c r="AD86" s="569"/>
      <c r="AE86" s="569"/>
      <c r="AF86" s="569"/>
      <c r="AG86" s="569"/>
      <c r="AH86" s="569"/>
      <c r="AI86" s="569"/>
      <c r="AJ86" s="569"/>
      <c r="AK86" s="569"/>
      <c r="AL86" s="569"/>
      <c r="AM86" s="569"/>
      <c r="AN86" s="569"/>
      <c r="AO86" s="569"/>
      <c r="AP86" s="569"/>
      <c r="AQ86" s="569"/>
      <c r="AR86" s="569"/>
      <c r="AS86" s="569"/>
      <c r="AT86" s="569"/>
      <c r="AU86" s="569"/>
      <c r="AV86" s="569"/>
      <c r="AW86" s="569"/>
      <c r="AX86" s="569"/>
      <c r="AY86" s="569"/>
      <c r="AZ86" s="569"/>
    </row>
    <row r="87" spans="1:52" x14ac:dyDescent="0.2">
      <c r="A87" s="569"/>
      <c r="B87" s="595"/>
      <c r="C87" s="595"/>
      <c r="D87" s="595"/>
      <c r="E87" s="595"/>
      <c r="F87" s="595"/>
      <c r="G87" s="595"/>
      <c r="H87" s="595"/>
      <c r="I87" s="595"/>
      <c r="J87" s="595"/>
      <c r="K87" s="569"/>
      <c r="L87" s="569"/>
      <c r="M87" s="569"/>
      <c r="N87" s="569"/>
      <c r="O87" s="569"/>
      <c r="P87" s="569"/>
      <c r="Q87" s="569"/>
      <c r="R87" s="569"/>
      <c r="S87" s="569"/>
      <c r="T87" s="569"/>
      <c r="U87" s="569"/>
      <c r="V87" s="569"/>
      <c r="W87" s="569"/>
      <c r="X87" s="569"/>
      <c r="Y87" s="569"/>
      <c r="Z87" s="569"/>
      <c r="AA87" s="569"/>
      <c r="AB87" s="569"/>
      <c r="AC87" s="569"/>
      <c r="AD87" s="569"/>
      <c r="AE87" s="569"/>
      <c r="AF87" s="569"/>
      <c r="AG87" s="569"/>
      <c r="AH87" s="569"/>
      <c r="AI87" s="569"/>
      <c r="AJ87" s="569"/>
      <c r="AK87" s="569"/>
      <c r="AL87" s="569"/>
      <c r="AM87" s="569"/>
      <c r="AN87" s="569"/>
      <c r="AO87" s="569"/>
      <c r="AP87" s="569"/>
      <c r="AQ87" s="569"/>
      <c r="AR87" s="569"/>
      <c r="AS87" s="569"/>
      <c r="AT87" s="569"/>
      <c r="AU87" s="569"/>
      <c r="AV87" s="569"/>
      <c r="AW87" s="569"/>
      <c r="AX87" s="569"/>
      <c r="AY87" s="569"/>
      <c r="AZ87" s="569"/>
    </row>
    <row r="88" spans="1:52" x14ac:dyDescent="0.2">
      <c r="A88" s="569"/>
      <c r="B88" s="595"/>
      <c r="C88" s="595"/>
      <c r="D88" s="595"/>
      <c r="E88" s="595"/>
      <c r="F88" s="595"/>
      <c r="G88" s="595"/>
      <c r="H88" s="595"/>
      <c r="I88" s="595"/>
      <c r="J88" s="595"/>
      <c r="K88" s="569"/>
      <c r="L88" s="569"/>
      <c r="M88" s="569"/>
      <c r="N88" s="569"/>
      <c r="O88" s="569"/>
      <c r="P88" s="569"/>
      <c r="Q88" s="569"/>
      <c r="R88" s="569"/>
      <c r="S88" s="569"/>
      <c r="T88" s="569"/>
      <c r="U88" s="569"/>
      <c r="V88" s="569"/>
      <c r="W88" s="569"/>
      <c r="X88" s="569"/>
      <c r="Y88" s="569"/>
      <c r="Z88" s="569"/>
      <c r="AA88" s="569"/>
      <c r="AB88" s="569"/>
      <c r="AC88" s="569"/>
      <c r="AD88" s="569"/>
      <c r="AE88" s="569"/>
      <c r="AF88" s="569"/>
      <c r="AG88" s="569"/>
      <c r="AH88" s="569"/>
      <c r="AI88" s="569"/>
      <c r="AJ88" s="569"/>
      <c r="AK88" s="569"/>
      <c r="AL88" s="569"/>
      <c r="AM88" s="569"/>
      <c r="AN88" s="569"/>
      <c r="AO88" s="569"/>
      <c r="AP88" s="569"/>
      <c r="AQ88" s="569"/>
      <c r="AR88" s="569"/>
      <c r="AS88" s="569"/>
      <c r="AT88" s="569"/>
      <c r="AU88" s="569"/>
      <c r="AV88" s="569"/>
      <c r="AW88" s="569"/>
      <c r="AX88" s="569"/>
      <c r="AY88" s="569"/>
      <c r="AZ88" s="569"/>
    </row>
    <row r="89" spans="1:52" x14ac:dyDescent="0.2">
      <c r="A89" s="569"/>
      <c r="B89" s="595"/>
      <c r="C89" s="595"/>
      <c r="D89" s="595"/>
      <c r="E89" s="595"/>
      <c r="F89" s="595"/>
      <c r="G89" s="595"/>
      <c r="H89" s="595"/>
      <c r="I89" s="595"/>
      <c r="J89" s="595"/>
      <c r="K89" s="569"/>
      <c r="L89" s="569"/>
      <c r="M89" s="569"/>
      <c r="N89" s="569"/>
      <c r="O89" s="569"/>
      <c r="P89" s="569"/>
      <c r="Q89" s="569"/>
      <c r="R89" s="569"/>
      <c r="S89" s="569"/>
      <c r="T89" s="569"/>
      <c r="U89" s="569"/>
      <c r="V89" s="569"/>
      <c r="W89" s="569"/>
      <c r="X89" s="569"/>
      <c r="Y89" s="569"/>
      <c r="Z89" s="569"/>
      <c r="AA89" s="569"/>
      <c r="AB89" s="569"/>
      <c r="AC89" s="569"/>
      <c r="AD89" s="569"/>
      <c r="AE89" s="569"/>
      <c r="AF89" s="569"/>
      <c r="AG89" s="569"/>
      <c r="AH89" s="569"/>
      <c r="AI89" s="569"/>
      <c r="AJ89" s="569"/>
      <c r="AK89" s="569"/>
      <c r="AL89" s="569"/>
      <c r="AM89" s="569"/>
      <c r="AN89" s="569"/>
      <c r="AO89" s="569"/>
      <c r="AP89" s="569"/>
      <c r="AQ89" s="569"/>
      <c r="AR89" s="569"/>
      <c r="AS89" s="569"/>
      <c r="AT89" s="569"/>
      <c r="AU89" s="569"/>
      <c r="AV89" s="569"/>
      <c r="AW89" s="569"/>
      <c r="AX89" s="569"/>
      <c r="AY89" s="569"/>
      <c r="AZ89" s="569"/>
    </row>
    <row r="90" spans="1:52" x14ac:dyDescent="0.2">
      <c r="A90" s="569"/>
      <c r="B90" s="595"/>
      <c r="C90" s="595"/>
      <c r="D90" s="595"/>
      <c r="E90" s="595"/>
      <c r="F90" s="595"/>
      <c r="G90" s="595"/>
      <c r="H90" s="595"/>
      <c r="I90" s="595"/>
      <c r="J90" s="595"/>
      <c r="K90" s="569"/>
      <c r="L90" s="569"/>
      <c r="M90" s="569"/>
      <c r="N90" s="569"/>
      <c r="O90" s="569"/>
      <c r="P90" s="569"/>
      <c r="Q90" s="569"/>
      <c r="R90" s="569"/>
      <c r="S90" s="569"/>
      <c r="T90" s="569"/>
      <c r="U90" s="569"/>
      <c r="V90" s="569"/>
      <c r="W90" s="569"/>
      <c r="X90" s="569"/>
      <c r="Y90" s="569"/>
      <c r="Z90" s="569"/>
      <c r="AA90" s="569"/>
      <c r="AB90" s="569"/>
      <c r="AC90" s="569"/>
      <c r="AD90" s="569"/>
      <c r="AE90" s="569"/>
      <c r="AF90" s="569"/>
      <c r="AG90" s="569"/>
      <c r="AH90" s="569"/>
      <c r="AI90" s="569"/>
      <c r="AJ90" s="569"/>
      <c r="AK90" s="569"/>
      <c r="AL90" s="569"/>
      <c r="AM90" s="569"/>
      <c r="AN90" s="569"/>
      <c r="AO90" s="569"/>
      <c r="AP90" s="569"/>
      <c r="AQ90" s="569"/>
      <c r="AR90" s="569"/>
      <c r="AS90" s="569"/>
      <c r="AT90" s="569"/>
      <c r="AU90" s="569"/>
      <c r="AV90" s="569"/>
      <c r="AW90" s="569"/>
      <c r="AX90" s="569"/>
      <c r="AY90" s="569"/>
      <c r="AZ90" s="569"/>
    </row>
    <row r="91" spans="1:52" x14ac:dyDescent="0.2">
      <c r="A91" s="569"/>
      <c r="B91" s="595"/>
      <c r="C91" s="595"/>
      <c r="D91" s="595"/>
      <c r="E91" s="595"/>
      <c r="F91" s="595"/>
      <c r="G91" s="595"/>
      <c r="H91" s="595"/>
      <c r="I91" s="595"/>
      <c r="J91" s="595"/>
      <c r="K91" s="569"/>
      <c r="L91" s="569"/>
      <c r="M91" s="569"/>
      <c r="N91" s="569"/>
      <c r="O91" s="569"/>
      <c r="P91" s="569"/>
      <c r="Q91" s="569"/>
      <c r="R91" s="569"/>
      <c r="S91" s="569"/>
      <c r="T91" s="569"/>
      <c r="U91" s="569"/>
      <c r="V91" s="569"/>
      <c r="W91" s="569"/>
      <c r="X91" s="569"/>
      <c r="Y91" s="569"/>
      <c r="Z91" s="569"/>
      <c r="AA91" s="569"/>
      <c r="AB91" s="569"/>
      <c r="AC91" s="569"/>
      <c r="AD91" s="569"/>
      <c r="AE91" s="569"/>
      <c r="AF91" s="569"/>
      <c r="AG91" s="569"/>
      <c r="AH91" s="569"/>
      <c r="AI91" s="569"/>
      <c r="AJ91" s="569"/>
      <c r="AK91" s="569"/>
      <c r="AL91" s="569"/>
      <c r="AM91" s="569"/>
      <c r="AN91" s="569"/>
      <c r="AO91" s="569"/>
      <c r="AP91" s="569"/>
      <c r="AQ91" s="569"/>
      <c r="AR91" s="569"/>
      <c r="AS91" s="569"/>
      <c r="AT91" s="569"/>
      <c r="AU91" s="569"/>
      <c r="AV91" s="569"/>
      <c r="AW91" s="569"/>
      <c r="AX91" s="569"/>
      <c r="AY91" s="569"/>
      <c r="AZ91" s="569"/>
    </row>
    <row r="92" spans="1:52" x14ac:dyDescent="0.2">
      <c r="A92" s="569"/>
      <c r="B92" s="595"/>
      <c r="C92" s="595"/>
      <c r="D92" s="595"/>
      <c r="E92" s="595"/>
      <c r="F92" s="595"/>
      <c r="G92" s="595"/>
      <c r="H92" s="595"/>
      <c r="I92" s="595"/>
      <c r="J92" s="595"/>
      <c r="K92" s="569"/>
      <c r="L92" s="569"/>
      <c r="M92" s="569"/>
      <c r="N92" s="569"/>
      <c r="O92" s="569"/>
      <c r="P92" s="569"/>
      <c r="Q92" s="569"/>
      <c r="R92" s="569"/>
      <c r="S92" s="569"/>
      <c r="T92" s="569"/>
      <c r="U92" s="569"/>
      <c r="V92" s="569"/>
      <c r="W92" s="569"/>
      <c r="X92" s="569"/>
      <c r="Y92" s="569"/>
      <c r="Z92" s="569"/>
      <c r="AA92" s="569"/>
      <c r="AB92" s="569"/>
      <c r="AC92" s="569"/>
      <c r="AD92" s="569"/>
      <c r="AE92" s="569"/>
      <c r="AF92" s="569"/>
      <c r="AG92" s="569"/>
      <c r="AH92" s="569"/>
      <c r="AI92" s="569"/>
      <c r="AJ92" s="569"/>
      <c r="AK92" s="569"/>
      <c r="AL92" s="569"/>
      <c r="AM92" s="569"/>
      <c r="AN92" s="569"/>
      <c r="AO92" s="569"/>
      <c r="AP92" s="569"/>
      <c r="AQ92" s="569"/>
      <c r="AR92" s="569"/>
      <c r="AS92" s="569"/>
      <c r="AT92" s="569"/>
      <c r="AU92" s="569"/>
      <c r="AV92" s="569"/>
      <c r="AW92" s="569"/>
      <c r="AX92" s="569"/>
      <c r="AY92" s="569"/>
      <c r="AZ92" s="569"/>
    </row>
    <row r="93" spans="1:52" x14ac:dyDescent="0.2">
      <c r="A93" s="569"/>
      <c r="B93" s="595"/>
      <c r="C93" s="595"/>
      <c r="D93" s="595"/>
      <c r="E93" s="595"/>
      <c r="F93" s="595"/>
      <c r="G93" s="595"/>
      <c r="H93" s="595"/>
      <c r="I93" s="595"/>
      <c r="J93" s="595"/>
      <c r="K93" s="569"/>
      <c r="L93" s="569"/>
      <c r="M93" s="569"/>
      <c r="N93" s="569"/>
      <c r="O93" s="569"/>
      <c r="P93" s="569"/>
      <c r="Q93" s="569"/>
      <c r="R93" s="569"/>
      <c r="S93" s="569"/>
      <c r="T93" s="569"/>
      <c r="U93" s="569"/>
      <c r="V93" s="569"/>
      <c r="W93" s="569"/>
      <c r="X93" s="569"/>
      <c r="Y93" s="569"/>
      <c r="Z93" s="569"/>
      <c r="AA93" s="569"/>
      <c r="AB93" s="569"/>
      <c r="AC93" s="569"/>
      <c r="AD93" s="569"/>
      <c r="AE93" s="569"/>
      <c r="AF93" s="569"/>
      <c r="AG93" s="569"/>
      <c r="AH93" s="569"/>
      <c r="AI93" s="569"/>
      <c r="AJ93" s="569"/>
      <c r="AK93" s="569"/>
      <c r="AL93" s="569"/>
      <c r="AM93" s="569"/>
      <c r="AN93" s="569"/>
      <c r="AO93" s="569"/>
      <c r="AP93" s="569"/>
      <c r="AQ93" s="569"/>
      <c r="AR93" s="569"/>
      <c r="AS93" s="569"/>
      <c r="AT93" s="569"/>
      <c r="AU93" s="569"/>
      <c r="AV93" s="569"/>
      <c r="AW93" s="569"/>
      <c r="AX93" s="569"/>
      <c r="AY93" s="569"/>
      <c r="AZ93" s="569"/>
    </row>
    <row r="94" spans="1:52" x14ac:dyDescent="0.2">
      <c r="A94" s="569"/>
      <c r="B94" s="595"/>
      <c r="C94" s="595"/>
      <c r="D94" s="595"/>
      <c r="E94" s="595"/>
      <c r="F94" s="595"/>
      <c r="G94" s="595"/>
      <c r="H94" s="595"/>
      <c r="I94" s="595"/>
      <c r="J94" s="595"/>
      <c r="K94" s="569"/>
      <c r="L94" s="569"/>
      <c r="M94" s="569"/>
      <c r="N94" s="569"/>
      <c r="O94" s="569"/>
      <c r="P94" s="569"/>
      <c r="Q94" s="569"/>
      <c r="R94" s="569"/>
      <c r="S94" s="569"/>
      <c r="T94" s="569"/>
      <c r="U94" s="569"/>
      <c r="V94" s="569"/>
      <c r="W94" s="569"/>
      <c r="X94" s="569"/>
      <c r="Y94" s="569"/>
      <c r="Z94" s="569"/>
      <c r="AA94" s="569"/>
      <c r="AB94" s="569"/>
      <c r="AC94" s="569"/>
      <c r="AD94" s="569"/>
      <c r="AE94" s="569"/>
      <c r="AF94" s="569"/>
      <c r="AG94" s="569"/>
      <c r="AH94" s="569"/>
      <c r="AI94" s="569"/>
      <c r="AJ94" s="569"/>
      <c r="AK94" s="569"/>
      <c r="AL94" s="569"/>
      <c r="AM94" s="569"/>
      <c r="AN94" s="569"/>
      <c r="AO94" s="569"/>
      <c r="AP94" s="569"/>
      <c r="AQ94" s="569"/>
      <c r="AR94" s="569"/>
      <c r="AS94" s="569"/>
      <c r="AT94" s="569"/>
      <c r="AU94" s="569"/>
      <c r="AV94" s="569"/>
      <c r="AW94" s="569"/>
      <c r="AX94" s="569"/>
      <c r="AY94" s="569"/>
      <c r="AZ94" s="569"/>
    </row>
    <row r="95" spans="1:52" x14ac:dyDescent="0.2">
      <c r="A95" s="569"/>
      <c r="B95" s="595"/>
      <c r="C95" s="595"/>
      <c r="D95" s="595"/>
      <c r="E95" s="595"/>
      <c r="F95" s="595"/>
      <c r="G95" s="595"/>
      <c r="H95" s="595"/>
      <c r="I95" s="595"/>
      <c r="J95" s="595"/>
      <c r="K95" s="569"/>
      <c r="L95" s="569"/>
      <c r="M95" s="569"/>
      <c r="N95" s="569"/>
      <c r="O95" s="569"/>
      <c r="P95" s="569"/>
      <c r="Q95" s="569"/>
      <c r="R95" s="569"/>
      <c r="S95" s="569"/>
      <c r="T95" s="569"/>
      <c r="U95" s="569"/>
      <c r="V95" s="569"/>
      <c r="W95" s="569"/>
      <c r="X95" s="569"/>
      <c r="Y95" s="569"/>
      <c r="Z95" s="569"/>
      <c r="AA95" s="569"/>
      <c r="AB95" s="569"/>
      <c r="AC95" s="569"/>
      <c r="AD95" s="569"/>
      <c r="AE95" s="569"/>
      <c r="AF95" s="569"/>
      <c r="AG95" s="569"/>
      <c r="AH95" s="569"/>
      <c r="AI95" s="569"/>
      <c r="AJ95" s="569"/>
      <c r="AK95" s="569"/>
      <c r="AL95" s="569"/>
      <c r="AM95" s="569"/>
      <c r="AN95" s="569"/>
      <c r="AO95" s="569"/>
      <c r="AP95" s="569"/>
      <c r="AQ95" s="569"/>
      <c r="AR95" s="569"/>
      <c r="AS95" s="569"/>
      <c r="AT95" s="569"/>
      <c r="AU95" s="569"/>
      <c r="AV95" s="569"/>
      <c r="AW95" s="569"/>
      <c r="AX95" s="569"/>
      <c r="AY95" s="569"/>
      <c r="AZ95" s="569"/>
    </row>
    <row r="96" spans="1:52" x14ac:dyDescent="0.2">
      <c r="A96" s="569"/>
      <c r="B96" s="595"/>
      <c r="C96" s="595"/>
      <c r="D96" s="595"/>
      <c r="E96" s="595"/>
      <c r="F96" s="595"/>
      <c r="G96" s="595"/>
      <c r="H96" s="595"/>
      <c r="I96" s="595"/>
      <c r="J96" s="595"/>
      <c r="K96" s="569"/>
      <c r="L96" s="569"/>
      <c r="M96" s="569"/>
      <c r="N96" s="569"/>
      <c r="O96" s="569"/>
      <c r="P96" s="569"/>
      <c r="Q96" s="569"/>
      <c r="R96" s="569"/>
      <c r="S96" s="569"/>
      <c r="T96" s="569"/>
      <c r="U96" s="569"/>
      <c r="V96" s="569"/>
      <c r="W96" s="569"/>
      <c r="X96" s="569"/>
      <c r="Y96" s="569"/>
      <c r="Z96" s="569"/>
      <c r="AA96" s="569"/>
      <c r="AB96" s="569"/>
      <c r="AC96" s="569"/>
      <c r="AD96" s="569"/>
      <c r="AE96" s="569"/>
      <c r="AF96" s="569"/>
      <c r="AG96" s="569"/>
      <c r="AH96" s="569"/>
      <c r="AI96" s="569"/>
      <c r="AJ96" s="569"/>
      <c r="AK96" s="569"/>
      <c r="AL96" s="569"/>
      <c r="AM96" s="569"/>
      <c r="AN96" s="569"/>
      <c r="AO96" s="569"/>
      <c r="AP96" s="569"/>
      <c r="AQ96" s="569"/>
      <c r="AR96" s="569"/>
      <c r="AS96" s="569"/>
      <c r="AT96" s="569"/>
      <c r="AU96" s="569"/>
      <c r="AV96" s="569"/>
      <c r="AW96" s="569"/>
      <c r="AX96" s="569"/>
      <c r="AY96" s="569"/>
      <c r="AZ96" s="569"/>
    </row>
    <row r="97" spans="1:52" x14ac:dyDescent="0.2">
      <c r="A97" s="569"/>
      <c r="B97" s="595"/>
      <c r="C97" s="595"/>
      <c r="D97" s="595"/>
      <c r="E97" s="595"/>
      <c r="F97" s="595"/>
      <c r="G97" s="595"/>
      <c r="H97" s="595"/>
      <c r="I97" s="595"/>
      <c r="J97" s="595"/>
      <c r="K97" s="569"/>
      <c r="L97" s="569"/>
      <c r="M97" s="569"/>
      <c r="N97" s="569"/>
      <c r="O97" s="569"/>
      <c r="P97" s="569"/>
      <c r="Q97" s="569"/>
      <c r="R97" s="569"/>
      <c r="S97" s="569"/>
      <c r="T97" s="569"/>
      <c r="U97" s="569"/>
      <c r="V97" s="569"/>
      <c r="W97" s="569"/>
      <c r="X97" s="569"/>
      <c r="Y97" s="569"/>
      <c r="Z97" s="569"/>
      <c r="AA97" s="569"/>
      <c r="AB97" s="569"/>
      <c r="AC97" s="569"/>
      <c r="AD97" s="569"/>
      <c r="AE97" s="569"/>
      <c r="AF97" s="569"/>
      <c r="AG97" s="569"/>
      <c r="AH97" s="569"/>
      <c r="AI97" s="569"/>
      <c r="AJ97" s="569"/>
      <c r="AK97" s="569"/>
      <c r="AL97" s="569"/>
      <c r="AM97" s="569"/>
      <c r="AN97" s="569"/>
      <c r="AO97" s="569"/>
      <c r="AP97" s="569"/>
      <c r="AQ97" s="569"/>
      <c r="AR97" s="569"/>
      <c r="AS97" s="569"/>
      <c r="AT97" s="569"/>
      <c r="AU97" s="569"/>
      <c r="AV97" s="569"/>
      <c r="AW97" s="569"/>
      <c r="AX97" s="569"/>
      <c r="AY97" s="569"/>
      <c r="AZ97" s="569"/>
    </row>
    <row r="98" spans="1:52" x14ac:dyDescent="0.2">
      <c r="A98" s="569"/>
      <c r="B98" s="595"/>
      <c r="C98" s="595"/>
      <c r="D98" s="595"/>
      <c r="E98" s="595"/>
      <c r="F98" s="595"/>
      <c r="G98" s="595"/>
      <c r="H98" s="595"/>
      <c r="I98" s="595"/>
      <c r="J98" s="595"/>
      <c r="K98" s="569"/>
      <c r="L98" s="569"/>
      <c r="M98" s="569"/>
      <c r="N98" s="569"/>
      <c r="O98" s="569"/>
      <c r="P98" s="569"/>
      <c r="Q98" s="569"/>
      <c r="R98" s="569"/>
      <c r="S98" s="569"/>
      <c r="T98" s="569"/>
      <c r="U98" s="569"/>
      <c r="V98" s="569"/>
      <c r="W98" s="569"/>
      <c r="X98" s="569"/>
      <c r="Y98" s="569"/>
      <c r="Z98" s="569"/>
      <c r="AA98" s="569"/>
      <c r="AB98" s="569"/>
      <c r="AC98" s="569"/>
      <c r="AD98" s="569"/>
      <c r="AE98" s="569"/>
      <c r="AF98" s="569"/>
      <c r="AG98" s="569"/>
      <c r="AH98" s="569"/>
      <c r="AI98" s="569"/>
      <c r="AJ98" s="569"/>
      <c r="AK98" s="569"/>
      <c r="AL98" s="569"/>
      <c r="AM98" s="569"/>
      <c r="AN98" s="569"/>
      <c r="AO98" s="569"/>
      <c r="AP98" s="569"/>
      <c r="AQ98" s="569"/>
      <c r="AR98" s="569"/>
      <c r="AS98" s="569"/>
      <c r="AT98" s="569"/>
      <c r="AU98" s="569"/>
      <c r="AV98" s="569"/>
      <c r="AW98" s="569"/>
      <c r="AX98" s="569"/>
      <c r="AY98" s="569"/>
      <c r="AZ98" s="569"/>
    </row>
    <row r="99" spans="1:52" x14ac:dyDescent="0.2">
      <c r="A99" s="569"/>
      <c r="B99" s="595"/>
      <c r="C99" s="595"/>
      <c r="D99" s="595"/>
      <c r="E99" s="595"/>
      <c r="F99" s="595"/>
      <c r="G99" s="595"/>
      <c r="H99" s="595"/>
      <c r="I99" s="595"/>
      <c r="J99" s="595"/>
      <c r="K99" s="569"/>
      <c r="L99" s="569"/>
      <c r="M99" s="569"/>
      <c r="N99" s="569"/>
      <c r="O99" s="569"/>
      <c r="P99" s="569"/>
      <c r="Q99" s="569"/>
      <c r="R99" s="569"/>
      <c r="S99" s="569"/>
      <c r="T99" s="569"/>
      <c r="U99" s="569"/>
      <c r="V99" s="569"/>
      <c r="W99" s="569"/>
      <c r="X99" s="569"/>
      <c r="Y99" s="569"/>
      <c r="Z99" s="569"/>
      <c r="AA99" s="569"/>
      <c r="AB99" s="569"/>
      <c r="AC99" s="569"/>
      <c r="AD99" s="569"/>
      <c r="AE99" s="569"/>
      <c r="AF99" s="569"/>
      <c r="AG99" s="569"/>
      <c r="AH99" s="569"/>
      <c r="AI99" s="569"/>
      <c r="AJ99" s="569"/>
      <c r="AK99" s="569"/>
      <c r="AL99" s="569"/>
      <c r="AM99" s="569"/>
      <c r="AN99" s="569"/>
      <c r="AO99" s="569"/>
      <c r="AP99" s="569"/>
      <c r="AQ99" s="569"/>
      <c r="AR99" s="569"/>
      <c r="AS99" s="569"/>
      <c r="AT99" s="569"/>
      <c r="AU99" s="569"/>
      <c r="AV99" s="569"/>
      <c r="AW99" s="569"/>
      <c r="AX99" s="569"/>
      <c r="AY99" s="569"/>
      <c r="AZ99" s="569"/>
    </row>
    <row r="100" spans="1:52" x14ac:dyDescent="0.2">
      <c r="A100" s="569"/>
      <c r="B100" s="595"/>
      <c r="C100" s="595"/>
      <c r="D100" s="595"/>
      <c r="E100" s="595"/>
      <c r="F100" s="595"/>
      <c r="G100" s="595"/>
      <c r="H100" s="595"/>
      <c r="I100" s="595"/>
      <c r="J100" s="595"/>
      <c r="K100" s="569"/>
      <c r="L100" s="569"/>
      <c r="M100" s="569"/>
      <c r="N100" s="569"/>
      <c r="O100" s="569"/>
      <c r="P100" s="569"/>
      <c r="Q100" s="569"/>
      <c r="R100" s="569"/>
      <c r="S100" s="569"/>
      <c r="T100" s="569"/>
      <c r="U100" s="569"/>
      <c r="V100" s="569"/>
      <c r="W100" s="569"/>
      <c r="X100" s="569"/>
      <c r="Y100" s="569"/>
      <c r="Z100" s="569"/>
      <c r="AA100" s="569"/>
      <c r="AB100" s="569"/>
      <c r="AC100" s="569"/>
      <c r="AD100" s="569"/>
      <c r="AE100" s="569"/>
      <c r="AF100" s="569"/>
      <c r="AG100" s="569"/>
      <c r="AH100" s="569"/>
      <c r="AI100" s="569"/>
      <c r="AJ100" s="569"/>
      <c r="AK100" s="569"/>
      <c r="AL100" s="569"/>
      <c r="AM100" s="569"/>
      <c r="AN100" s="569"/>
      <c r="AO100" s="569"/>
      <c r="AP100" s="569"/>
      <c r="AQ100" s="569"/>
      <c r="AR100" s="569"/>
      <c r="AS100" s="569"/>
      <c r="AT100" s="569"/>
      <c r="AU100" s="569"/>
      <c r="AV100" s="569"/>
      <c r="AW100" s="569"/>
      <c r="AX100" s="569"/>
      <c r="AY100" s="569"/>
      <c r="AZ100" s="569"/>
    </row>
    <row r="101" spans="1:52" x14ac:dyDescent="0.2">
      <c r="A101" s="569"/>
      <c r="B101" s="595"/>
      <c r="C101" s="595"/>
      <c r="D101" s="595"/>
      <c r="E101" s="595"/>
      <c r="F101" s="595"/>
      <c r="G101" s="595"/>
      <c r="H101" s="595"/>
      <c r="I101" s="595"/>
      <c r="J101" s="595"/>
      <c r="K101" s="569"/>
      <c r="L101" s="569"/>
      <c r="M101" s="569"/>
      <c r="N101" s="569"/>
      <c r="O101" s="569"/>
      <c r="P101" s="569"/>
      <c r="Q101" s="569"/>
      <c r="R101" s="569"/>
      <c r="S101" s="569"/>
      <c r="T101" s="569"/>
      <c r="U101" s="569"/>
      <c r="V101" s="569"/>
      <c r="W101" s="569"/>
      <c r="X101" s="569"/>
      <c r="Y101" s="569"/>
      <c r="Z101" s="569"/>
      <c r="AA101" s="569"/>
      <c r="AB101" s="569"/>
      <c r="AC101" s="569"/>
      <c r="AD101" s="569"/>
      <c r="AE101" s="569"/>
      <c r="AF101" s="569"/>
      <c r="AG101" s="569"/>
      <c r="AH101" s="569"/>
      <c r="AI101" s="569"/>
      <c r="AJ101" s="569"/>
      <c r="AK101" s="569"/>
      <c r="AL101" s="569"/>
      <c r="AM101" s="569"/>
      <c r="AN101" s="569"/>
      <c r="AO101" s="569"/>
      <c r="AP101" s="569"/>
      <c r="AQ101" s="569"/>
      <c r="AR101" s="569"/>
      <c r="AS101" s="569"/>
      <c r="AT101" s="569"/>
      <c r="AU101" s="569"/>
      <c r="AV101" s="569"/>
      <c r="AW101" s="569"/>
      <c r="AX101" s="569"/>
      <c r="AY101" s="569"/>
      <c r="AZ101" s="569"/>
    </row>
    <row r="102" spans="1:52" x14ac:dyDescent="0.2">
      <c r="A102" s="569"/>
      <c r="B102" s="595"/>
      <c r="C102" s="595"/>
      <c r="D102" s="595"/>
      <c r="E102" s="595"/>
      <c r="F102" s="595"/>
      <c r="G102" s="595"/>
      <c r="H102" s="595"/>
      <c r="I102" s="595"/>
      <c r="J102" s="595"/>
      <c r="K102" s="569"/>
      <c r="L102" s="569"/>
      <c r="M102" s="569"/>
      <c r="N102" s="569"/>
      <c r="O102" s="569"/>
      <c r="P102" s="569"/>
      <c r="Q102" s="569"/>
      <c r="R102" s="569"/>
      <c r="S102" s="569"/>
      <c r="T102" s="569"/>
      <c r="U102" s="569"/>
      <c r="V102" s="569"/>
      <c r="W102" s="569"/>
      <c r="X102" s="569"/>
      <c r="Y102" s="569"/>
      <c r="Z102" s="569"/>
      <c r="AA102" s="569"/>
      <c r="AB102" s="569"/>
      <c r="AC102" s="569"/>
      <c r="AD102" s="569"/>
      <c r="AE102" s="569"/>
      <c r="AF102" s="569"/>
      <c r="AG102" s="569"/>
      <c r="AH102" s="569"/>
      <c r="AI102" s="569"/>
      <c r="AJ102" s="569"/>
      <c r="AK102" s="569"/>
      <c r="AL102" s="569"/>
      <c r="AM102" s="569"/>
      <c r="AN102" s="569"/>
      <c r="AO102" s="569"/>
      <c r="AP102" s="569"/>
      <c r="AQ102" s="569"/>
      <c r="AR102" s="569"/>
      <c r="AS102" s="569"/>
      <c r="AT102" s="569"/>
      <c r="AU102" s="569"/>
      <c r="AV102" s="569"/>
      <c r="AW102" s="569"/>
      <c r="AX102" s="569"/>
      <c r="AY102" s="569"/>
      <c r="AZ102" s="569"/>
    </row>
    <row r="103" spans="1:52" x14ac:dyDescent="0.2">
      <c r="A103" s="569"/>
      <c r="B103" s="595"/>
      <c r="C103" s="595"/>
      <c r="D103" s="595"/>
      <c r="E103" s="595"/>
      <c r="F103" s="595"/>
      <c r="G103" s="595"/>
      <c r="H103" s="595"/>
      <c r="I103" s="595"/>
      <c r="J103" s="595"/>
      <c r="K103" s="569"/>
      <c r="L103" s="569"/>
      <c r="M103" s="569"/>
      <c r="N103" s="569"/>
      <c r="O103" s="569"/>
      <c r="P103" s="569"/>
      <c r="Q103" s="569"/>
      <c r="R103" s="569"/>
      <c r="S103" s="569"/>
      <c r="T103" s="569"/>
      <c r="U103" s="569"/>
      <c r="V103" s="569"/>
      <c r="W103" s="569"/>
      <c r="X103" s="569"/>
      <c r="Y103" s="569"/>
      <c r="Z103" s="569"/>
      <c r="AA103" s="569"/>
      <c r="AB103" s="569"/>
      <c r="AC103" s="569"/>
      <c r="AD103" s="569"/>
      <c r="AE103" s="569"/>
      <c r="AF103" s="569"/>
      <c r="AG103" s="569"/>
      <c r="AH103" s="569"/>
      <c r="AI103" s="569"/>
      <c r="AJ103" s="569"/>
      <c r="AK103" s="569"/>
      <c r="AL103" s="569"/>
      <c r="AM103" s="569"/>
      <c r="AN103" s="569"/>
      <c r="AO103" s="569"/>
      <c r="AP103" s="569"/>
      <c r="AQ103" s="569"/>
      <c r="AR103" s="569"/>
      <c r="AS103" s="569"/>
      <c r="AT103" s="569"/>
      <c r="AU103" s="569"/>
      <c r="AV103" s="569"/>
      <c r="AW103" s="569"/>
      <c r="AX103" s="569"/>
      <c r="AY103" s="569"/>
      <c r="AZ103" s="569"/>
    </row>
    <row r="104" spans="1:52" x14ac:dyDescent="0.2">
      <c r="A104" s="569"/>
      <c r="B104" s="595"/>
      <c r="C104" s="595"/>
      <c r="D104" s="595"/>
      <c r="E104" s="595"/>
      <c r="F104" s="595"/>
      <c r="G104" s="595"/>
      <c r="H104" s="595"/>
      <c r="I104" s="595"/>
      <c r="J104" s="595"/>
      <c r="K104" s="569"/>
      <c r="L104" s="569"/>
      <c r="M104" s="569"/>
      <c r="N104" s="569"/>
      <c r="O104" s="569"/>
      <c r="P104" s="569"/>
      <c r="Q104" s="569"/>
      <c r="R104" s="569"/>
      <c r="S104" s="569"/>
      <c r="T104" s="569"/>
      <c r="U104" s="569"/>
      <c r="V104" s="569"/>
      <c r="W104" s="569"/>
      <c r="X104" s="569"/>
      <c r="Y104" s="569"/>
      <c r="Z104" s="569"/>
      <c r="AA104" s="569"/>
      <c r="AB104" s="569"/>
      <c r="AC104" s="569"/>
      <c r="AD104" s="569"/>
      <c r="AE104" s="569"/>
      <c r="AF104" s="569"/>
      <c r="AG104" s="569"/>
      <c r="AH104" s="569"/>
      <c r="AI104" s="569"/>
      <c r="AJ104" s="569"/>
      <c r="AK104" s="569"/>
      <c r="AL104" s="569"/>
      <c r="AM104" s="569"/>
      <c r="AN104" s="569"/>
      <c r="AO104" s="569"/>
      <c r="AP104" s="569"/>
      <c r="AQ104" s="569"/>
      <c r="AR104" s="569"/>
      <c r="AS104" s="569"/>
      <c r="AT104" s="569"/>
      <c r="AU104" s="569"/>
      <c r="AV104" s="569"/>
      <c r="AW104" s="569"/>
      <c r="AX104" s="569"/>
      <c r="AY104" s="569"/>
      <c r="AZ104" s="569"/>
    </row>
    <row r="105" spans="1:52" x14ac:dyDescent="0.2">
      <c r="A105" s="569"/>
      <c r="B105" s="595"/>
      <c r="C105" s="595"/>
      <c r="D105" s="595"/>
      <c r="E105" s="595"/>
      <c r="F105" s="595"/>
      <c r="G105" s="595"/>
      <c r="H105" s="595"/>
      <c r="I105" s="595"/>
      <c r="J105" s="595"/>
      <c r="K105" s="569"/>
      <c r="L105" s="569"/>
      <c r="M105" s="569"/>
      <c r="N105" s="569"/>
      <c r="O105" s="569"/>
      <c r="P105" s="569"/>
      <c r="Q105" s="569"/>
      <c r="R105" s="569"/>
      <c r="S105" s="569"/>
      <c r="T105" s="569"/>
      <c r="U105" s="569"/>
      <c r="V105" s="569"/>
      <c r="W105" s="569"/>
      <c r="X105" s="569"/>
      <c r="Y105" s="569"/>
      <c r="Z105" s="569"/>
      <c r="AA105" s="569"/>
      <c r="AB105" s="569"/>
      <c r="AC105" s="569"/>
      <c r="AD105" s="569"/>
      <c r="AE105" s="569"/>
      <c r="AF105" s="569"/>
      <c r="AG105" s="569"/>
      <c r="AH105" s="569"/>
      <c r="AI105" s="569"/>
      <c r="AJ105" s="569"/>
      <c r="AK105" s="569"/>
      <c r="AL105" s="569"/>
      <c r="AM105" s="569"/>
      <c r="AN105" s="569"/>
      <c r="AO105" s="569"/>
      <c r="AP105" s="569"/>
      <c r="AQ105" s="569"/>
      <c r="AR105" s="569"/>
      <c r="AS105" s="569"/>
      <c r="AT105" s="569"/>
      <c r="AU105" s="569"/>
      <c r="AV105" s="569"/>
      <c r="AW105" s="569"/>
      <c r="AX105" s="569"/>
      <c r="AY105" s="569"/>
      <c r="AZ105" s="569"/>
    </row>
    <row r="106" spans="1:52" x14ac:dyDescent="0.2">
      <c r="A106" s="569"/>
      <c r="B106" s="595"/>
      <c r="C106" s="595"/>
      <c r="D106" s="595"/>
      <c r="E106" s="595"/>
      <c r="F106" s="595"/>
      <c r="G106" s="595"/>
      <c r="H106" s="595"/>
      <c r="I106" s="595"/>
      <c r="J106" s="595"/>
      <c r="K106" s="569"/>
      <c r="L106" s="569"/>
      <c r="M106" s="569"/>
      <c r="N106" s="569"/>
      <c r="O106" s="569"/>
      <c r="P106" s="569"/>
      <c r="Q106" s="569"/>
      <c r="R106" s="569"/>
      <c r="S106" s="569"/>
      <c r="T106" s="569"/>
      <c r="U106" s="569"/>
      <c r="V106" s="569"/>
      <c r="W106" s="569"/>
      <c r="X106" s="569"/>
      <c r="Y106" s="569"/>
      <c r="Z106" s="569"/>
      <c r="AA106" s="569"/>
      <c r="AB106" s="569"/>
      <c r="AC106" s="569"/>
      <c r="AD106" s="569"/>
      <c r="AE106" s="569"/>
      <c r="AF106" s="569"/>
      <c r="AG106" s="569"/>
      <c r="AH106" s="569"/>
      <c r="AI106" s="569"/>
      <c r="AJ106" s="569"/>
      <c r="AK106" s="569"/>
      <c r="AL106" s="569"/>
      <c r="AM106" s="569"/>
      <c r="AN106" s="569"/>
      <c r="AO106" s="569"/>
      <c r="AP106" s="569"/>
      <c r="AQ106" s="569"/>
      <c r="AR106" s="569"/>
      <c r="AS106" s="569"/>
      <c r="AT106" s="569"/>
      <c r="AU106" s="569"/>
      <c r="AV106" s="569"/>
      <c r="AW106" s="569"/>
      <c r="AX106" s="569"/>
      <c r="AY106" s="569"/>
      <c r="AZ106" s="569"/>
    </row>
    <row r="107" spans="1:52" x14ac:dyDescent="0.2">
      <c r="A107" s="569"/>
      <c r="B107" s="595"/>
      <c r="C107" s="595"/>
      <c r="D107" s="595"/>
      <c r="E107" s="595"/>
      <c r="F107" s="595"/>
      <c r="G107" s="595"/>
      <c r="H107" s="595"/>
      <c r="I107" s="595"/>
      <c r="J107" s="595"/>
      <c r="K107" s="569"/>
      <c r="L107" s="569"/>
      <c r="M107" s="569"/>
      <c r="N107" s="569"/>
      <c r="O107" s="569"/>
      <c r="P107" s="569"/>
      <c r="Q107" s="569"/>
      <c r="R107" s="569"/>
      <c r="S107" s="569"/>
      <c r="T107" s="569"/>
      <c r="U107" s="569"/>
      <c r="V107" s="569"/>
      <c r="W107" s="569"/>
      <c r="X107" s="569"/>
      <c r="Y107" s="569"/>
      <c r="Z107" s="569"/>
      <c r="AA107" s="569"/>
      <c r="AB107" s="569"/>
      <c r="AC107" s="569"/>
      <c r="AD107" s="569"/>
      <c r="AE107" s="569"/>
      <c r="AF107" s="569"/>
      <c r="AG107" s="569"/>
      <c r="AH107" s="569"/>
      <c r="AI107" s="569"/>
      <c r="AJ107" s="569"/>
      <c r="AK107" s="569"/>
      <c r="AL107" s="569"/>
      <c r="AM107" s="569"/>
      <c r="AN107" s="569"/>
      <c r="AO107" s="569"/>
      <c r="AP107" s="569"/>
      <c r="AQ107" s="569"/>
      <c r="AR107" s="569"/>
      <c r="AS107" s="569"/>
      <c r="AT107" s="569"/>
      <c r="AU107" s="569"/>
      <c r="AV107" s="569"/>
      <c r="AW107" s="569"/>
      <c r="AX107" s="569"/>
      <c r="AY107" s="569"/>
      <c r="AZ107" s="569"/>
    </row>
    <row r="108" spans="1:52" x14ac:dyDescent="0.2">
      <c r="A108" s="569"/>
      <c r="B108" s="595"/>
      <c r="C108" s="595"/>
      <c r="D108" s="595"/>
      <c r="E108" s="595"/>
      <c r="F108" s="595"/>
      <c r="G108" s="595"/>
      <c r="H108" s="595"/>
      <c r="I108" s="595"/>
      <c r="J108" s="595"/>
      <c r="K108" s="569"/>
      <c r="L108" s="569"/>
      <c r="M108" s="569"/>
      <c r="N108" s="569"/>
      <c r="O108" s="569"/>
      <c r="P108" s="569"/>
      <c r="Q108" s="569"/>
      <c r="R108" s="569"/>
      <c r="S108" s="569"/>
      <c r="T108" s="569"/>
      <c r="U108" s="569"/>
      <c r="V108" s="569"/>
      <c r="W108" s="569"/>
      <c r="X108" s="569"/>
      <c r="Y108" s="569"/>
      <c r="Z108" s="569"/>
      <c r="AA108" s="569"/>
      <c r="AB108" s="569"/>
      <c r="AC108" s="569"/>
      <c r="AD108" s="569"/>
      <c r="AE108" s="569"/>
      <c r="AF108" s="569"/>
      <c r="AG108" s="569"/>
      <c r="AH108" s="569"/>
      <c r="AI108" s="569"/>
      <c r="AJ108" s="569"/>
      <c r="AK108" s="569"/>
      <c r="AL108" s="569"/>
      <c r="AM108" s="569"/>
      <c r="AN108" s="569"/>
      <c r="AO108" s="569"/>
      <c r="AP108" s="569"/>
      <c r="AQ108" s="569"/>
      <c r="AR108" s="569"/>
      <c r="AS108" s="569"/>
      <c r="AT108" s="569"/>
      <c r="AU108" s="569"/>
      <c r="AV108" s="569"/>
      <c r="AW108" s="569"/>
      <c r="AX108" s="569"/>
      <c r="AY108" s="569"/>
      <c r="AZ108" s="569"/>
    </row>
    <row r="109" spans="1:52" x14ac:dyDescent="0.2">
      <c r="A109" s="569"/>
      <c r="B109" s="595"/>
      <c r="C109" s="595"/>
      <c r="D109" s="595"/>
      <c r="E109" s="595"/>
      <c r="F109" s="595"/>
      <c r="G109" s="595"/>
      <c r="H109" s="595"/>
      <c r="I109" s="595"/>
      <c r="J109" s="595"/>
      <c r="K109" s="569"/>
      <c r="L109" s="569"/>
      <c r="M109" s="569"/>
      <c r="N109" s="569"/>
      <c r="O109" s="569"/>
      <c r="P109" s="569"/>
      <c r="Q109" s="569"/>
      <c r="R109" s="569"/>
      <c r="S109" s="569"/>
      <c r="T109" s="569"/>
      <c r="U109" s="569"/>
      <c r="V109" s="569"/>
      <c r="W109" s="569"/>
      <c r="X109" s="569"/>
      <c r="Y109" s="569"/>
      <c r="Z109" s="569"/>
      <c r="AA109" s="569"/>
      <c r="AB109" s="569"/>
      <c r="AC109" s="569"/>
      <c r="AD109" s="569"/>
      <c r="AE109" s="569"/>
      <c r="AF109" s="569"/>
      <c r="AG109" s="569"/>
      <c r="AH109" s="569"/>
      <c r="AI109" s="569"/>
      <c r="AJ109" s="569"/>
      <c r="AK109" s="569"/>
      <c r="AL109" s="569"/>
      <c r="AM109" s="569"/>
      <c r="AN109" s="569"/>
      <c r="AO109" s="569"/>
      <c r="AP109" s="569"/>
      <c r="AQ109" s="569"/>
      <c r="AR109" s="569"/>
      <c r="AS109" s="569"/>
      <c r="AT109" s="569"/>
      <c r="AU109" s="569"/>
      <c r="AV109" s="569"/>
      <c r="AW109" s="569"/>
      <c r="AX109" s="569"/>
      <c r="AY109" s="569"/>
      <c r="AZ109" s="569"/>
    </row>
    <row r="110" spans="1:52" x14ac:dyDescent="0.2">
      <c r="A110" s="569"/>
      <c r="B110" s="595"/>
      <c r="C110" s="595"/>
      <c r="D110" s="595"/>
      <c r="E110" s="595"/>
      <c r="F110" s="595"/>
      <c r="G110" s="595"/>
      <c r="H110" s="595"/>
      <c r="I110" s="595"/>
      <c r="J110" s="595"/>
      <c r="K110" s="569"/>
      <c r="L110" s="569"/>
      <c r="M110" s="569"/>
      <c r="N110" s="569"/>
      <c r="O110" s="569"/>
      <c r="P110" s="569"/>
      <c r="Q110" s="569"/>
      <c r="R110" s="569"/>
      <c r="S110" s="569"/>
      <c r="T110" s="569"/>
      <c r="U110" s="569"/>
      <c r="V110" s="569"/>
      <c r="W110" s="569"/>
      <c r="X110" s="569"/>
      <c r="Y110" s="569"/>
      <c r="Z110" s="569"/>
      <c r="AA110" s="569"/>
      <c r="AB110" s="569"/>
      <c r="AC110" s="569"/>
      <c r="AD110" s="569"/>
      <c r="AE110" s="569"/>
      <c r="AF110" s="569"/>
      <c r="AG110" s="569"/>
      <c r="AH110" s="569"/>
      <c r="AI110" s="569"/>
      <c r="AJ110" s="569"/>
      <c r="AK110" s="569"/>
      <c r="AL110" s="569"/>
      <c r="AM110" s="569"/>
      <c r="AN110" s="569"/>
      <c r="AO110" s="569"/>
      <c r="AP110" s="569"/>
      <c r="AQ110" s="569"/>
      <c r="AR110" s="569"/>
      <c r="AS110" s="569"/>
      <c r="AT110" s="569"/>
      <c r="AU110" s="569"/>
      <c r="AV110" s="569"/>
      <c r="AW110" s="569"/>
      <c r="AX110" s="569"/>
      <c r="AY110" s="569"/>
      <c r="AZ110" s="569"/>
    </row>
    <row r="111" spans="1:52" x14ac:dyDescent="0.2">
      <c r="A111" s="569"/>
      <c r="B111" s="595"/>
      <c r="C111" s="595"/>
      <c r="D111" s="595"/>
      <c r="E111" s="595"/>
      <c r="F111" s="595"/>
      <c r="G111" s="595"/>
      <c r="H111" s="595"/>
      <c r="I111" s="595"/>
      <c r="J111" s="595"/>
      <c r="K111" s="569"/>
      <c r="L111" s="569"/>
      <c r="M111" s="569"/>
      <c r="N111" s="569"/>
      <c r="O111" s="569"/>
      <c r="P111" s="569"/>
      <c r="Q111" s="569"/>
      <c r="R111" s="569"/>
      <c r="S111" s="569"/>
      <c r="T111" s="569"/>
      <c r="U111" s="569"/>
      <c r="V111" s="569"/>
      <c r="W111" s="569"/>
      <c r="X111" s="569"/>
      <c r="Y111" s="569"/>
      <c r="Z111" s="569"/>
      <c r="AA111" s="569"/>
      <c r="AB111" s="569"/>
      <c r="AC111" s="569"/>
      <c r="AD111" s="569"/>
      <c r="AE111" s="569"/>
      <c r="AF111" s="569"/>
      <c r="AG111" s="569"/>
      <c r="AH111" s="569"/>
      <c r="AI111" s="569"/>
      <c r="AJ111" s="569"/>
      <c r="AK111" s="569"/>
      <c r="AL111" s="569"/>
      <c r="AM111" s="569"/>
      <c r="AN111" s="569"/>
      <c r="AO111" s="569"/>
      <c r="AP111" s="569"/>
      <c r="AQ111" s="569"/>
      <c r="AR111" s="569"/>
      <c r="AS111" s="569"/>
      <c r="AT111" s="569"/>
      <c r="AU111" s="569"/>
      <c r="AV111" s="569"/>
      <c r="AW111" s="569"/>
      <c r="AX111" s="569"/>
      <c r="AY111" s="569"/>
      <c r="AZ111" s="569"/>
    </row>
    <row r="112" spans="1:52" x14ac:dyDescent="0.2">
      <c r="A112" s="569"/>
      <c r="B112" s="595"/>
      <c r="C112" s="595"/>
      <c r="D112" s="595"/>
      <c r="E112" s="595"/>
      <c r="F112" s="595"/>
      <c r="G112" s="595"/>
      <c r="H112" s="595"/>
      <c r="I112" s="595"/>
      <c r="J112" s="595"/>
      <c r="K112" s="569"/>
      <c r="L112" s="569"/>
      <c r="M112" s="569"/>
      <c r="N112" s="569"/>
      <c r="O112" s="569"/>
      <c r="P112" s="569"/>
      <c r="Q112" s="569"/>
      <c r="R112" s="569"/>
      <c r="S112" s="569"/>
      <c r="T112" s="569"/>
      <c r="U112" s="569"/>
      <c r="V112" s="569"/>
      <c r="W112" s="569"/>
      <c r="X112" s="569"/>
      <c r="Y112" s="569"/>
      <c r="Z112" s="569"/>
      <c r="AA112" s="569"/>
      <c r="AB112" s="569"/>
      <c r="AC112" s="569"/>
      <c r="AD112" s="569"/>
      <c r="AE112" s="569"/>
      <c r="AF112" s="569"/>
      <c r="AG112" s="569"/>
      <c r="AH112" s="569"/>
      <c r="AI112" s="569"/>
      <c r="AJ112" s="569"/>
      <c r="AK112" s="569"/>
      <c r="AL112" s="569"/>
      <c r="AM112" s="569"/>
      <c r="AN112" s="569"/>
      <c r="AO112" s="569"/>
      <c r="AP112" s="569"/>
      <c r="AQ112" s="569"/>
      <c r="AR112" s="569"/>
      <c r="AS112" s="569"/>
      <c r="AT112" s="569"/>
      <c r="AU112" s="569"/>
      <c r="AV112" s="569"/>
      <c r="AW112" s="569"/>
      <c r="AX112" s="569"/>
      <c r="AY112" s="569"/>
      <c r="AZ112" s="569"/>
    </row>
    <row r="113" spans="1:52" x14ac:dyDescent="0.2">
      <c r="A113" s="569"/>
      <c r="B113" s="595"/>
      <c r="C113" s="595"/>
      <c r="D113" s="595"/>
      <c r="E113" s="595"/>
      <c r="F113" s="595"/>
      <c r="G113" s="595"/>
      <c r="H113" s="595"/>
      <c r="I113" s="595"/>
      <c r="J113" s="595"/>
      <c r="K113" s="569"/>
      <c r="L113" s="569"/>
      <c r="M113" s="569"/>
      <c r="N113" s="569"/>
      <c r="O113" s="569"/>
      <c r="P113" s="569"/>
      <c r="Q113" s="569"/>
      <c r="R113" s="569"/>
      <c r="S113" s="569"/>
      <c r="T113" s="569"/>
      <c r="U113" s="569"/>
      <c r="V113" s="569"/>
      <c r="W113" s="569"/>
      <c r="X113" s="569"/>
      <c r="Y113" s="569"/>
      <c r="Z113" s="569"/>
      <c r="AA113" s="569"/>
      <c r="AB113" s="569"/>
      <c r="AC113" s="569"/>
      <c r="AD113" s="569"/>
      <c r="AE113" s="569"/>
      <c r="AF113" s="569"/>
      <c r="AG113" s="569"/>
      <c r="AH113" s="569"/>
      <c r="AI113" s="569"/>
      <c r="AJ113" s="569"/>
      <c r="AK113" s="569"/>
      <c r="AL113" s="569"/>
      <c r="AM113" s="569"/>
      <c r="AN113" s="569"/>
      <c r="AO113" s="569"/>
      <c r="AP113" s="569"/>
      <c r="AQ113" s="569"/>
      <c r="AR113" s="569"/>
      <c r="AS113" s="569"/>
      <c r="AT113" s="569"/>
      <c r="AU113" s="569"/>
      <c r="AV113" s="569"/>
      <c r="AW113" s="569"/>
      <c r="AX113" s="569"/>
      <c r="AY113" s="569"/>
      <c r="AZ113" s="569"/>
    </row>
    <row r="114" spans="1:52" x14ac:dyDescent="0.2">
      <c r="A114" s="569"/>
      <c r="B114" s="595"/>
      <c r="C114" s="595"/>
      <c r="D114" s="595"/>
      <c r="E114" s="595"/>
      <c r="F114" s="595"/>
      <c r="G114" s="595"/>
      <c r="H114" s="595"/>
      <c r="I114" s="595"/>
      <c r="J114" s="595"/>
      <c r="K114" s="569"/>
      <c r="L114" s="569"/>
      <c r="M114" s="569"/>
      <c r="N114" s="569"/>
      <c r="O114" s="569"/>
      <c r="P114" s="569"/>
      <c r="Q114" s="569"/>
      <c r="R114" s="569"/>
      <c r="S114" s="569"/>
      <c r="T114" s="569"/>
      <c r="U114" s="569"/>
      <c r="V114" s="569"/>
      <c r="W114" s="569"/>
      <c r="X114" s="569"/>
      <c r="Y114" s="569"/>
      <c r="Z114" s="569"/>
      <c r="AA114" s="569"/>
      <c r="AB114" s="569"/>
      <c r="AC114" s="569"/>
      <c r="AD114" s="569"/>
      <c r="AE114" s="569"/>
      <c r="AF114" s="569"/>
      <c r="AG114" s="569"/>
      <c r="AH114" s="569"/>
      <c r="AI114" s="569"/>
      <c r="AJ114" s="569"/>
      <c r="AK114" s="569"/>
      <c r="AL114" s="569"/>
      <c r="AM114" s="569"/>
      <c r="AN114" s="569"/>
      <c r="AO114" s="569"/>
      <c r="AP114" s="569"/>
      <c r="AQ114" s="569"/>
      <c r="AR114" s="569"/>
      <c r="AS114" s="569"/>
      <c r="AT114" s="569"/>
      <c r="AU114" s="569"/>
      <c r="AV114" s="569"/>
      <c r="AW114" s="569"/>
      <c r="AX114" s="569"/>
      <c r="AY114" s="569"/>
      <c r="AZ114" s="569"/>
    </row>
    <row r="115" spans="1:52" x14ac:dyDescent="0.2">
      <c r="A115" s="569"/>
      <c r="B115" s="595"/>
      <c r="C115" s="595"/>
      <c r="D115" s="595"/>
      <c r="E115" s="595"/>
      <c r="F115" s="595"/>
      <c r="G115" s="595"/>
      <c r="H115" s="595"/>
      <c r="I115" s="595"/>
      <c r="J115" s="595"/>
      <c r="K115" s="569"/>
      <c r="L115" s="569"/>
      <c r="M115" s="569"/>
      <c r="N115" s="569"/>
      <c r="O115" s="569"/>
      <c r="P115" s="569"/>
      <c r="Q115" s="569"/>
      <c r="R115" s="569"/>
      <c r="S115" s="569"/>
      <c r="T115" s="569"/>
      <c r="U115" s="569"/>
      <c r="V115" s="569"/>
      <c r="W115" s="569"/>
      <c r="X115" s="569"/>
      <c r="Y115" s="569"/>
      <c r="Z115" s="569"/>
      <c r="AA115" s="569"/>
      <c r="AB115" s="569"/>
      <c r="AC115" s="569"/>
      <c r="AD115" s="569"/>
      <c r="AE115" s="569"/>
      <c r="AF115" s="569"/>
      <c r="AG115" s="569"/>
      <c r="AH115" s="569"/>
      <c r="AI115" s="569"/>
      <c r="AJ115" s="569"/>
      <c r="AK115" s="569"/>
      <c r="AL115" s="569"/>
      <c r="AM115" s="569"/>
      <c r="AN115" s="569"/>
      <c r="AO115" s="569"/>
      <c r="AP115" s="569"/>
      <c r="AQ115" s="569"/>
      <c r="AR115" s="569"/>
      <c r="AS115" s="569"/>
      <c r="AT115" s="569"/>
      <c r="AU115" s="569"/>
      <c r="AV115" s="569"/>
      <c r="AW115" s="569"/>
      <c r="AX115" s="569"/>
      <c r="AY115" s="569"/>
      <c r="AZ115" s="569"/>
    </row>
    <row r="116" spans="1:52" x14ac:dyDescent="0.2">
      <c r="A116" s="569"/>
      <c r="B116" s="595"/>
      <c r="C116" s="595"/>
      <c r="D116" s="595"/>
      <c r="E116" s="595"/>
      <c r="F116" s="595"/>
      <c r="G116" s="595"/>
      <c r="H116" s="595"/>
      <c r="I116" s="595"/>
      <c r="J116" s="595"/>
      <c r="K116" s="569"/>
      <c r="L116" s="569"/>
      <c r="M116" s="569"/>
      <c r="N116" s="569"/>
      <c r="O116" s="569"/>
      <c r="P116" s="569"/>
      <c r="Q116" s="569"/>
      <c r="R116" s="569"/>
      <c r="S116" s="569"/>
      <c r="T116" s="569"/>
      <c r="U116" s="569"/>
      <c r="V116" s="569"/>
      <c r="W116" s="569"/>
      <c r="X116" s="569"/>
      <c r="Y116" s="569"/>
      <c r="Z116" s="569"/>
      <c r="AA116" s="569"/>
      <c r="AB116" s="569"/>
      <c r="AC116" s="569"/>
      <c r="AD116" s="569"/>
      <c r="AE116" s="569"/>
      <c r="AF116" s="569"/>
      <c r="AG116" s="569"/>
      <c r="AH116" s="569"/>
      <c r="AI116" s="569"/>
      <c r="AJ116" s="569"/>
      <c r="AK116" s="569"/>
      <c r="AL116" s="569"/>
      <c r="AM116" s="569"/>
      <c r="AN116" s="569"/>
      <c r="AO116" s="569"/>
      <c r="AP116" s="569"/>
      <c r="AQ116" s="569"/>
      <c r="AR116" s="569"/>
      <c r="AS116" s="569"/>
      <c r="AT116" s="569"/>
      <c r="AU116" s="569"/>
      <c r="AV116" s="569"/>
      <c r="AW116" s="569"/>
      <c r="AX116" s="569"/>
      <c r="AY116" s="569"/>
      <c r="AZ116" s="569"/>
    </row>
    <row r="117" spans="1:52" x14ac:dyDescent="0.2">
      <c r="A117" s="569"/>
      <c r="B117" s="595"/>
      <c r="C117" s="595"/>
      <c r="D117" s="595"/>
      <c r="E117" s="595"/>
      <c r="F117" s="595"/>
      <c r="G117" s="595"/>
      <c r="H117" s="595"/>
      <c r="I117" s="595"/>
      <c r="J117" s="595"/>
      <c r="K117" s="569"/>
      <c r="L117" s="569"/>
      <c r="M117" s="569"/>
      <c r="N117" s="569"/>
      <c r="O117" s="569"/>
      <c r="P117" s="569"/>
      <c r="Q117" s="569"/>
      <c r="R117" s="569"/>
      <c r="S117" s="569"/>
      <c r="T117" s="569"/>
      <c r="U117" s="569"/>
      <c r="V117" s="569"/>
      <c r="W117" s="569"/>
      <c r="X117" s="569"/>
      <c r="Y117" s="569"/>
      <c r="Z117" s="569"/>
      <c r="AA117" s="569"/>
      <c r="AB117" s="569"/>
      <c r="AC117" s="569"/>
      <c r="AD117" s="569"/>
      <c r="AE117" s="569"/>
      <c r="AF117" s="569"/>
      <c r="AG117" s="569"/>
      <c r="AH117" s="569"/>
      <c r="AI117" s="569"/>
      <c r="AJ117" s="569"/>
      <c r="AK117" s="569"/>
      <c r="AL117" s="569"/>
      <c r="AM117" s="569"/>
      <c r="AN117" s="569"/>
      <c r="AO117" s="569"/>
      <c r="AP117" s="569"/>
      <c r="AQ117" s="569"/>
      <c r="AR117" s="569"/>
      <c r="AS117" s="569"/>
      <c r="AT117" s="569"/>
      <c r="AU117" s="569"/>
      <c r="AV117" s="569"/>
      <c r="AW117" s="569"/>
      <c r="AX117" s="569"/>
      <c r="AY117" s="569"/>
      <c r="AZ117" s="569"/>
    </row>
    <row r="118" spans="1:52" x14ac:dyDescent="0.2">
      <c r="A118" s="569"/>
      <c r="B118" s="595"/>
      <c r="C118" s="595"/>
      <c r="D118" s="595"/>
      <c r="E118" s="595"/>
      <c r="F118" s="595"/>
      <c r="G118" s="595"/>
      <c r="H118" s="595"/>
      <c r="I118" s="595"/>
      <c r="J118" s="595"/>
      <c r="K118" s="569"/>
      <c r="L118" s="569"/>
      <c r="M118" s="569"/>
      <c r="N118" s="569"/>
      <c r="O118" s="569"/>
      <c r="P118" s="569"/>
      <c r="Q118" s="569"/>
      <c r="R118" s="569"/>
      <c r="S118" s="569"/>
      <c r="T118" s="569"/>
      <c r="U118" s="569"/>
      <c r="V118" s="569"/>
      <c r="W118" s="569"/>
      <c r="X118" s="569"/>
      <c r="Y118" s="569"/>
      <c r="Z118" s="569"/>
      <c r="AA118" s="569"/>
      <c r="AB118" s="569"/>
      <c r="AC118" s="569"/>
      <c r="AD118" s="569"/>
      <c r="AE118" s="569"/>
      <c r="AF118" s="569"/>
      <c r="AG118" s="569"/>
      <c r="AH118" s="569"/>
      <c r="AI118" s="569"/>
      <c r="AJ118" s="569"/>
      <c r="AK118" s="569"/>
      <c r="AL118" s="569"/>
      <c r="AM118" s="569"/>
      <c r="AN118" s="569"/>
      <c r="AO118" s="569"/>
      <c r="AP118" s="569"/>
      <c r="AQ118" s="569"/>
      <c r="AR118" s="569"/>
      <c r="AS118" s="569"/>
      <c r="AT118" s="569"/>
      <c r="AU118" s="569"/>
      <c r="AV118" s="569"/>
      <c r="AW118" s="569"/>
      <c r="AX118" s="569"/>
      <c r="AY118" s="569"/>
      <c r="AZ118" s="569"/>
    </row>
    <row r="119" spans="1:52" x14ac:dyDescent="0.2">
      <c r="A119" s="569"/>
      <c r="B119" s="595"/>
      <c r="C119" s="595"/>
      <c r="D119" s="595"/>
      <c r="E119" s="595"/>
      <c r="F119" s="595"/>
      <c r="G119" s="595"/>
      <c r="H119" s="595"/>
      <c r="I119" s="595"/>
      <c r="J119" s="595"/>
      <c r="K119" s="569"/>
      <c r="L119" s="569"/>
      <c r="M119" s="569"/>
      <c r="N119" s="569"/>
      <c r="O119" s="569"/>
      <c r="P119" s="569"/>
      <c r="Q119" s="569"/>
      <c r="R119" s="569"/>
      <c r="S119" s="569"/>
      <c r="T119" s="569"/>
      <c r="U119" s="569"/>
      <c r="V119" s="569"/>
      <c r="W119" s="569"/>
      <c r="X119" s="569"/>
      <c r="Y119" s="569"/>
      <c r="Z119" s="569"/>
      <c r="AA119" s="569"/>
      <c r="AB119" s="569"/>
      <c r="AC119" s="569"/>
      <c r="AD119" s="569"/>
      <c r="AE119" s="569"/>
      <c r="AF119" s="569"/>
      <c r="AG119" s="569"/>
      <c r="AH119" s="569"/>
      <c r="AI119" s="569"/>
      <c r="AJ119" s="569"/>
      <c r="AK119" s="569"/>
      <c r="AL119" s="569"/>
      <c r="AM119" s="569"/>
      <c r="AN119" s="569"/>
      <c r="AO119" s="569"/>
      <c r="AP119" s="569"/>
      <c r="AQ119" s="569"/>
      <c r="AR119" s="569"/>
      <c r="AS119" s="569"/>
      <c r="AT119" s="569"/>
      <c r="AU119" s="569"/>
      <c r="AV119" s="569"/>
      <c r="AW119" s="569"/>
      <c r="AX119" s="569"/>
      <c r="AY119" s="569"/>
      <c r="AZ119" s="569"/>
    </row>
    <row r="120" spans="1:52" x14ac:dyDescent="0.2">
      <c r="A120" s="569"/>
      <c r="B120" s="595"/>
      <c r="C120" s="595"/>
      <c r="D120" s="595"/>
      <c r="E120" s="595"/>
      <c r="F120" s="595"/>
      <c r="G120" s="595"/>
      <c r="H120" s="595"/>
      <c r="I120" s="595"/>
      <c r="J120" s="595"/>
      <c r="K120" s="569"/>
      <c r="L120" s="569"/>
      <c r="M120" s="569"/>
      <c r="N120" s="569"/>
      <c r="O120" s="569"/>
      <c r="P120" s="569"/>
      <c r="Q120" s="569"/>
      <c r="R120" s="569"/>
      <c r="S120" s="569"/>
      <c r="T120" s="569"/>
      <c r="U120" s="569"/>
      <c r="V120" s="569"/>
      <c r="W120" s="569"/>
      <c r="X120" s="569"/>
      <c r="Y120" s="569"/>
      <c r="Z120" s="569"/>
      <c r="AA120" s="569"/>
      <c r="AB120" s="569"/>
      <c r="AC120" s="569"/>
      <c r="AD120" s="569"/>
      <c r="AE120" s="569"/>
      <c r="AF120" s="569"/>
      <c r="AG120" s="569"/>
      <c r="AH120" s="569"/>
      <c r="AI120" s="569"/>
      <c r="AJ120" s="569"/>
      <c r="AK120" s="569"/>
      <c r="AL120" s="569"/>
      <c r="AM120" s="569"/>
      <c r="AN120" s="569"/>
      <c r="AO120" s="569"/>
      <c r="AP120" s="569"/>
      <c r="AQ120" s="569"/>
      <c r="AR120" s="569"/>
      <c r="AS120" s="569"/>
      <c r="AT120" s="569"/>
      <c r="AU120" s="569"/>
      <c r="AV120" s="569"/>
      <c r="AW120" s="569"/>
      <c r="AX120" s="569"/>
      <c r="AY120" s="569"/>
      <c r="AZ120" s="569"/>
    </row>
    <row r="121" spans="1:52" x14ac:dyDescent="0.2">
      <c r="A121" s="569"/>
      <c r="B121" s="595"/>
      <c r="C121" s="595"/>
      <c r="D121" s="595"/>
      <c r="E121" s="595"/>
      <c r="F121" s="595"/>
      <c r="G121" s="595"/>
      <c r="H121" s="595"/>
      <c r="I121" s="595"/>
      <c r="J121" s="595"/>
      <c r="K121" s="569"/>
      <c r="L121" s="569"/>
      <c r="M121" s="569"/>
      <c r="N121" s="569"/>
      <c r="O121" s="569"/>
      <c r="P121" s="569"/>
      <c r="Q121" s="569"/>
      <c r="R121" s="569"/>
      <c r="S121" s="569"/>
      <c r="T121" s="569"/>
      <c r="U121" s="569"/>
      <c r="V121" s="569"/>
      <c r="W121" s="569"/>
      <c r="X121" s="569"/>
      <c r="Y121" s="569"/>
      <c r="Z121" s="569"/>
      <c r="AA121" s="569"/>
      <c r="AB121" s="569"/>
      <c r="AC121" s="569"/>
      <c r="AD121" s="569"/>
      <c r="AE121" s="569"/>
      <c r="AF121" s="569"/>
      <c r="AG121" s="569"/>
      <c r="AH121" s="569"/>
      <c r="AI121" s="569"/>
      <c r="AJ121" s="569"/>
      <c r="AK121" s="569"/>
      <c r="AL121" s="569"/>
      <c r="AM121" s="569"/>
      <c r="AN121" s="569"/>
      <c r="AO121" s="569"/>
      <c r="AP121" s="569"/>
      <c r="AQ121" s="569"/>
      <c r="AR121" s="569"/>
      <c r="AS121" s="569"/>
      <c r="AT121" s="569"/>
      <c r="AU121" s="569"/>
      <c r="AV121" s="569"/>
      <c r="AW121" s="569"/>
      <c r="AX121" s="569"/>
      <c r="AY121" s="569"/>
      <c r="AZ121" s="569"/>
    </row>
    <row r="122" spans="1:52" x14ac:dyDescent="0.2">
      <c r="A122" s="569"/>
      <c r="B122" s="595"/>
      <c r="C122" s="595"/>
      <c r="D122" s="595"/>
      <c r="E122" s="595"/>
      <c r="F122" s="595"/>
      <c r="G122" s="595"/>
      <c r="H122" s="595"/>
      <c r="I122" s="595"/>
      <c r="J122" s="595"/>
      <c r="K122" s="569"/>
      <c r="L122" s="569"/>
      <c r="M122" s="569"/>
      <c r="N122" s="569"/>
      <c r="O122" s="569"/>
      <c r="P122" s="569"/>
      <c r="Q122" s="569"/>
      <c r="R122" s="569"/>
      <c r="S122" s="569"/>
      <c r="T122" s="569"/>
      <c r="U122" s="569"/>
      <c r="V122" s="569"/>
      <c r="W122" s="569"/>
      <c r="X122" s="569"/>
      <c r="Y122" s="569"/>
      <c r="Z122" s="569"/>
      <c r="AA122" s="569"/>
      <c r="AB122" s="569"/>
      <c r="AC122" s="569"/>
      <c r="AD122" s="569"/>
      <c r="AE122" s="569"/>
      <c r="AF122" s="569"/>
      <c r="AG122" s="569"/>
      <c r="AH122" s="569"/>
      <c r="AI122" s="569"/>
      <c r="AJ122" s="569"/>
      <c r="AK122" s="569"/>
      <c r="AL122" s="569"/>
      <c r="AM122" s="569"/>
      <c r="AN122" s="569"/>
      <c r="AO122" s="569"/>
      <c r="AP122" s="569"/>
      <c r="AQ122" s="569"/>
      <c r="AR122" s="569"/>
      <c r="AS122" s="569"/>
      <c r="AT122" s="569"/>
      <c r="AU122" s="569"/>
      <c r="AV122" s="569"/>
      <c r="AW122" s="569"/>
      <c r="AX122" s="569"/>
      <c r="AY122" s="569"/>
      <c r="AZ122" s="569"/>
    </row>
    <row r="123" spans="1:52" x14ac:dyDescent="0.2">
      <c r="A123" s="569"/>
      <c r="B123" s="595"/>
      <c r="C123" s="595"/>
      <c r="D123" s="595"/>
      <c r="E123" s="595"/>
      <c r="F123" s="595"/>
      <c r="G123" s="595"/>
      <c r="H123" s="595"/>
      <c r="I123" s="595"/>
      <c r="J123" s="595"/>
      <c r="K123" s="569"/>
      <c r="L123" s="569"/>
      <c r="M123" s="569"/>
      <c r="N123" s="569"/>
      <c r="O123" s="569"/>
      <c r="P123" s="569"/>
      <c r="Q123" s="569"/>
      <c r="R123" s="569"/>
      <c r="S123" s="569"/>
      <c r="T123" s="569"/>
      <c r="U123" s="569"/>
      <c r="V123" s="569"/>
      <c r="W123" s="569"/>
      <c r="X123" s="569"/>
      <c r="Y123" s="569"/>
      <c r="Z123" s="569"/>
      <c r="AA123" s="569"/>
      <c r="AB123" s="569"/>
      <c r="AC123" s="569"/>
      <c r="AD123" s="569"/>
      <c r="AE123" s="569"/>
      <c r="AF123" s="569"/>
      <c r="AG123" s="569"/>
      <c r="AH123" s="569"/>
      <c r="AI123" s="569"/>
      <c r="AJ123" s="569"/>
      <c r="AK123" s="569"/>
      <c r="AL123" s="569"/>
      <c r="AM123" s="569"/>
      <c r="AN123" s="569"/>
      <c r="AO123" s="569"/>
      <c r="AP123" s="569"/>
      <c r="AQ123" s="569"/>
      <c r="AR123" s="569"/>
      <c r="AS123" s="569"/>
      <c r="AT123" s="569"/>
      <c r="AU123" s="569"/>
      <c r="AV123" s="569"/>
      <c r="AW123" s="569"/>
      <c r="AX123" s="569"/>
      <c r="AY123" s="569"/>
      <c r="AZ123" s="569"/>
    </row>
    <row r="124" spans="1:52" x14ac:dyDescent="0.2">
      <c r="A124" s="569"/>
      <c r="B124" s="595"/>
      <c r="C124" s="595"/>
      <c r="D124" s="595"/>
      <c r="E124" s="595"/>
      <c r="F124" s="595"/>
      <c r="G124" s="595"/>
      <c r="H124" s="595"/>
      <c r="I124" s="595"/>
      <c r="J124" s="595"/>
      <c r="K124" s="569"/>
      <c r="L124" s="569"/>
      <c r="M124" s="569"/>
      <c r="N124" s="569"/>
      <c r="O124" s="569"/>
      <c r="P124" s="569"/>
      <c r="Q124" s="569"/>
      <c r="R124" s="569"/>
      <c r="S124" s="569"/>
      <c r="T124" s="569"/>
      <c r="U124" s="569"/>
      <c r="V124" s="569"/>
      <c r="W124" s="569"/>
      <c r="X124" s="569"/>
      <c r="Y124" s="569"/>
      <c r="Z124" s="569"/>
      <c r="AA124" s="569"/>
      <c r="AB124" s="569"/>
      <c r="AC124" s="569"/>
      <c r="AD124" s="569"/>
      <c r="AE124" s="569"/>
      <c r="AF124" s="569"/>
      <c r="AG124" s="569"/>
      <c r="AH124" s="569"/>
      <c r="AI124" s="569"/>
      <c r="AJ124" s="569"/>
      <c r="AK124" s="569"/>
      <c r="AL124" s="569"/>
      <c r="AM124" s="569"/>
      <c r="AN124" s="569"/>
      <c r="AO124" s="569"/>
      <c r="AP124" s="569"/>
      <c r="AQ124" s="569"/>
      <c r="AR124" s="569"/>
      <c r="AS124" s="569"/>
      <c r="AT124" s="569"/>
      <c r="AU124" s="569"/>
      <c r="AV124" s="569"/>
      <c r="AW124" s="569"/>
      <c r="AX124" s="569"/>
      <c r="AY124" s="569"/>
      <c r="AZ124" s="569"/>
    </row>
    <row r="125" spans="1:52" x14ac:dyDescent="0.2">
      <c r="A125" s="569"/>
      <c r="B125" s="595"/>
      <c r="C125" s="595"/>
      <c r="D125" s="595"/>
      <c r="E125" s="595"/>
      <c r="F125" s="595"/>
      <c r="G125" s="595"/>
      <c r="H125" s="595"/>
      <c r="I125" s="595"/>
      <c r="J125" s="595"/>
      <c r="K125" s="569"/>
      <c r="L125" s="569"/>
      <c r="M125" s="569"/>
      <c r="N125" s="569"/>
      <c r="O125" s="569"/>
      <c r="P125" s="569"/>
      <c r="Q125" s="569"/>
      <c r="R125" s="569"/>
      <c r="S125" s="569"/>
      <c r="T125" s="569"/>
      <c r="U125" s="569"/>
      <c r="V125" s="569"/>
      <c r="W125" s="569"/>
      <c r="X125" s="569"/>
      <c r="Y125" s="569"/>
      <c r="Z125" s="569"/>
      <c r="AA125" s="569"/>
      <c r="AB125" s="569"/>
      <c r="AC125" s="569"/>
      <c r="AD125" s="569"/>
      <c r="AE125" s="569"/>
      <c r="AF125" s="569"/>
      <c r="AG125" s="569"/>
      <c r="AH125" s="569"/>
      <c r="AI125" s="569"/>
      <c r="AJ125" s="569"/>
      <c r="AK125" s="569"/>
      <c r="AL125" s="569"/>
      <c r="AM125" s="569"/>
      <c r="AN125" s="569"/>
      <c r="AO125" s="569"/>
      <c r="AP125" s="569"/>
      <c r="AQ125" s="569"/>
      <c r="AR125" s="569"/>
      <c r="AS125" s="569"/>
      <c r="AT125" s="569"/>
      <c r="AU125" s="569"/>
      <c r="AV125" s="569"/>
      <c r="AW125" s="569"/>
      <c r="AX125" s="569"/>
      <c r="AY125" s="569"/>
      <c r="AZ125" s="569"/>
    </row>
    <row r="126" spans="1:52" x14ac:dyDescent="0.2">
      <c r="A126" s="569"/>
      <c r="B126" s="595"/>
      <c r="C126" s="595"/>
      <c r="D126" s="595"/>
      <c r="E126" s="595"/>
      <c r="F126" s="595"/>
      <c r="G126" s="595"/>
      <c r="H126" s="595"/>
      <c r="I126" s="595"/>
      <c r="J126" s="595"/>
      <c r="K126" s="569"/>
      <c r="L126" s="569"/>
      <c r="M126" s="569"/>
      <c r="N126" s="569"/>
      <c r="O126" s="569"/>
      <c r="P126" s="569"/>
      <c r="Q126" s="569"/>
      <c r="R126" s="569"/>
      <c r="S126" s="569"/>
      <c r="T126" s="569"/>
      <c r="U126" s="569"/>
      <c r="V126" s="569"/>
      <c r="W126" s="569"/>
      <c r="X126" s="569"/>
      <c r="Y126" s="569"/>
      <c r="Z126" s="569"/>
      <c r="AA126" s="569"/>
      <c r="AB126" s="569"/>
      <c r="AC126" s="569"/>
      <c r="AD126" s="569"/>
      <c r="AE126" s="569"/>
      <c r="AF126" s="569"/>
      <c r="AG126" s="569"/>
      <c r="AH126" s="569"/>
      <c r="AI126" s="569"/>
      <c r="AJ126" s="569"/>
      <c r="AK126" s="569"/>
      <c r="AL126" s="569"/>
      <c r="AM126" s="569"/>
      <c r="AN126" s="569"/>
      <c r="AO126" s="569"/>
      <c r="AP126" s="569"/>
      <c r="AQ126" s="569"/>
      <c r="AR126" s="569"/>
      <c r="AS126" s="569"/>
      <c r="AT126" s="569"/>
      <c r="AU126" s="569"/>
      <c r="AV126" s="569"/>
      <c r="AW126" s="569"/>
      <c r="AX126" s="569"/>
      <c r="AY126" s="569"/>
      <c r="AZ126" s="569"/>
    </row>
    <row r="127" spans="1:52" x14ac:dyDescent="0.2">
      <c r="A127" s="569"/>
      <c r="B127" s="595"/>
      <c r="C127" s="595"/>
      <c r="D127" s="595"/>
      <c r="E127" s="595"/>
      <c r="F127" s="595"/>
      <c r="G127" s="595"/>
      <c r="H127" s="595"/>
      <c r="I127" s="595"/>
      <c r="J127" s="595"/>
      <c r="K127" s="569"/>
      <c r="L127" s="569"/>
      <c r="M127" s="569"/>
      <c r="N127" s="569"/>
      <c r="O127" s="569"/>
      <c r="P127" s="569"/>
      <c r="Q127" s="569"/>
      <c r="R127" s="569"/>
      <c r="S127" s="569"/>
      <c r="T127" s="569"/>
      <c r="U127" s="569"/>
      <c r="V127" s="569"/>
      <c r="W127" s="569"/>
      <c r="X127" s="569"/>
      <c r="Y127" s="569"/>
      <c r="Z127" s="569"/>
      <c r="AA127" s="569"/>
      <c r="AB127" s="569"/>
      <c r="AC127" s="569"/>
      <c r="AD127" s="569"/>
      <c r="AE127" s="569"/>
      <c r="AF127" s="569"/>
      <c r="AG127" s="569"/>
      <c r="AH127" s="569"/>
      <c r="AI127" s="569"/>
      <c r="AJ127" s="569"/>
      <c r="AK127" s="569"/>
      <c r="AL127" s="569"/>
      <c r="AM127" s="569"/>
      <c r="AN127" s="569"/>
      <c r="AO127" s="569"/>
      <c r="AP127" s="569"/>
      <c r="AQ127" s="569"/>
      <c r="AR127" s="569"/>
      <c r="AS127" s="569"/>
      <c r="AT127" s="569"/>
      <c r="AU127" s="569"/>
      <c r="AV127" s="569"/>
      <c r="AW127" s="569"/>
      <c r="AX127" s="569"/>
      <c r="AY127" s="569"/>
      <c r="AZ127" s="569"/>
    </row>
    <row r="128" spans="1:52" x14ac:dyDescent="0.2">
      <c r="A128" s="569"/>
      <c r="B128" s="595"/>
      <c r="C128" s="595"/>
      <c r="D128" s="595"/>
      <c r="E128" s="595"/>
      <c r="F128" s="595"/>
      <c r="G128" s="595"/>
      <c r="H128" s="595"/>
      <c r="I128" s="595"/>
      <c r="J128" s="595"/>
      <c r="K128" s="569"/>
      <c r="L128" s="569"/>
      <c r="M128" s="569"/>
      <c r="N128" s="569"/>
      <c r="O128" s="569"/>
      <c r="P128" s="569"/>
      <c r="Q128" s="569"/>
      <c r="R128" s="569"/>
      <c r="S128" s="569"/>
      <c r="T128" s="569"/>
      <c r="U128" s="569"/>
      <c r="V128" s="569"/>
      <c r="W128" s="569"/>
      <c r="X128" s="569"/>
      <c r="Y128" s="569"/>
      <c r="Z128" s="569"/>
      <c r="AA128" s="569"/>
      <c r="AB128" s="569"/>
      <c r="AC128" s="569"/>
      <c r="AD128" s="569"/>
      <c r="AE128" s="569"/>
      <c r="AF128" s="569"/>
      <c r="AG128" s="569"/>
      <c r="AH128" s="569"/>
      <c r="AI128" s="569"/>
      <c r="AJ128" s="569"/>
      <c r="AK128" s="569"/>
      <c r="AL128" s="569"/>
      <c r="AM128" s="569"/>
      <c r="AN128" s="569"/>
      <c r="AO128" s="569"/>
      <c r="AP128" s="569"/>
      <c r="AQ128" s="569"/>
      <c r="AR128" s="569"/>
      <c r="AS128" s="569"/>
      <c r="AT128" s="569"/>
      <c r="AU128" s="569"/>
      <c r="AV128" s="569"/>
      <c r="AW128" s="569"/>
      <c r="AX128" s="569"/>
      <c r="AY128" s="569"/>
      <c r="AZ128" s="569"/>
    </row>
    <row r="129" spans="1:52" x14ac:dyDescent="0.2">
      <c r="A129" s="569"/>
      <c r="B129" s="595"/>
      <c r="C129" s="595"/>
      <c r="D129" s="595"/>
      <c r="E129" s="595"/>
      <c r="F129" s="595"/>
      <c r="G129" s="595"/>
      <c r="H129" s="595"/>
      <c r="I129" s="595"/>
      <c r="J129" s="595"/>
      <c r="K129" s="569"/>
      <c r="L129" s="569"/>
      <c r="M129" s="569"/>
      <c r="N129" s="569"/>
      <c r="O129" s="569"/>
      <c r="P129" s="569"/>
      <c r="Q129" s="569"/>
      <c r="R129" s="569"/>
      <c r="S129" s="569"/>
      <c r="T129" s="569"/>
      <c r="U129" s="569"/>
      <c r="V129" s="569"/>
      <c r="W129" s="569"/>
      <c r="X129" s="569"/>
      <c r="Y129" s="569"/>
      <c r="Z129" s="569"/>
      <c r="AA129" s="569"/>
      <c r="AB129" s="569"/>
      <c r="AC129" s="569"/>
      <c r="AD129" s="569"/>
      <c r="AE129" s="569"/>
      <c r="AF129" s="569"/>
      <c r="AG129" s="569"/>
      <c r="AH129" s="569"/>
      <c r="AI129" s="569"/>
      <c r="AJ129" s="569"/>
      <c r="AK129" s="569"/>
      <c r="AL129" s="569"/>
      <c r="AM129" s="569"/>
      <c r="AN129" s="569"/>
      <c r="AO129" s="569"/>
      <c r="AP129" s="569"/>
      <c r="AQ129" s="569"/>
      <c r="AR129" s="569"/>
      <c r="AS129" s="569"/>
      <c r="AT129" s="569"/>
      <c r="AU129" s="569"/>
      <c r="AV129" s="569"/>
      <c r="AW129" s="569"/>
      <c r="AX129" s="569"/>
      <c r="AY129" s="569"/>
      <c r="AZ129" s="569"/>
    </row>
    <row r="130" spans="1:52" x14ac:dyDescent="0.2">
      <c r="A130" s="569"/>
      <c r="B130" s="595"/>
      <c r="C130" s="595"/>
      <c r="D130" s="595"/>
      <c r="E130" s="595"/>
      <c r="F130" s="595"/>
      <c r="G130" s="595"/>
      <c r="H130" s="595"/>
      <c r="I130" s="595"/>
      <c r="J130" s="595"/>
      <c r="K130" s="569"/>
      <c r="L130" s="569"/>
      <c r="M130" s="569"/>
      <c r="N130" s="569"/>
      <c r="O130" s="569"/>
      <c r="P130" s="569"/>
      <c r="Q130" s="569"/>
      <c r="R130" s="569"/>
      <c r="S130" s="569"/>
      <c r="T130" s="569"/>
      <c r="U130" s="569"/>
      <c r="V130" s="569"/>
      <c r="W130" s="569"/>
      <c r="X130" s="569"/>
      <c r="Y130" s="569"/>
      <c r="Z130" s="569"/>
      <c r="AA130" s="569"/>
      <c r="AB130" s="569"/>
      <c r="AC130" s="569"/>
      <c r="AD130" s="569"/>
      <c r="AE130" s="569"/>
      <c r="AF130" s="569"/>
      <c r="AG130" s="569"/>
      <c r="AH130" s="569"/>
      <c r="AI130" s="569"/>
      <c r="AJ130" s="569"/>
      <c r="AK130" s="569"/>
      <c r="AL130" s="569"/>
      <c r="AM130" s="569"/>
      <c r="AN130" s="569"/>
      <c r="AO130" s="569"/>
      <c r="AP130" s="569"/>
      <c r="AQ130" s="569"/>
      <c r="AR130" s="569"/>
      <c r="AS130" s="569"/>
      <c r="AT130" s="569"/>
      <c r="AU130" s="569"/>
      <c r="AV130" s="569"/>
      <c r="AW130" s="569"/>
      <c r="AX130" s="569"/>
      <c r="AY130" s="569"/>
      <c r="AZ130" s="569"/>
    </row>
    <row r="131" spans="1:52" x14ac:dyDescent="0.2">
      <c r="A131" s="569"/>
      <c r="B131" s="595"/>
      <c r="C131" s="595"/>
      <c r="D131" s="595"/>
      <c r="E131" s="595"/>
      <c r="F131" s="595"/>
      <c r="G131" s="595"/>
      <c r="H131" s="595"/>
      <c r="I131" s="595"/>
      <c r="J131" s="595"/>
      <c r="K131" s="569"/>
      <c r="L131" s="569"/>
      <c r="M131" s="569"/>
      <c r="N131" s="569"/>
      <c r="O131" s="569"/>
      <c r="P131" s="569"/>
      <c r="Q131" s="569"/>
      <c r="R131" s="569"/>
      <c r="S131" s="569"/>
      <c r="T131" s="569"/>
      <c r="U131" s="569"/>
      <c r="V131" s="569"/>
      <c r="W131" s="569"/>
      <c r="X131" s="569"/>
      <c r="Y131" s="569"/>
      <c r="Z131" s="569"/>
      <c r="AA131" s="569"/>
      <c r="AB131" s="569"/>
      <c r="AC131" s="569"/>
      <c r="AD131" s="569"/>
      <c r="AE131" s="569"/>
      <c r="AF131" s="569"/>
      <c r="AG131" s="569"/>
      <c r="AH131" s="569"/>
      <c r="AI131" s="569"/>
      <c r="AJ131" s="569"/>
      <c r="AK131" s="569"/>
      <c r="AL131" s="569"/>
      <c r="AM131" s="569"/>
      <c r="AN131" s="569"/>
      <c r="AO131" s="569"/>
      <c r="AP131" s="569"/>
      <c r="AQ131" s="569"/>
      <c r="AR131" s="569"/>
      <c r="AS131" s="569"/>
      <c r="AT131" s="569"/>
      <c r="AU131" s="569"/>
      <c r="AV131" s="569"/>
      <c r="AW131" s="569"/>
      <c r="AX131" s="569"/>
      <c r="AY131" s="569"/>
      <c r="AZ131" s="569"/>
    </row>
    <row r="132" spans="1:52" x14ac:dyDescent="0.2">
      <c r="A132" s="569"/>
      <c r="B132" s="595"/>
      <c r="C132" s="595"/>
      <c r="D132" s="595"/>
      <c r="E132" s="595"/>
      <c r="F132" s="595"/>
      <c r="G132" s="595"/>
      <c r="H132" s="595"/>
      <c r="I132" s="595"/>
      <c r="J132" s="595"/>
      <c r="K132" s="569"/>
      <c r="L132" s="569"/>
      <c r="M132" s="569"/>
      <c r="N132" s="569"/>
      <c r="O132" s="569"/>
      <c r="P132" s="569"/>
      <c r="Q132" s="569"/>
      <c r="R132" s="569"/>
      <c r="S132" s="569"/>
      <c r="T132" s="569"/>
      <c r="U132" s="569"/>
      <c r="V132" s="569"/>
      <c r="W132" s="569"/>
      <c r="X132" s="569"/>
      <c r="Y132" s="569"/>
      <c r="Z132" s="569"/>
      <c r="AA132" s="569"/>
      <c r="AB132" s="569"/>
      <c r="AC132" s="569"/>
      <c r="AD132" s="569"/>
      <c r="AE132" s="569"/>
      <c r="AF132" s="569"/>
      <c r="AG132" s="569"/>
      <c r="AH132" s="569"/>
      <c r="AI132" s="569"/>
      <c r="AJ132" s="569"/>
      <c r="AK132" s="569"/>
      <c r="AL132" s="569"/>
      <c r="AM132" s="569"/>
      <c r="AN132" s="569"/>
      <c r="AO132" s="569"/>
      <c r="AP132" s="569"/>
      <c r="AQ132" s="569"/>
      <c r="AR132" s="569"/>
      <c r="AS132" s="569"/>
      <c r="AT132" s="569"/>
      <c r="AU132" s="569"/>
      <c r="AV132" s="569"/>
      <c r="AW132" s="569"/>
      <c r="AX132" s="569"/>
      <c r="AY132" s="569"/>
      <c r="AZ132" s="569"/>
    </row>
    <row r="133" spans="1:52" x14ac:dyDescent="0.2">
      <c r="A133" s="569"/>
      <c r="B133" s="595"/>
      <c r="C133" s="595"/>
      <c r="D133" s="595"/>
      <c r="E133" s="595"/>
      <c r="F133" s="595"/>
      <c r="G133" s="595"/>
      <c r="H133" s="595"/>
      <c r="I133" s="595"/>
      <c r="J133" s="595"/>
      <c r="K133" s="569"/>
      <c r="L133" s="569"/>
      <c r="M133" s="569"/>
      <c r="N133" s="569"/>
      <c r="O133" s="569"/>
      <c r="P133" s="569"/>
      <c r="Q133" s="569"/>
      <c r="R133" s="569"/>
      <c r="S133" s="569"/>
      <c r="T133" s="569"/>
      <c r="U133" s="569"/>
      <c r="V133" s="569"/>
      <c r="W133" s="569"/>
      <c r="X133" s="569"/>
      <c r="Y133" s="569"/>
      <c r="Z133" s="569"/>
      <c r="AA133" s="569"/>
      <c r="AB133" s="569"/>
      <c r="AC133" s="569"/>
      <c r="AD133" s="569"/>
      <c r="AE133" s="569"/>
      <c r="AF133" s="569"/>
      <c r="AG133" s="569"/>
      <c r="AH133" s="569"/>
      <c r="AI133" s="569"/>
      <c r="AJ133" s="569"/>
      <c r="AK133" s="569"/>
      <c r="AL133" s="569"/>
      <c r="AM133" s="569"/>
      <c r="AN133" s="569"/>
      <c r="AO133" s="569"/>
      <c r="AP133" s="569"/>
      <c r="AQ133" s="569"/>
      <c r="AR133" s="569"/>
      <c r="AS133" s="569"/>
      <c r="AT133" s="569"/>
      <c r="AU133" s="569"/>
      <c r="AV133" s="569"/>
      <c r="AW133" s="569"/>
      <c r="AX133" s="569"/>
      <c r="AY133" s="569"/>
      <c r="AZ133" s="569"/>
    </row>
    <row r="134" spans="1:52" x14ac:dyDescent="0.2">
      <c r="A134" s="569"/>
      <c r="B134" s="595"/>
      <c r="C134" s="595"/>
      <c r="D134" s="595"/>
      <c r="E134" s="595"/>
      <c r="F134" s="595"/>
      <c r="G134" s="595"/>
      <c r="H134" s="595"/>
      <c r="I134" s="595"/>
      <c r="J134" s="595"/>
      <c r="K134" s="569"/>
      <c r="L134" s="569"/>
      <c r="M134" s="569"/>
      <c r="N134" s="569"/>
      <c r="O134" s="569"/>
      <c r="P134" s="569"/>
      <c r="Q134" s="569"/>
      <c r="R134" s="569"/>
      <c r="S134" s="569"/>
      <c r="T134" s="569"/>
      <c r="U134" s="569"/>
      <c r="V134" s="569"/>
      <c r="W134" s="569"/>
      <c r="X134" s="569"/>
      <c r="Y134" s="569"/>
      <c r="Z134" s="569"/>
      <c r="AA134" s="569"/>
      <c r="AB134" s="569"/>
      <c r="AC134" s="569"/>
      <c r="AD134" s="569"/>
      <c r="AE134" s="569"/>
      <c r="AF134" s="569"/>
      <c r="AG134" s="569"/>
      <c r="AH134" s="569"/>
      <c r="AI134" s="569"/>
      <c r="AJ134" s="569"/>
      <c r="AK134" s="569"/>
      <c r="AL134" s="569"/>
      <c r="AM134" s="569"/>
      <c r="AN134" s="569"/>
      <c r="AO134" s="569"/>
      <c r="AP134" s="569"/>
      <c r="AQ134" s="569"/>
      <c r="AR134" s="569"/>
      <c r="AS134" s="569"/>
      <c r="AT134" s="569"/>
      <c r="AU134" s="569"/>
      <c r="AV134" s="569"/>
      <c r="AW134" s="569"/>
      <c r="AX134" s="569"/>
      <c r="AY134" s="569"/>
      <c r="AZ134" s="569"/>
    </row>
    <row r="135" spans="1:52" x14ac:dyDescent="0.2">
      <c r="A135" s="569"/>
      <c r="B135" s="595"/>
      <c r="C135" s="595"/>
      <c r="D135" s="595"/>
      <c r="E135" s="595"/>
      <c r="F135" s="595"/>
      <c r="G135" s="595"/>
      <c r="H135" s="595"/>
      <c r="I135" s="595"/>
      <c r="J135" s="595"/>
      <c r="K135" s="569"/>
      <c r="L135" s="569"/>
      <c r="M135" s="569"/>
      <c r="N135" s="569"/>
      <c r="O135" s="569"/>
      <c r="P135" s="569"/>
      <c r="Q135" s="569"/>
      <c r="R135" s="569"/>
      <c r="S135" s="569"/>
      <c r="T135" s="569"/>
      <c r="U135" s="569"/>
      <c r="V135" s="569"/>
      <c r="W135" s="569"/>
      <c r="X135" s="569"/>
      <c r="Y135" s="569"/>
      <c r="Z135" s="569"/>
      <c r="AA135" s="569"/>
      <c r="AB135" s="569"/>
      <c r="AC135" s="569"/>
      <c r="AD135" s="569"/>
      <c r="AE135" s="569"/>
      <c r="AF135" s="569"/>
      <c r="AG135" s="569"/>
      <c r="AH135" s="569"/>
      <c r="AI135" s="569"/>
      <c r="AJ135" s="569"/>
      <c r="AK135" s="569"/>
      <c r="AL135" s="569"/>
      <c r="AM135" s="569"/>
      <c r="AN135" s="569"/>
      <c r="AO135" s="569"/>
      <c r="AP135" s="569"/>
      <c r="AQ135" s="569"/>
      <c r="AR135" s="569"/>
      <c r="AS135" s="569"/>
      <c r="AT135" s="569"/>
      <c r="AU135" s="569"/>
      <c r="AV135" s="569"/>
      <c r="AW135" s="569"/>
      <c r="AX135" s="569"/>
      <c r="AY135" s="569"/>
      <c r="AZ135" s="569"/>
    </row>
    <row r="136" spans="1:52" x14ac:dyDescent="0.2">
      <c r="A136" s="569"/>
      <c r="B136" s="595"/>
      <c r="C136" s="595"/>
      <c r="D136" s="595"/>
      <c r="E136" s="595"/>
      <c r="F136" s="595"/>
      <c r="G136" s="595"/>
      <c r="H136" s="595"/>
      <c r="I136" s="595"/>
      <c r="J136" s="595"/>
      <c r="K136" s="569"/>
      <c r="L136" s="569"/>
      <c r="M136" s="569"/>
      <c r="N136" s="569"/>
      <c r="O136" s="569"/>
      <c r="P136" s="569"/>
      <c r="Q136" s="569"/>
      <c r="R136" s="569"/>
      <c r="S136" s="569"/>
      <c r="T136" s="569"/>
      <c r="U136" s="569"/>
      <c r="V136" s="569"/>
      <c r="W136" s="569"/>
      <c r="X136" s="569"/>
      <c r="Y136" s="569"/>
      <c r="Z136" s="569"/>
      <c r="AA136" s="569"/>
      <c r="AB136" s="569"/>
      <c r="AC136" s="569"/>
      <c r="AD136" s="569"/>
      <c r="AE136" s="569"/>
      <c r="AF136" s="569"/>
      <c r="AG136" s="569"/>
      <c r="AH136" s="569"/>
      <c r="AI136" s="569"/>
      <c r="AJ136" s="569"/>
      <c r="AK136" s="569"/>
      <c r="AL136" s="569"/>
      <c r="AM136" s="569"/>
      <c r="AN136" s="569"/>
      <c r="AO136" s="569"/>
      <c r="AP136" s="569"/>
      <c r="AQ136" s="569"/>
      <c r="AR136" s="569"/>
      <c r="AS136" s="569"/>
      <c r="AT136" s="569"/>
      <c r="AU136" s="569"/>
      <c r="AV136" s="569"/>
      <c r="AW136" s="569"/>
      <c r="AX136" s="569"/>
      <c r="AY136" s="569"/>
      <c r="AZ136" s="569"/>
    </row>
    <row r="137" spans="1:52" x14ac:dyDescent="0.2">
      <c r="A137" s="569"/>
      <c r="B137" s="595"/>
      <c r="C137" s="595"/>
      <c r="D137" s="595"/>
      <c r="E137" s="595"/>
      <c r="F137" s="595"/>
      <c r="G137" s="595"/>
      <c r="H137" s="595"/>
      <c r="I137" s="595"/>
      <c r="J137" s="595"/>
      <c r="K137" s="569"/>
      <c r="L137" s="569"/>
      <c r="M137" s="569"/>
      <c r="N137" s="569"/>
      <c r="O137" s="569"/>
      <c r="P137" s="569"/>
      <c r="Q137" s="569"/>
      <c r="R137" s="569"/>
      <c r="S137" s="569"/>
      <c r="T137" s="569"/>
      <c r="U137" s="569"/>
      <c r="V137" s="569"/>
      <c r="W137" s="569"/>
      <c r="X137" s="569"/>
      <c r="Y137" s="569"/>
      <c r="Z137" s="569"/>
      <c r="AA137" s="569"/>
      <c r="AB137" s="569"/>
      <c r="AC137" s="569"/>
      <c r="AD137" s="569"/>
      <c r="AE137" s="569"/>
      <c r="AF137" s="569"/>
      <c r="AG137" s="569"/>
      <c r="AH137" s="569"/>
      <c r="AI137" s="569"/>
      <c r="AJ137" s="569"/>
      <c r="AK137" s="569"/>
      <c r="AL137" s="569"/>
      <c r="AM137" s="569"/>
      <c r="AN137" s="569"/>
      <c r="AO137" s="569"/>
      <c r="AP137" s="569"/>
      <c r="AQ137" s="569"/>
      <c r="AR137" s="569"/>
      <c r="AS137" s="569"/>
      <c r="AT137" s="569"/>
      <c r="AU137" s="569"/>
      <c r="AV137" s="569"/>
      <c r="AW137" s="569"/>
      <c r="AX137" s="569"/>
      <c r="AY137" s="569"/>
      <c r="AZ137" s="569"/>
    </row>
    <row r="138" spans="1:52" x14ac:dyDescent="0.2">
      <c r="A138" s="569"/>
      <c r="B138" s="595"/>
      <c r="C138" s="595"/>
      <c r="D138" s="595"/>
      <c r="E138" s="595"/>
      <c r="F138" s="595"/>
      <c r="G138" s="595"/>
      <c r="H138" s="595"/>
      <c r="I138" s="595"/>
      <c r="J138" s="595"/>
      <c r="K138" s="569"/>
      <c r="L138" s="569"/>
      <c r="M138" s="569"/>
      <c r="N138" s="569"/>
      <c r="O138" s="569"/>
      <c r="P138" s="569"/>
      <c r="Q138" s="569"/>
      <c r="R138" s="569"/>
      <c r="S138" s="569"/>
      <c r="T138" s="569"/>
      <c r="U138" s="569"/>
      <c r="V138" s="569"/>
      <c r="W138" s="569"/>
      <c r="X138" s="569"/>
      <c r="Y138" s="569"/>
      <c r="Z138" s="569"/>
      <c r="AA138" s="569"/>
      <c r="AB138" s="569"/>
      <c r="AC138" s="569"/>
      <c r="AD138" s="569"/>
      <c r="AE138" s="569"/>
      <c r="AF138" s="569"/>
      <c r="AG138" s="569"/>
      <c r="AH138" s="569"/>
      <c r="AI138" s="569"/>
      <c r="AJ138" s="569"/>
      <c r="AK138" s="569"/>
      <c r="AL138" s="569"/>
      <c r="AM138" s="569"/>
      <c r="AN138" s="569"/>
      <c r="AO138" s="569"/>
      <c r="AP138" s="569"/>
      <c r="AQ138" s="569"/>
      <c r="AR138" s="569"/>
      <c r="AS138" s="569"/>
      <c r="AT138" s="569"/>
      <c r="AU138" s="569"/>
      <c r="AV138" s="569"/>
      <c r="AW138" s="569"/>
      <c r="AX138" s="569"/>
      <c r="AY138" s="569"/>
      <c r="AZ138" s="569"/>
    </row>
    <row r="139" spans="1:52" x14ac:dyDescent="0.2">
      <c r="A139" s="569"/>
      <c r="B139" s="595"/>
      <c r="C139" s="595"/>
      <c r="D139" s="595"/>
      <c r="E139" s="595"/>
      <c r="F139" s="595"/>
      <c r="G139" s="595"/>
      <c r="H139" s="595"/>
      <c r="I139" s="595"/>
      <c r="J139" s="595"/>
      <c r="K139" s="569"/>
      <c r="L139" s="569"/>
      <c r="M139" s="569"/>
      <c r="N139" s="569"/>
      <c r="O139" s="569"/>
      <c r="P139" s="569"/>
      <c r="Q139" s="569"/>
      <c r="R139" s="569"/>
      <c r="S139" s="569"/>
      <c r="T139" s="569"/>
      <c r="U139" s="569"/>
      <c r="V139" s="569"/>
      <c r="W139" s="569"/>
      <c r="X139" s="569"/>
      <c r="Y139" s="569"/>
      <c r="Z139" s="569"/>
      <c r="AA139" s="569"/>
      <c r="AB139" s="569"/>
      <c r="AC139" s="569"/>
      <c r="AD139" s="569"/>
      <c r="AE139" s="569"/>
      <c r="AF139" s="569"/>
      <c r="AG139" s="569"/>
      <c r="AH139" s="569"/>
      <c r="AI139" s="569"/>
      <c r="AJ139" s="569"/>
      <c r="AK139" s="569"/>
      <c r="AL139" s="569"/>
      <c r="AM139" s="569"/>
      <c r="AN139" s="569"/>
      <c r="AO139" s="569"/>
      <c r="AP139" s="569"/>
      <c r="AQ139" s="569"/>
      <c r="AR139" s="569"/>
      <c r="AS139" s="569"/>
      <c r="AT139" s="569"/>
      <c r="AU139" s="569"/>
      <c r="AV139" s="569"/>
      <c r="AW139" s="569"/>
      <c r="AX139" s="569"/>
      <c r="AY139" s="569"/>
      <c r="AZ139" s="569"/>
    </row>
    <row r="140" spans="1:52" x14ac:dyDescent="0.2">
      <c r="A140" s="569"/>
      <c r="B140" s="595"/>
      <c r="C140" s="595"/>
      <c r="D140" s="595"/>
      <c r="E140" s="595"/>
      <c r="F140" s="595"/>
      <c r="G140" s="595"/>
      <c r="H140" s="595"/>
      <c r="I140" s="595"/>
      <c r="J140" s="595"/>
      <c r="K140" s="569"/>
      <c r="L140" s="569"/>
      <c r="M140" s="569"/>
      <c r="N140" s="569"/>
      <c r="O140" s="569"/>
      <c r="P140" s="569"/>
      <c r="Q140" s="569"/>
      <c r="R140" s="569"/>
      <c r="S140" s="569"/>
      <c r="T140" s="569"/>
      <c r="U140" s="569"/>
      <c r="V140" s="569"/>
      <c r="W140" s="569"/>
      <c r="X140" s="569"/>
      <c r="Y140" s="569"/>
      <c r="Z140" s="569"/>
      <c r="AA140" s="569"/>
      <c r="AB140" s="569"/>
      <c r="AC140" s="569"/>
      <c r="AD140" s="569"/>
      <c r="AE140" s="569"/>
      <c r="AF140" s="569"/>
      <c r="AG140" s="569"/>
      <c r="AH140" s="569"/>
      <c r="AI140" s="569"/>
      <c r="AJ140" s="569"/>
      <c r="AK140" s="569"/>
      <c r="AL140" s="569"/>
      <c r="AM140" s="569"/>
      <c r="AN140" s="569"/>
      <c r="AO140" s="569"/>
      <c r="AP140" s="569"/>
      <c r="AQ140" s="569"/>
      <c r="AR140" s="569"/>
      <c r="AS140" s="569"/>
      <c r="AT140" s="569"/>
      <c r="AU140" s="569"/>
      <c r="AV140" s="569"/>
      <c r="AW140" s="569"/>
      <c r="AX140" s="569"/>
      <c r="AY140" s="569"/>
      <c r="AZ140" s="569"/>
    </row>
    <row r="141" spans="1:52" x14ac:dyDescent="0.2">
      <c r="A141" s="569"/>
      <c r="B141" s="595"/>
      <c r="C141" s="595"/>
      <c r="D141" s="595"/>
      <c r="E141" s="595"/>
      <c r="F141" s="595"/>
      <c r="G141" s="595"/>
      <c r="H141" s="595"/>
      <c r="I141" s="595"/>
      <c r="J141" s="595"/>
      <c r="K141" s="569"/>
      <c r="L141" s="569"/>
      <c r="M141" s="569"/>
      <c r="N141" s="569"/>
      <c r="O141" s="569"/>
      <c r="P141" s="569"/>
      <c r="Q141" s="569"/>
      <c r="R141" s="569"/>
      <c r="S141" s="569"/>
      <c r="T141" s="569"/>
      <c r="U141" s="569"/>
      <c r="V141" s="569"/>
      <c r="W141" s="569"/>
      <c r="X141" s="569"/>
      <c r="Y141" s="569"/>
      <c r="Z141" s="569"/>
      <c r="AA141" s="569"/>
      <c r="AB141" s="569"/>
      <c r="AC141" s="569"/>
      <c r="AD141" s="569"/>
      <c r="AE141" s="569"/>
      <c r="AF141" s="569"/>
      <c r="AG141" s="569"/>
      <c r="AH141" s="569"/>
      <c r="AI141" s="569"/>
      <c r="AJ141" s="569"/>
      <c r="AK141" s="569"/>
      <c r="AL141" s="569"/>
      <c r="AM141" s="569"/>
      <c r="AN141" s="569"/>
      <c r="AO141" s="569"/>
      <c r="AP141" s="569"/>
      <c r="AQ141" s="569"/>
      <c r="AR141" s="569"/>
      <c r="AS141" s="569"/>
      <c r="AT141" s="569"/>
      <c r="AU141" s="569"/>
      <c r="AV141" s="569"/>
      <c r="AW141" s="569"/>
      <c r="AX141" s="569"/>
      <c r="AY141" s="569"/>
      <c r="AZ141" s="569"/>
    </row>
    <row r="142" spans="1:52" x14ac:dyDescent="0.2">
      <c r="A142" s="569"/>
      <c r="B142" s="595"/>
      <c r="C142" s="595"/>
      <c r="D142" s="595"/>
      <c r="E142" s="595"/>
      <c r="F142" s="595"/>
      <c r="G142" s="595"/>
      <c r="H142" s="595"/>
      <c r="I142" s="595"/>
      <c r="J142" s="595"/>
      <c r="K142" s="569"/>
      <c r="L142" s="569"/>
      <c r="M142" s="569"/>
      <c r="N142" s="569"/>
      <c r="O142" s="569"/>
      <c r="P142" s="569"/>
      <c r="Q142" s="569"/>
      <c r="R142" s="569"/>
      <c r="S142" s="569"/>
      <c r="T142" s="569"/>
      <c r="U142" s="569"/>
      <c r="V142" s="569"/>
      <c r="W142" s="569"/>
      <c r="X142" s="569"/>
      <c r="Y142" s="569"/>
      <c r="Z142" s="569"/>
      <c r="AA142" s="569"/>
      <c r="AB142" s="569"/>
      <c r="AC142" s="569"/>
      <c r="AD142" s="569"/>
      <c r="AE142" s="569"/>
      <c r="AF142" s="569"/>
      <c r="AG142" s="569"/>
      <c r="AH142" s="569"/>
      <c r="AI142" s="569"/>
      <c r="AJ142" s="569"/>
      <c r="AK142" s="569"/>
      <c r="AL142" s="569"/>
      <c r="AM142" s="569"/>
      <c r="AN142" s="569"/>
      <c r="AO142" s="569"/>
      <c r="AP142" s="569"/>
      <c r="AQ142" s="569"/>
      <c r="AR142" s="569"/>
      <c r="AS142" s="569"/>
      <c r="AT142" s="569"/>
      <c r="AU142" s="569"/>
      <c r="AV142" s="569"/>
      <c r="AW142" s="569"/>
      <c r="AX142" s="569"/>
      <c r="AY142" s="569"/>
      <c r="AZ142" s="569"/>
    </row>
    <row r="143" spans="1:52" x14ac:dyDescent="0.2">
      <c r="A143" s="569"/>
      <c r="B143" s="595"/>
      <c r="C143" s="595"/>
      <c r="D143" s="595"/>
      <c r="E143" s="595"/>
      <c r="F143" s="595"/>
      <c r="G143" s="595"/>
      <c r="H143" s="595"/>
      <c r="I143" s="595"/>
      <c r="J143" s="595"/>
      <c r="K143" s="569"/>
      <c r="L143" s="569"/>
      <c r="M143" s="569"/>
      <c r="N143" s="569"/>
      <c r="O143" s="569"/>
      <c r="P143" s="569"/>
      <c r="Q143" s="569"/>
      <c r="R143" s="569"/>
      <c r="S143" s="569"/>
      <c r="T143" s="569"/>
      <c r="U143" s="569"/>
      <c r="V143" s="569"/>
      <c r="W143" s="569"/>
      <c r="X143" s="569"/>
      <c r="Y143" s="569"/>
      <c r="Z143" s="569"/>
      <c r="AA143" s="569"/>
      <c r="AB143" s="569"/>
      <c r="AC143" s="569"/>
      <c r="AD143" s="569"/>
      <c r="AE143" s="569"/>
      <c r="AF143" s="569"/>
      <c r="AG143" s="569"/>
      <c r="AH143" s="569"/>
      <c r="AI143" s="569"/>
      <c r="AJ143" s="569"/>
      <c r="AK143" s="569"/>
      <c r="AL143" s="569"/>
      <c r="AM143" s="569"/>
      <c r="AN143" s="569"/>
      <c r="AO143" s="569"/>
      <c r="AP143" s="569"/>
      <c r="AQ143" s="569"/>
      <c r="AR143" s="569"/>
      <c r="AS143" s="569"/>
      <c r="AT143" s="569"/>
      <c r="AU143" s="569"/>
      <c r="AV143" s="569"/>
      <c r="AW143" s="569"/>
      <c r="AX143" s="569"/>
      <c r="AY143" s="569"/>
      <c r="AZ143" s="569"/>
    </row>
    <row r="144" spans="1:52" x14ac:dyDescent="0.2">
      <c r="A144" s="569"/>
      <c r="B144" s="595"/>
      <c r="C144" s="595"/>
      <c r="D144" s="595"/>
      <c r="E144" s="595"/>
      <c r="F144" s="595"/>
      <c r="G144" s="595"/>
      <c r="H144" s="595"/>
      <c r="I144" s="595"/>
      <c r="J144" s="595"/>
      <c r="K144" s="569"/>
      <c r="L144" s="569"/>
      <c r="M144" s="569"/>
      <c r="N144" s="569"/>
      <c r="O144" s="569"/>
      <c r="P144" s="569"/>
      <c r="Q144" s="569"/>
      <c r="R144" s="569"/>
      <c r="S144" s="569"/>
      <c r="T144" s="569"/>
      <c r="U144" s="569"/>
      <c r="V144" s="569"/>
      <c r="W144" s="569"/>
      <c r="X144" s="569"/>
      <c r="Y144" s="569"/>
      <c r="Z144" s="569"/>
      <c r="AA144" s="569"/>
      <c r="AB144" s="569"/>
      <c r="AC144" s="569"/>
      <c r="AD144" s="569"/>
      <c r="AE144" s="569"/>
      <c r="AF144" s="569"/>
      <c r="AG144" s="569"/>
      <c r="AH144" s="569"/>
      <c r="AI144" s="569"/>
      <c r="AJ144" s="569"/>
      <c r="AK144" s="569"/>
      <c r="AL144" s="569"/>
      <c r="AM144" s="569"/>
      <c r="AN144" s="569"/>
      <c r="AO144" s="569"/>
      <c r="AP144" s="569"/>
      <c r="AQ144" s="569"/>
      <c r="AR144" s="569"/>
      <c r="AS144" s="569"/>
      <c r="AT144" s="569"/>
      <c r="AU144" s="569"/>
      <c r="AV144" s="569"/>
      <c r="AW144" s="569"/>
      <c r="AX144" s="569"/>
      <c r="AY144" s="569"/>
      <c r="AZ144" s="569"/>
    </row>
    <row r="145" spans="1:52" x14ac:dyDescent="0.2">
      <c r="A145" s="569"/>
      <c r="B145" s="595"/>
      <c r="C145" s="595"/>
      <c r="D145" s="595"/>
      <c r="E145" s="595"/>
      <c r="F145" s="595"/>
      <c r="G145" s="595"/>
      <c r="H145" s="595"/>
      <c r="I145" s="595"/>
      <c r="J145" s="595"/>
      <c r="K145" s="569"/>
      <c r="L145" s="569"/>
      <c r="M145" s="569"/>
      <c r="N145" s="569"/>
      <c r="O145" s="569"/>
      <c r="P145" s="569"/>
      <c r="Q145" s="569"/>
      <c r="R145" s="569"/>
      <c r="S145" s="569"/>
      <c r="T145" s="569"/>
      <c r="U145" s="569"/>
      <c r="V145" s="569"/>
      <c r="W145" s="569"/>
      <c r="X145" s="569"/>
      <c r="Y145" s="569"/>
      <c r="Z145" s="569"/>
      <c r="AA145" s="569"/>
      <c r="AB145" s="569"/>
      <c r="AC145" s="569"/>
      <c r="AD145" s="569"/>
      <c r="AE145" s="569"/>
      <c r="AF145" s="569"/>
      <c r="AG145" s="569"/>
      <c r="AH145" s="569"/>
      <c r="AI145" s="569"/>
      <c r="AJ145" s="569"/>
      <c r="AK145" s="569"/>
      <c r="AL145" s="569"/>
      <c r="AM145" s="569"/>
      <c r="AN145" s="569"/>
      <c r="AO145" s="569"/>
      <c r="AP145" s="569"/>
      <c r="AQ145" s="569"/>
      <c r="AR145" s="569"/>
      <c r="AS145" s="569"/>
      <c r="AT145" s="569"/>
      <c r="AU145" s="569"/>
      <c r="AV145" s="569"/>
      <c r="AW145" s="569"/>
      <c r="AX145" s="569"/>
      <c r="AY145" s="569"/>
      <c r="AZ145" s="569"/>
    </row>
    <row r="146" spans="1:52" x14ac:dyDescent="0.2">
      <c r="A146" s="569"/>
      <c r="B146" s="595"/>
      <c r="C146" s="595"/>
      <c r="D146" s="595"/>
      <c r="E146" s="595"/>
      <c r="F146" s="595"/>
      <c r="G146" s="595"/>
      <c r="H146" s="595"/>
      <c r="I146" s="595"/>
      <c r="J146" s="595"/>
      <c r="K146" s="569"/>
      <c r="L146" s="569"/>
      <c r="M146" s="569"/>
      <c r="N146" s="569"/>
      <c r="O146" s="569"/>
      <c r="P146" s="569"/>
      <c r="Q146" s="569"/>
      <c r="R146" s="569"/>
      <c r="S146" s="569"/>
      <c r="T146" s="569"/>
      <c r="U146" s="569"/>
      <c r="V146" s="569"/>
      <c r="W146" s="569"/>
      <c r="X146" s="569"/>
      <c r="Y146" s="569"/>
      <c r="Z146" s="569"/>
      <c r="AA146" s="569"/>
      <c r="AB146" s="569"/>
      <c r="AC146" s="569"/>
      <c r="AD146" s="569"/>
      <c r="AE146" s="569"/>
      <c r="AF146" s="569"/>
      <c r="AG146" s="569"/>
      <c r="AH146" s="569"/>
      <c r="AI146" s="569"/>
      <c r="AJ146" s="569"/>
      <c r="AK146" s="569"/>
      <c r="AL146" s="569"/>
      <c r="AM146" s="569"/>
      <c r="AN146" s="569"/>
      <c r="AO146" s="569"/>
      <c r="AP146" s="569"/>
      <c r="AQ146" s="569"/>
      <c r="AR146" s="569"/>
      <c r="AS146" s="569"/>
      <c r="AT146" s="569"/>
      <c r="AU146" s="569"/>
      <c r="AV146" s="569"/>
      <c r="AW146" s="569"/>
      <c r="AX146" s="569"/>
      <c r="AY146" s="569"/>
      <c r="AZ146" s="569"/>
    </row>
    <row r="147" spans="1:52" x14ac:dyDescent="0.2">
      <c r="A147" s="569"/>
      <c r="B147" s="595"/>
      <c r="C147" s="595"/>
      <c r="D147" s="595"/>
      <c r="E147" s="595"/>
      <c r="F147" s="595"/>
      <c r="G147" s="595"/>
      <c r="H147" s="595"/>
      <c r="I147" s="595"/>
      <c r="J147" s="595"/>
      <c r="K147" s="569"/>
      <c r="L147" s="569"/>
      <c r="M147" s="569"/>
      <c r="N147" s="569"/>
      <c r="O147" s="569"/>
      <c r="P147" s="569"/>
      <c r="Q147" s="569"/>
      <c r="R147" s="569"/>
      <c r="S147" s="569"/>
      <c r="T147" s="569"/>
      <c r="U147" s="569"/>
      <c r="V147" s="569"/>
      <c r="W147" s="569"/>
      <c r="X147" s="569"/>
      <c r="Y147" s="569"/>
      <c r="Z147" s="569"/>
      <c r="AA147" s="569"/>
      <c r="AB147" s="569"/>
      <c r="AC147" s="569"/>
      <c r="AD147" s="569"/>
      <c r="AE147" s="569"/>
      <c r="AF147" s="569"/>
      <c r="AG147" s="569"/>
      <c r="AH147" s="569"/>
      <c r="AI147" s="569"/>
      <c r="AJ147" s="569"/>
      <c r="AK147" s="569"/>
      <c r="AL147" s="569"/>
      <c r="AM147" s="569"/>
      <c r="AN147" s="569"/>
      <c r="AO147" s="569"/>
      <c r="AP147" s="569"/>
      <c r="AQ147" s="569"/>
      <c r="AR147" s="569"/>
      <c r="AS147" s="569"/>
      <c r="AT147" s="569"/>
      <c r="AU147" s="569"/>
      <c r="AV147" s="569"/>
      <c r="AW147" s="569"/>
      <c r="AX147" s="569"/>
      <c r="AY147" s="569"/>
      <c r="AZ147" s="569"/>
    </row>
    <row r="148" spans="1:52" x14ac:dyDescent="0.2">
      <c r="A148" s="569"/>
      <c r="B148" s="595"/>
      <c r="C148" s="595"/>
      <c r="D148" s="595"/>
      <c r="E148" s="595"/>
      <c r="F148" s="595"/>
      <c r="G148" s="595"/>
      <c r="H148" s="595"/>
      <c r="I148" s="595"/>
      <c r="J148" s="595"/>
      <c r="K148" s="569"/>
      <c r="L148" s="569"/>
      <c r="M148" s="569"/>
      <c r="N148" s="569"/>
      <c r="O148" s="569"/>
      <c r="P148" s="569"/>
      <c r="Q148" s="569"/>
      <c r="R148" s="569"/>
      <c r="S148" s="569"/>
      <c r="T148" s="569"/>
      <c r="U148" s="569"/>
      <c r="V148" s="569"/>
      <c r="W148" s="569"/>
      <c r="X148" s="569"/>
      <c r="Y148" s="569"/>
      <c r="Z148" s="569"/>
      <c r="AA148" s="569"/>
      <c r="AB148" s="569"/>
      <c r="AC148" s="569"/>
      <c r="AD148" s="569"/>
      <c r="AE148" s="569"/>
      <c r="AF148" s="569"/>
      <c r="AG148" s="569"/>
      <c r="AH148" s="569"/>
      <c r="AI148" s="569"/>
      <c r="AJ148" s="569"/>
      <c r="AK148" s="569"/>
      <c r="AL148" s="569"/>
      <c r="AM148" s="569"/>
      <c r="AN148" s="569"/>
      <c r="AO148" s="569"/>
      <c r="AP148" s="569"/>
      <c r="AQ148" s="569"/>
      <c r="AR148" s="569"/>
      <c r="AS148" s="569"/>
      <c r="AT148" s="569"/>
      <c r="AU148" s="569"/>
      <c r="AV148" s="569"/>
      <c r="AW148" s="569"/>
      <c r="AX148" s="569"/>
      <c r="AY148" s="569"/>
      <c r="AZ148" s="569"/>
    </row>
    <row r="149" spans="1:52" x14ac:dyDescent="0.2">
      <c r="A149" s="569"/>
      <c r="B149" s="595"/>
      <c r="C149" s="595"/>
      <c r="D149" s="595"/>
      <c r="E149" s="595"/>
      <c r="F149" s="595"/>
      <c r="G149" s="595"/>
      <c r="H149" s="595"/>
      <c r="I149" s="595"/>
      <c r="J149" s="595"/>
      <c r="K149" s="569"/>
      <c r="L149" s="569"/>
      <c r="M149" s="569"/>
      <c r="N149" s="569"/>
      <c r="O149" s="569"/>
      <c r="P149" s="569"/>
      <c r="Q149" s="569"/>
      <c r="R149" s="569"/>
      <c r="S149" s="569"/>
      <c r="T149" s="569"/>
      <c r="U149" s="569"/>
      <c r="V149" s="569"/>
      <c r="W149" s="569"/>
      <c r="X149" s="569"/>
      <c r="Y149" s="569"/>
      <c r="Z149" s="569"/>
      <c r="AA149" s="569"/>
      <c r="AB149" s="569"/>
      <c r="AC149" s="569"/>
      <c r="AD149" s="569"/>
      <c r="AE149" s="569"/>
      <c r="AF149" s="569"/>
      <c r="AG149" s="569"/>
      <c r="AH149" s="569"/>
      <c r="AI149" s="569"/>
      <c r="AJ149" s="569"/>
      <c r="AK149" s="569"/>
      <c r="AL149" s="569"/>
      <c r="AM149" s="569"/>
      <c r="AN149" s="569"/>
      <c r="AO149" s="569"/>
      <c r="AP149" s="569"/>
      <c r="AQ149" s="569"/>
      <c r="AR149" s="569"/>
      <c r="AS149" s="569"/>
      <c r="AT149" s="569"/>
      <c r="AU149" s="569"/>
      <c r="AV149" s="569"/>
      <c r="AW149" s="569"/>
      <c r="AX149" s="569"/>
      <c r="AY149" s="569"/>
      <c r="AZ149" s="569"/>
    </row>
    <row r="150" spans="1:52" x14ac:dyDescent="0.2">
      <c r="A150" s="569"/>
      <c r="B150" s="595"/>
      <c r="C150" s="595"/>
      <c r="D150" s="595"/>
      <c r="E150" s="595"/>
      <c r="F150" s="595"/>
      <c r="G150" s="595"/>
      <c r="H150" s="595"/>
      <c r="I150" s="595"/>
      <c r="J150" s="595"/>
      <c r="K150" s="569"/>
      <c r="L150" s="569"/>
      <c r="M150" s="569"/>
      <c r="N150" s="569"/>
      <c r="O150" s="569"/>
      <c r="P150" s="569"/>
      <c r="Q150" s="569"/>
      <c r="R150" s="569"/>
      <c r="S150" s="569"/>
      <c r="T150" s="569"/>
      <c r="U150" s="569"/>
      <c r="V150" s="569"/>
      <c r="W150" s="569"/>
      <c r="X150" s="569"/>
      <c r="Y150" s="569"/>
      <c r="Z150" s="569"/>
      <c r="AA150" s="569"/>
      <c r="AB150" s="569"/>
      <c r="AC150" s="569"/>
      <c r="AD150" s="569"/>
      <c r="AE150" s="569"/>
      <c r="AF150" s="569"/>
      <c r="AG150" s="569"/>
      <c r="AH150" s="569"/>
      <c r="AI150" s="569"/>
      <c r="AJ150" s="569"/>
      <c r="AK150" s="569"/>
      <c r="AL150" s="569"/>
      <c r="AM150" s="569"/>
      <c r="AN150" s="569"/>
      <c r="AO150" s="569"/>
      <c r="AP150" s="569"/>
      <c r="AQ150" s="569"/>
      <c r="AR150" s="569"/>
      <c r="AS150" s="569"/>
      <c r="AT150" s="569"/>
      <c r="AU150" s="569"/>
      <c r="AV150" s="569"/>
      <c r="AW150" s="569"/>
      <c r="AX150" s="569"/>
      <c r="AY150" s="569"/>
      <c r="AZ150" s="569"/>
    </row>
    <row r="151" spans="1:52" x14ac:dyDescent="0.2">
      <c r="A151" s="17"/>
      <c r="B151" s="71"/>
    </row>
    <row r="152" spans="1:52" x14ac:dyDescent="0.2">
      <c r="A152" s="17"/>
      <c r="B152" s="71"/>
    </row>
    <row r="153" spans="1:52" x14ac:dyDescent="0.2">
      <c r="A153" s="17"/>
      <c r="B153" s="71"/>
    </row>
    <row r="154" spans="1:52" x14ac:dyDescent="0.2">
      <c r="A154" s="17"/>
      <c r="B154" s="71"/>
    </row>
    <row r="155" spans="1:52" x14ac:dyDescent="0.2">
      <c r="A155" s="17"/>
      <c r="B155" s="71"/>
    </row>
    <row r="156" spans="1:52" x14ac:dyDescent="0.2">
      <c r="A156" s="17"/>
      <c r="B156" s="71"/>
    </row>
    <row r="157" spans="1:52" x14ac:dyDescent="0.2">
      <c r="A157" s="17"/>
      <c r="B157" s="71"/>
    </row>
    <row r="158" spans="1:52" x14ac:dyDescent="0.2">
      <c r="A158" s="17"/>
      <c r="B158" s="71"/>
    </row>
    <row r="159" spans="1:52" x14ac:dyDescent="0.2">
      <c r="A159" s="17"/>
      <c r="B159" s="71"/>
    </row>
    <row r="160" spans="1:52" x14ac:dyDescent="0.2">
      <c r="A160" s="17"/>
      <c r="B160" s="71"/>
    </row>
    <row r="161" spans="1:2" x14ac:dyDescent="0.2">
      <c r="A161" s="17"/>
      <c r="B161" s="71"/>
    </row>
    <row r="162" spans="1:2" x14ac:dyDescent="0.2">
      <c r="A162" s="17"/>
      <c r="B162" s="71"/>
    </row>
    <row r="163" spans="1:2" x14ac:dyDescent="0.2">
      <c r="A163" s="17"/>
      <c r="B163" s="71"/>
    </row>
    <row r="164" spans="1:2" x14ac:dyDescent="0.2">
      <c r="A164" s="17"/>
      <c r="B164" s="71"/>
    </row>
    <row r="165" spans="1:2" x14ac:dyDescent="0.2">
      <c r="A165" s="17"/>
      <c r="B165" s="71"/>
    </row>
    <row r="166" spans="1:2" x14ac:dyDescent="0.2">
      <c r="A166" s="17"/>
      <c r="B166" s="71"/>
    </row>
    <row r="167" spans="1:2" x14ac:dyDescent="0.2">
      <c r="A167" s="17"/>
      <c r="B167" s="71"/>
    </row>
    <row r="168" spans="1:2" x14ac:dyDescent="0.2">
      <c r="A168" s="17"/>
      <c r="B168" s="71"/>
    </row>
    <row r="169" spans="1:2" x14ac:dyDescent="0.2">
      <c r="A169" s="17"/>
      <c r="B169" s="71"/>
    </row>
    <row r="170" spans="1:2" x14ac:dyDescent="0.2">
      <c r="A170" s="17"/>
      <c r="B170" s="71"/>
    </row>
    <row r="171" spans="1:2" x14ac:dyDescent="0.2">
      <c r="A171" s="17"/>
      <c r="B171" s="71"/>
    </row>
    <row r="172" spans="1:2" x14ac:dyDescent="0.2">
      <c r="A172" s="17"/>
      <c r="B172" s="71"/>
    </row>
    <row r="173" spans="1:2" x14ac:dyDescent="0.2">
      <c r="A173" s="17"/>
      <c r="B173" s="71"/>
    </row>
    <row r="174" spans="1:2" x14ac:dyDescent="0.2">
      <c r="A174" s="17"/>
      <c r="B174" s="71"/>
    </row>
    <row r="175" spans="1:2" x14ac:dyDescent="0.2">
      <c r="A175" s="17"/>
      <c r="B175" s="71"/>
    </row>
    <row r="176" spans="1:2" x14ac:dyDescent="0.2">
      <c r="A176" s="17"/>
      <c r="B176" s="71"/>
    </row>
    <row r="177" spans="1:2" x14ac:dyDescent="0.2">
      <c r="A177" s="17"/>
      <c r="B177" s="71"/>
    </row>
    <row r="178" spans="1:2" x14ac:dyDescent="0.2">
      <c r="A178" s="17"/>
      <c r="B178" s="71"/>
    </row>
    <row r="179" spans="1:2" x14ac:dyDescent="0.2">
      <c r="A179" s="17"/>
      <c r="B179" s="71"/>
    </row>
    <row r="180" spans="1:2" x14ac:dyDescent="0.2">
      <c r="A180" s="17"/>
      <c r="B180" s="71"/>
    </row>
    <row r="181" spans="1:2" x14ac:dyDescent="0.2">
      <c r="A181" s="17"/>
      <c r="B181" s="71"/>
    </row>
    <row r="182" spans="1:2" x14ac:dyDescent="0.2">
      <c r="A182" s="17"/>
      <c r="B182" s="71"/>
    </row>
    <row r="183" spans="1:2" x14ac:dyDescent="0.2">
      <c r="A183" s="17"/>
      <c r="B183" s="71"/>
    </row>
    <row r="184" spans="1:2" x14ac:dyDescent="0.2">
      <c r="A184" s="17"/>
      <c r="B184" s="71"/>
    </row>
    <row r="185" spans="1:2" x14ac:dyDescent="0.2">
      <c r="A185" s="17"/>
      <c r="B185" s="71"/>
    </row>
    <row r="186" spans="1:2" x14ac:dyDescent="0.2">
      <c r="A186" s="17"/>
      <c r="B186" s="71"/>
    </row>
    <row r="187" spans="1:2" x14ac:dyDescent="0.2">
      <c r="A187" s="17"/>
      <c r="B187" s="71"/>
    </row>
    <row r="188" spans="1:2" x14ac:dyDescent="0.2">
      <c r="A188" s="17"/>
      <c r="B188" s="71"/>
    </row>
    <row r="189" spans="1:2" x14ac:dyDescent="0.2">
      <c r="A189" s="17"/>
      <c r="B189" s="71"/>
    </row>
    <row r="190" spans="1:2" x14ac:dyDescent="0.2">
      <c r="A190" s="17"/>
      <c r="B190" s="71"/>
    </row>
    <row r="191" spans="1:2" x14ac:dyDescent="0.2">
      <c r="A191" s="17"/>
      <c r="B191" s="71"/>
    </row>
    <row r="192" spans="1:2" x14ac:dyDescent="0.2">
      <c r="A192" s="17"/>
      <c r="B192" s="71"/>
    </row>
    <row r="193" spans="1:2" x14ac:dyDescent="0.2">
      <c r="A193" s="17"/>
      <c r="B193" s="71"/>
    </row>
    <row r="194" spans="1:2" x14ac:dyDescent="0.2">
      <c r="A194" s="17"/>
      <c r="B194" s="71"/>
    </row>
    <row r="195" spans="1:2" x14ac:dyDescent="0.2">
      <c r="A195" s="17"/>
      <c r="B195" s="71"/>
    </row>
    <row r="196" spans="1:2" x14ac:dyDescent="0.2">
      <c r="A196" s="17"/>
      <c r="B196" s="71"/>
    </row>
    <row r="197" spans="1:2" x14ac:dyDescent="0.2">
      <c r="A197" s="17"/>
      <c r="B197" s="71"/>
    </row>
    <row r="198" spans="1:2" x14ac:dyDescent="0.2">
      <c r="A198" s="17"/>
      <c r="B198" s="71"/>
    </row>
    <row r="199" spans="1:2" x14ac:dyDescent="0.2">
      <c r="A199" s="17"/>
      <c r="B199" s="71"/>
    </row>
    <row r="200" spans="1:2" x14ac:dyDescent="0.2">
      <c r="A200" s="17"/>
      <c r="B200" s="71"/>
    </row>
    <row r="201" spans="1:2" x14ac:dyDescent="0.2">
      <c r="A201" s="17"/>
      <c r="B201" s="71"/>
    </row>
    <row r="202" spans="1:2" x14ac:dyDescent="0.2">
      <c r="A202" s="17"/>
      <c r="B202" s="71"/>
    </row>
    <row r="203" spans="1:2" x14ac:dyDescent="0.2">
      <c r="A203" s="17"/>
      <c r="B203" s="71"/>
    </row>
    <row r="204" spans="1:2" x14ac:dyDescent="0.2">
      <c r="A204" s="17"/>
      <c r="B204" s="71"/>
    </row>
    <row r="205" spans="1:2" x14ac:dyDescent="0.2">
      <c r="A205" s="17"/>
      <c r="B205" s="71"/>
    </row>
    <row r="206" spans="1:2" x14ac:dyDescent="0.2">
      <c r="A206" s="17"/>
      <c r="B206" s="71"/>
    </row>
    <row r="207" spans="1:2" x14ac:dyDescent="0.2">
      <c r="A207" s="17"/>
      <c r="B207" s="71"/>
    </row>
    <row r="208" spans="1:2" x14ac:dyDescent="0.2">
      <c r="A208" s="17"/>
      <c r="B208" s="71"/>
    </row>
    <row r="209" spans="1:2" x14ac:dyDescent="0.2">
      <c r="A209" s="17"/>
      <c r="B209" s="71"/>
    </row>
    <row r="210" spans="1:2" x14ac:dyDescent="0.2">
      <c r="A210" s="17"/>
      <c r="B210" s="71"/>
    </row>
    <row r="211" spans="1:2" x14ac:dyDescent="0.2">
      <c r="A211" s="17"/>
      <c r="B211" s="71"/>
    </row>
    <row r="212" spans="1:2" x14ac:dyDescent="0.2">
      <c r="A212" s="17"/>
      <c r="B212" s="71"/>
    </row>
    <row r="213" spans="1:2" x14ac:dyDescent="0.2">
      <c r="A213" s="17"/>
      <c r="B213" s="71"/>
    </row>
    <row r="214" spans="1:2" x14ac:dyDescent="0.2">
      <c r="A214" s="17"/>
      <c r="B214" s="71"/>
    </row>
    <row r="215" spans="1:2" x14ac:dyDescent="0.2">
      <c r="A215" s="17"/>
      <c r="B215" s="71"/>
    </row>
    <row r="216" spans="1:2" x14ac:dyDescent="0.2">
      <c r="A216" s="17"/>
      <c r="B216" s="71"/>
    </row>
    <row r="217" spans="1:2" x14ac:dyDescent="0.2">
      <c r="A217" s="17"/>
      <c r="B217" s="71"/>
    </row>
    <row r="218" spans="1:2" x14ac:dyDescent="0.2">
      <c r="A218" s="17"/>
      <c r="B218" s="71"/>
    </row>
    <row r="219" spans="1:2" x14ac:dyDescent="0.2">
      <c r="A219" s="17"/>
      <c r="B219" s="71"/>
    </row>
    <row r="220" spans="1:2" x14ac:dyDescent="0.2">
      <c r="A220" s="17"/>
      <c r="B220" s="71"/>
    </row>
    <row r="221" spans="1:2" x14ac:dyDescent="0.2">
      <c r="A221" s="17"/>
      <c r="B221" s="71"/>
    </row>
    <row r="222" spans="1:2" x14ac:dyDescent="0.2">
      <c r="A222" s="17"/>
      <c r="B222" s="71"/>
    </row>
    <row r="223" spans="1:2" x14ac:dyDescent="0.2">
      <c r="A223" s="17"/>
      <c r="B223" s="71"/>
    </row>
    <row r="224" spans="1:2" x14ac:dyDescent="0.2">
      <c r="A224" s="17"/>
      <c r="B224" s="71"/>
    </row>
    <row r="225" spans="1:2" x14ac:dyDescent="0.2">
      <c r="A225" s="17"/>
      <c r="B225" s="71"/>
    </row>
    <row r="226" spans="1:2" x14ac:dyDescent="0.2">
      <c r="A226" s="17"/>
      <c r="B226" s="71"/>
    </row>
    <row r="227" spans="1:2" x14ac:dyDescent="0.2">
      <c r="A227" s="17"/>
      <c r="B227" s="71"/>
    </row>
    <row r="228" spans="1:2" x14ac:dyDescent="0.2">
      <c r="A228" s="17"/>
      <c r="B228" s="71"/>
    </row>
    <row r="229" spans="1:2" x14ac:dyDescent="0.2">
      <c r="A229" s="17"/>
      <c r="B229" s="71"/>
    </row>
    <row r="230" spans="1:2" x14ac:dyDescent="0.2">
      <c r="A230" s="17"/>
      <c r="B230" s="71"/>
    </row>
    <row r="231" spans="1:2" x14ac:dyDescent="0.2">
      <c r="A231" s="17"/>
      <c r="B231" s="71"/>
    </row>
    <row r="232" spans="1:2" x14ac:dyDescent="0.2">
      <c r="A232" s="17"/>
      <c r="B232" s="71"/>
    </row>
    <row r="233" spans="1:2" x14ac:dyDescent="0.2">
      <c r="A233" s="17"/>
      <c r="B233" s="71"/>
    </row>
    <row r="234" spans="1:2" x14ac:dyDescent="0.2">
      <c r="A234" s="17"/>
      <c r="B234" s="71"/>
    </row>
    <row r="235" spans="1:2" x14ac:dyDescent="0.2">
      <c r="A235" s="17"/>
      <c r="B235" s="71"/>
    </row>
    <row r="236" spans="1:2" x14ac:dyDescent="0.2">
      <c r="A236" s="17"/>
      <c r="B236" s="71"/>
    </row>
    <row r="237" spans="1:2" x14ac:dyDescent="0.2">
      <c r="A237" s="17"/>
      <c r="B237" s="71"/>
    </row>
    <row r="238" spans="1:2" x14ac:dyDescent="0.2">
      <c r="A238" s="17"/>
      <c r="B238" s="71"/>
    </row>
    <row r="239" spans="1:2" x14ac:dyDescent="0.2">
      <c r="A239" s="17"/>
      <c r="B239" s="71"/>
    </row>
    <row r="240" spans="1:2" x14ac:dyDescent="0.2">
      <c r="A240" s="17"/>
      <c r="B240" s="71"/>
    </row>
    <row r="241" spans="1:2" x14ac:dyDescent="0.2">
      <c r="A241" s="17"/>
      <c r="B241" s="71"/>
    </row>
    <row r="242" spans="1:2" x14ac:dyDescent="0.2">
      <c r="A242" s="17"/>
      <c r="B242" s="71"/>
    </row>
    <row r="243" spans="1:2" x14ac:dyDescent="0.2">
      <c r="A243" s="17"/>
      <c r="B243" s="71"/>
    </row>
    <row r="244" spans="1:2" x14ac:dyDescent="0.2">
      <c r="A244" s="17"/>
      <c r="B244" s="71"/>
    </row>
    <row r="245" spans="1:2" x14ac:dyDescent="0.2">
      <c r="A245" s="17"/>
      <c r="B245" s="71"/>
    </row>
    <row r="246" spans="1:2" x14ac:dyDescent="0.2">
      <c r="A246" s="17"/>
      <c r="B246" s="71"/>
    </row>
    <row r="247" spans="1:2" x14ac:dyDescent="0.2">
      <c r="A247" s="17"/>
      <c r="B247" s="71"/>
    </row>
    <row r="248" spans="1:2" x14ac:dyDescent="0.2">
      <c r="A248" s="17"/>
      <c r="B248" s="71"/>
    </row>
    <row r="249" spans="1:2" x14ac:dyDescent="0.2">
      <c r="A249" s="17"/>
      <c r="B249" s="71"/>
    </row>
    <row r="250" spans="1:2" x14ac:dyDescent="0.2">
      <c r="A250" s="17"/>
      <c r="B250" s="71"/>
    </row>
    <row r="251" spans="1:2" x14ac:dyDescent="0.2">
      <c r="A251" s="17"/>
      <c r="B251" s="71"/>
    </row>
    <row r="252" spans="1:2" x14ac:dyDescent="0.2">
      <c r="A252" s="17"/>
      <c r="B252" s="71"/>
    </row>
    <row r="253" spans="1:2" x14ac:dyDescent="0.2">
      <c r="A253" s="17"/>
      <c r="B253" s="71"/>
    </row>
    <row r="254" spans="1:2" x14ac:dyDescent="0.2">
      <c r="A254" s="17"/>
      <c r="B254" s="71"/>
    </row>
    <row r="255" spans="1:2" x14ac:dyDescent="0.2">
      <c r="A255" s="17"/>
      <c r="B255" s="71"/>
    </row>
    <row r="256" spans="1:2" x14ac:dyDescent="0.2">
      <c r="A256" s="17"/>
      <c r="B256" s="71"/>
    </row>
    <row r="257" spans="1:2" x14ac:dyDescent="0.2">
      <c r="A257" s="17"/>
      <c r="B257" s="71"/>
    </row>
    <row r="258" spans="1:2" x14ac:dyDescent="0.2">
      <c r="A258" s="17"/>
      <c r="B258" s="71"/>
    </row>
    <row r="259" spans="1:2" x14ac:dyDescent="0.2">
      <c r="A259" s="17"/>
      <c r="B259" s="71"/>
    </row>
    <row r="260" spans="1:2" x14ac:dyDescent="0.2">
      <c r="A260" s="17"/>
      <c r="B260" s="71"/>
    </row>
    <row r="261" spans="1:2" x14ac:dyDescent="0.2">
      <c r="A261" s="17"/>
      <c r="B261" s="71"/>
    </row>
    <row r="262" spans="1:2" x14ac:dyDescent="0.2">
      <c r="A262" s="17"/>
      <c r="B262" s="71"/>
    </row>
    <row r="263" spans="1:2" x14ac:dyDescent="0.2">
      <c r="A263" s="17"/>
      <c r="B263" s="71"/>
    </row>
    <row r="264" spans="1:2" x14ac:dyDescent="0.2">
      <c r="A264" s="17"/>
      <c r="B264" s="71"/>
    </row>
    <row r="265" spans="1:2" x14ac:dyDescent="0.2">
      <c r="A265" s="17"/>
      <c r="B265" s="71"/>
    </row>
    <row r="266" spans="1:2" x14ac:dyDescent="0.2">
      <c r="A266" s="17"/>
      <c r="B266" s="71"/>
    </row>
    <row r="267" spans="1:2" x14ac:dyDescent="0.2">
      <c r="A267" s="17"/>
      <c r="B267" s="71"/>
    </row>
    <row r="268" spans="1:2" x14ac:dyDescent="0.2">
      <c r="A268" s="17"/>
      <c r="B268" s="71"/>
    </row>
    <row r="269" spans="1:2" x14ac:dyDescent="0.2">
      <c r="A269" s="17"/>
      <c r="B269" s="71"/>
    </row>
    <row r="270" spans="1:2" x14ac:dyDescent="0.2">
      <c r="A270" s="17"/>
      <c r="B270" s="71"/>
    </row>
    <row r="271" spans="1:2" x14ac:dyDescent="0.2">
      <c r="A271" s="17"/>
      <c r="B271" s="71"/>
    </row>
    <row r="272" spans="1:2" x14ac:dyDescent="0.2">
      <c r="A272" s="17"/>
      <c r="B272" s="71"/>
    </row>
    <row r="273" spans="1:2" x14ac:dyDescent="0.2">
      <c r="A273" s="17"/>
      <c r="B273" s="71"/>
    </row>
    <row r="274" spans="1:2" x14ac:dyDescent="0.2">
      <c r="A274" s="17"/>
      <c r="B274" s="71"/>
    </row>
    <row r="275" spans="1:2" x14ac:dyDescent="0.2">
      <c r="A275" s="17"/>
      <c r="B275" s="71"/>
    </row>
    <row r="276" spans="1:2" x14ac:dyDescent="0.2">
      <c r="A276" s="17"/>
      <c r="B276" s="71"/>
    </row>
    <row r="277" spans="1:2" x14ac:dyDescent="0.2">
      <c r="A277" s="17"/>
      <c r="B277" s="71"/>
    </row>
    <row r="278" spans="1:2" x14ac:dyDescent="0.2">
      <c r="A278" s="17"/>
      <c r="B278" s="71"/>
    </row>
    <row r="279" spans="1:2" x14ac:dyDescent="0.2">
      <c r="A279" s="17"/>
      <c r="B279" s="71"/>
    </row>
    <row r="280" spans="1:2" x14ac:dyDescent="0.2">
      <c r="A280" s="17"/>
      <c r="B280" s="71"/>
    </row>
    <row r="281" spans="1:2" x14ac:dyDescent="0.2">
      <c r="A281" s="17"/>
      <c r="B281" s="71"/>
    </row>
    <row r="282" spans="1:2" x14ac:dyDescent="0.2">
      <c r="A282" s="17"/>
      <c r="B282" s="71"/>
    </row>
    <row r="283" spans="1:2" x14ac:dyDescent="0.2">
      <c r="A283" s="17"/>
      <c r="B283" s="71"/>
    </row>
    <row r="284" spans="1:2" x14ac:dyDescent="0.2">
      <c r="A284" s="17"/>
      <c r="B284" s="71"/>
    </row>
    <row r="285" spans="1:2" x14ac:dyDescent="0.2">
      <c r="A285" s="17"/>
      <c r="B285" s="71"/>
    </row>
    <row r="286" spans="1:2" x14ac:dyDescent="0.2">
      <c r="A286" s="17"/>
      <c r="B286" s="71"/>
    </row>
    <row r="287" spans="1:2" x14ac:dyDescent="0.2">
      <c r="A287" s="17"/>
      <c r="B287" s="71"/>
    </row>
    <row r="288" spans="1:2" x14ac:dyDescent="0.2">
      <c r="A288" s="17"/>
      <c r="B288" s="71"/>
    </row>
    <row r="289" spans="1:2" x14ac:dyDescent="0.2">
      <c r="A289" s="17"/>
      <c r="B289" s="71"/>
    </row>
    <row r="290" spans="1:2" x14ac:dyDescent="0.2">
      <c r="A290" s="17"/>
      <c r="B290" s="71"/>
    </row>
  </sheetData>
  <sheetProtection algorithmName="SHA-512" hashValue="wfbdJ3LT0UEjnMuVQFMB1uSg7riz4YLkA5wXgWb9I2qb0DjpA6K+2ny0+jOFbMes7I3+2L5nW6TyBL6HNn+JGw==" saltValue="3h8Ta9pe7fD5dvpZCEApgg==" spinCount="100000" sheet="1" formatColumns="0" formatRows="0" insertColumns="0" insertRows="0"/>
  <phoneticPr fontId="0" type="noConversion"/>
  <printOptions horizontalCentered="1"/>
  <pageMargins left="0.78740157480314965" right="0.78740157480314965" top="0.98425196850393704" bottom="0.78740157480314965" header="0.51181102362204722" footer="0.51181102362204722"/>
  <pageSetup paperSize="9" scale="79" orientation="landscape" blackAndWhite="1" r:id="rId1"/>
  <headerFooter alignWithMargins="0">
    <oddHeader>&amp;L&amp;"Verdana,Standard"&amp;10ÖSTERREICHISCHES FILMINSTITUT&amp;R&amp;"Verdana,Standard"&amp;10&amp;F</oddHeader>
    <oddFooter>&amp;L&amp;"Verdana,Standard"&amp;10Ausdruck vom &amp;D&amp;R&amp;"Verdana,Standard"&amp;10Seite &amp;P von &amp;N</oddFooter>
  </headerFooter>
  <ignoredErrors>
    <ignoredError sqref="F37:J37 I5 B5:C5 C37:E37 K5" unlocked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13B83-2965-4DAB-9B3F-855ABCF8BA8E}">
  <sheetPr codeName="Tabelle16">
    <pageSetUpPr fitToPage="1"/>
  </sheetPr>
  <dimension ref="A1:BA361"/>
  <sheetViews>
    <sheetView showZeros="0" zoomScaleNormal="100" workbookViewId="0">
      <pane xSplit="1" ySplit="4" topLeftCell="B5" activePane="bottomRight" state="frozen"/>
      <selection pane="topRight"/>
      <selection pane="bottomLeft"/>
      <selection pane="bottomRight" activeCell="V6" sqref="V6"/>
    </sheetView>
  </sheetViews>
  <sheetFormatPr baseColWidth="10" defaultRowHeight="15" x14ac:dyDescent="0.2"/>
  <cols>
    <col min="1" max="1" width="33.75" customWidth="1"/>
    <col min="2" max="2" width="7" customWidth="1"/>
    <col min="3" max="3" width="14.875" customWidth="1"/>
    <col min="4" max="4" width="5.625" customWidth="1"/>
    <col min="5" max="5" width="8.625" style="56" customWidth="1"/>
    <col min="6" max="6" width="6.375" style="57" customWidth="1"/>
    <col min="7" max="7" width="7.75" style="59" customWidth="1"/>
    <col min="8" max="8" width="9.625" style="59" customWidth="1"/>
    <col min="9" max="9" width="6.375" style="57" customWidth="1"/>
    <col min="10" max="10" width="7.75" style="57" customWidth="1"/>
    <col min="11" max="11" width="9.625" style="57" customWidth="1"/>
    <col min="12" max="12" width="7" style="57" customWidth="1"/>
    <col min="13" max="13" width="6.875" style="57" customWidth="1"/>
    <col min="14" max="15" width="6.125" style="58" customWidth="1"/>
    <col min="16" max="17" width="6.125" customWidth="1"/>
    <col min="18" max="18" width="9.625" customWidth="1"/>
    <col min="19" max="19" width="6.375" customWidth="1"/>
    <col min="20" max="20" width="7.75" customWidth="1"/>
    <col min="21" max="21" width="9.625" customWidth="1"/>
    <col min="22" max="22" width="5.625" customWidth="1"/>
    <col min="23" max="32" width="11" style="1318"/>
  </cols>
  <sheetData>
    <row r="1" spans="1:53" ht="18" customHeight="1" x14ac:dyDescent="0.2">
      <c r="A1" s="222" t="str">
        <f>Stammblatt!A1</f>
        <v>Test</v>
      </c>
      <c r="B1" s="222"/>
      <c r="C1" s="212"/>
      <c r="D1" s="448"/>
      <c r="E1" s="459"/>
      <c r="F1" s="460"/>
      <c r="G1" s="461"/>
      <c r="H1" s="461"/>
      <c r="I1" s="460"/>
      <c r="J1" s="460"/>
      <c r="K1" s="460"/>
      <c r="L1" s="460"/>
      <c r="M1" s="460"/>
      <c r="N1" s="462"/>
      <c r="O1" s="462"/>
      <c r="P1" s="448"/>
      <c r="Q1" s="448"/>
      <c r="R1" s="448"/>
      <c r="S1" s="448"/>
      <c r="T1" s="448"/>
      <c r="U1" s="448"/>
      <c r="V1" s="448"/>
      <c r="W1" s="1317"/>
      <c r="X1" s="1317"/>
      <c r="Y1" s="1317"/>
      <c r="Z1" s="1317"/>
      <c r="AA1" s="1317"/>
      <c r="AB1" s="1317"/>
      <c r="AC1" s="1317"/>
      <c r="AD1" s="1317"/>
      <c r="AE1" s="1317"/>
      <c r="AF1" s="1317"/>
      <c r="AG1" s="448"/>
      <c r="AH1" s="448"/>
      <c r="AI1" s="448"/>
      <c r="AJ1" s="448"/>
      <c r="AK1" s="448"/>
      <c r="AL1" s="448"/>
      <c r="AM1" s="448"/>
      <c r="AN1" s="448"/>
      <c r="AO1" s="448"/>
      <c r="AP1" s="448"/>
      <c r="AQ1" s="448"/>
      <c r="AR1" s="448"/>
      <c r="AS1" s="448"/>
      <c r="AT1" s="448"/>
      <c r="AU1" s="448"/>
      <c r="AV1" s="448"/>
      <c r="AW1" s="448"/>
      <c r="AX1" s="448"/>
      <c r="AY1" s="448"/>
      <c r="AZ1" s="448"/>
      <c r="BA1" s="448"/>
    </row>
    <row r="2" spans="1:53" ht="12.75" x14ac:dyDescent="0.2">
      <c r="A2" s="214"/>
      <c r="B2" s="1479" t="str">
        <f>IF(Stammblatt!$L$4=1,"Anzahl Wochen","weeks")</f>
        <v>Anzahl Wochen</v>
      </c>
      <c r="C2" s="1479" t="str">
        <f>IF(Stammblatt!$L$4=1,"BRUTTO-GEHALT inkl. SZ &amp; UEL","salary (gross) incl. SZ/UEL")</f>
        <v>BRUTTO-GEHALT inkl. SZ &amp; UEL</v>
      </c>
      <c r="D2" s="448"/>
      <c r="E2" s="463"/>
      <c r="F2" s="1501" t="str">
        <f>IF(Stammblatt!$L$4=1,"FLUGTICKETS","FLIGHTS")</f>
        <v>FLUGTICKETS</v>
      </c>
      <c r="G2" s="1502"/>
      <c r="H2" s="1503"/>
      <c r="I2" s="1501" t="str">
        <f>IF(Stammblatt!$L$4=1,"BAHNFAHRTEN","TRAIN")</f>
        <v>BAHNFAHRTEN</v>
      </c>
      <c r="J2" s="1502"/>
      <c r="K2" s="1503"/>
      <c r="L2" s="1504" t="str">
        <f>IF(Stammblatt!$L$4=1,"D     I     Ä     T     E     N    (  T  a  g  e  )","P E R    D I E M  ( N r.   o f   d a y s )")</f>
        <v>D     I     Ä     T     E     N    (  T  a  g  e  )</v>
      </c>
      <c r="M2" s="1505"/>
      <c r="N2" s="1505"/>
      <c r="O2" s="1505"/>
      <c r="P2" s="1505"/>
      <c r="Q2" s="1506"/>
      <c r="R2" s="540" t="s">
        <v>195</v>
      </c>
      <c r="S2" s="1501" t="str">
        <f>IF(Stammblatt!$L$4=1,"NÄCHTIGUNGEN","HOTELS / LODGING")</f>
        <v>NÄCHTIGUNGEN</v>
      </c>
      <c r="T2" s="1502"/>
      <c r="U2" s="1503"/>
      <c r="V2" s="464"/>
      <c r="W2" s="1317"/>
      <c r="X2" s="1317"/>
      <c r="Y2" s="1317"/>
      <c r="Z2" s="1317"/>
      <c r="AA2" s="1317"/>
      <c r="AB2" s="1317"/>
      <c r="AC2" s="1317"/>
      <c r="AD2" s="1317"/>
      <c r="AE2" s="1317"/>
      <c r="AF2" s="1317"/>
      <c r="AG2" s="448"/>
      <c r="AH2" s="448"/>
      <c r="AI2" s="448"/>
      <c r="AJ2" s="448"/>
      <c r="AK2" s="448"/>
      <c r="AL2" s="448"/>
      <c r="AM2" s="448"/>
      <c r="AN2" s="448"/>
      <c r="AO2" s="448"/>
      <c r="AP2" s="448"/>
      <c r="AQ2" s="448"/>
      <c r="AR2" s="448"/>
      <c r="AS2" s="448"/>
      <c r="AT2" s="448"/>
      <c r="AU2" s="448"/>
      <c r="AV2" s="448"/>
      <c r="AW2" s="448"/>
      <c r="AX2" s="448"/>
      <c r="AY2" s="448"/>
      <c r="AZ2" s="448"/>
      <c r="BA2" s="448"/>
    </row>
    <row r="3" spans="1:53" ht="12.75" x14ac:dyDescent="0.2">
      <c r="A3" s="446"/>
      <c r="B3" s="1480"/>
      <c r="C3" s="1480"/>
      <c r="D3" s="448"/>
      <c r="E3" s="465" t="s">
        <v>109</v>
      </c>
      <c r="F3" s="541" t="str">
        <f>IF(Stammblatt!$L$4=1,"Anzahl","quant.")</f>
        <v>Anzahl</v>
      </c>
      <c r="G3" s="542" t="str">
        <f>IF(Stammblatt!$L$4=1,"Preis","price")</f>
        <v>Preis</v>
      </c>
      <c r="H3" s="542" t="s">
        <v>495</v>
      </c>
      <c r="I3" s="541" t="str">
        <f>IF(Stammblatt!$L$4=1,"Anzahl","quant.")</f>
        <v>Anzahl</v>
      </c>
      <c r="J3" s="542" t="str">
        <f>IF(Stammblatt!$L$4=1,"Preis","price")</f>
        <v>Preis</v>
      </c>
      <c r="K3" s="542" t="s">
        <v>495</v>
      </c>
      <c r="L3" s="542" t="str">
        <f>IF(Stammblatt!$L$4=1,"ORTS-","local")</f>
        <v>ORTS-</v>
      </c>
      <c r="M3" s="543" t="str">
        <f>IF(Stammblatt!$L$4=1,"ÖSTER-","Austria")</f>
        <v>ÖSTER-</v>
      </c>
      <c r="N3" s="1501" t="str">
        <f>IF(Stammblatt!$L$4=1,"AUSLAND","ABROAD")</f>
        <v>AUSLAND</v>
      </c>
      <c r="O3" s="1502"/>
      <c r="P3" s="1502"/>
      <c r="Q3" s="1503"/>
      <c r="R3" s="541" t="str">
        <f>IF(Stammblatt!$L$4=1,"Tage","days")</f>
        <v>Tage</v>
      </c>
      <c r="S3" s="541" t="str">
        <f>IF(Stammblatt!$L$4=1,"Anzahl","quant.")</f>
        <v>Anzahl</v>
      </c>
      <c r="T3" s="542" t="str">
        <f>IF(Stammblatt!$L$4=1,"Preis","price")</f>
        <v>Preis</v>
      </c>
      <c r="U3" s="542" t="s">
        <v>495</v>
      </c>
      <c r="V3" s="448"/>
      <c r="W3" s="1317"/>
      <c r="X3" s="1317"/>
      <c r="Y3" s="1317"/>
      <c r="Z3" s="1317"/>
      <c r="AA3" s="1317"/>
      <c r="AB3" s="1317"/>
      <c r="AC3" s="1317"/>
      <c r="AD3" s="1317"/>
      <c r="AE3" s="1317"/>
      <c r="AF3" s="1317"/>
      <c r="AG3" s="448"/>
      <c r="AH3" s="448"/>
      <c r="AI3" s="448"/>
      <c r="AJ3" s="448"/>
      <c r="AK3" s="448"/>
      <c r="AL3" s="448"/>
      <c r="AM3" s="448"/>
      <c r="AN3" s="448"/>
      <c r="AO3" s="448"/>
      <c r="AP3" s="448"/>
      <c r="AQ3" s="448"/>
      <c r="AR3" s="448"/>
      <c r="AS3" s="448"/>
      <c r="AT3" s="448"/>
      <c r="AU3" s="448"/>
      <c r="AV3" s="448"/>
      <c r="AW3" s="448"/>
      <c r="AX3" s="448"/>
      <c r="AY3" s="448"/>
      <c r="AZ3" s="448"/>
      <c r="BA3" s="448"/>
    </row>
    <row r="4" spans="1:53" ht="24" customHeight="1" x14ac:dyDescent="0.2">
      <c r="A4" s="589" t="str">
        <f>IF(Stammblatt!$L$4=1,"S T A B  -  F U N K T I O N","S T A F F  -  F U N C T I O N")</f>
        <v>S T A B  -  F U N K T I O N</v>
      </c>
      <c r="B4" s="1481"/>
      <c r="C4" s="1481"/>
      <c r="D4" s="448"/>
      <c r="E4" s="465"/>
      <c r="F4" s="466"/>
      <c r="G4" s="467"/>
      <c r="H4" s="467"/>
      <c r="I4" s="466"/>
      <c r="J4" s="467"/>
      <c r="K4" s="467"/>
      <c r="L4" s="727" t="str">
        <f>IF(Stammblatt!$L$4=1,"GEBIET","area")</f>
        <v>GEBIET</v>
      </c>
      <c r="M4" s="727" t="str">
        <f>IF(Stammblatt!$L$4=1,"REICH","")</f>
        <v>REICH</v>
      </c>
      <c r="N4" s="466" t="s">
        <v>256</v>
      </c>
      <c r="O4" s="466" t="s">
        <v>257</v>
      </c>
      <c r="P4" s="466" t="s">
        <v>540</v>
      </c>
      <c r="Q4" s="466" t="s">
        <v>541</v>
      </c>
      <c r="R4" s="446"/>
      <c r="S4" s="446"/>
      <c r="T4" s="446"/>
      <c r="U4" s="467"/>
      <c r="V4" s="448"/>
      <c r="W4" s="1317"/>
      <c r="X4" s="1317"/>
      <c r="Y4" s="1317"/>
      <c r="Z4" s="1317"/>
      <c r="AA4" s="1317"/>
      <c r="AB4" s="1317"/>
      <c r="AC4" s="1317"/>
      <c r="AD4" s="1317"/>
      <c r="AE4" s="1317"/>
      <c r="AF4" s="1317"/>
      <c r="AG4" s="448"/>
      <c r="AH4" s="448"/>
      <c r="AI4" s="448"/>
      <c r="AJ4" s="448"/>
      <c r="AK4" s="448"/>
      <c r="AL4" s="448"/>
      <c r="AM4" s="448"/>
      <c r="AN4" s="448"/>
      <c r="AO4" s="448"/>
      <c r="AP4" s="448"/>
      <c r="AQ4" s="448"/>
      <c r="AR4" s="448"/>
      <c r="AS4" s="448"/>
      <c r="AT4" s="448"/>
      <c r="AU4" s="448"/>
      <c r="AV4" s="448"/>
      <c r="AW4" s="448"/>
      <c r="AX4" s="448"/>
      <c r="AY4" s="448"/>
      <c r="AZ4" s="448"/>
      <c r="BA4" s="448"/>
    </row>
    <row r="5" spans="1:53" ht="12.75" customHeight="1" x14ac:dyDescent="0.2">
      <c r="A5" s="484" t="str">
        <f>'Kalkulation Herstellungskosten'!B32</f>
        <v>Herstellungsleitung</v>
      </c>
      <c r="B5" s="456">
        <f>'Kalkulation Herstellungskosten'!C32+'Kalkulation Herstellungskosten'!C33</f>
        <v>0</v>
      </c>
      <c r="C5" s="456">
        <f>'Kalkulation Herstellungskosten'!F32</f>
        <v>0</v>
      </c>
      <c r="D5" s="448"/>
      <c r="E5" s="75"/>
      <c r="F5" s="75"/>
      <c r="G5" s="75"/>
      <c r="H5" s="471">
        <f>F5*G5</f>
        <v>0</v>
      </c>
      <c r="I5" s="75"/>
      <c r="J5" s="75"/>
      <c r="K5" s="471">
        <f>I5*J5</f>
        <v>0</v>
      </c>
      <c r="L5" s="75"/>
      <c r="M5" s="75"/>
      <c r="N5" s="75"/>
      <c r="O5" s="75"/>
      <c r="P5" s="75"/>
      <c r="Q5" s="75"/>
      <c r="R5" s="75"/>
      <c r="S5" s="75"/>
      <c r="T5" s="75"/>
      <c r="U5" s="468">
        <f>S5*T5</f>
        <v>0</v>
      </c>
      <c r="V5" s="469"/>
      <c r="W5" s="1317"/>
      <c r="X5" s="1317"/>
      <c r="Y5" s="1317"/>
      <c r="Z5" s="1317"/>
      <c r="AA5" s="1317"/>
      <c r="AB5" s="1317"/>
      <c r="AC5" s="1317"/>
      <c r="AD5" s="1317"/>
      <c r="AE5" s="1317"/>
      <c r="AF5" s="1317"/>
      <c r="AG5" s="448"/>
      <c r="AH5" s="448"/>
      <c r="AI5" s="448"/>
      <c r="AJ5" s="448"/>
      <c r="AK5" s="448"/>
      <c r="AL5" s="448"/>
      <c r="AM5" s="448"/>
      <c r="AN5" s="448"/>
      <c r="AO5" s="448"/>
      <c r="AP5" s="448"/>
      <c r="AQ5" s="448"/>
      <c r="AR5" s="448"/>
      <c r="AS5" s="448"/>
      <c r="AT5" s="448"/>
      <c r="AU5" s="448"/>
      <c r="AV5" s="448"/>
      <c r="AW5" s="448"/>
      <c r="AX5" s="448"/>
      <c r="AY5" s="448"/>
      <c r="AZ5" s="448"/>
      <c r="BA5" s="448"/>
    </row>
    <row r="6" spans="1:53" ht="12.75" customHeight="1" x14ac:dyDescent="0.2">
      <c r="A6" s="484" t="str">
        <f>'Kalkulation Herstellungskosten'!B34</f>
        <v>Produktionsleitung</v>
      </c>
      <c r="B6" s="456">
        <f>'Kalkulation Herstellungskosten'!C34+'Kalkulation Herstellungskosten'!C35</f>
        <v>0</v>
      </c>
      <c r="C6" s="456">
        <f>'Kalkulation Herstellungskosten'!F34</f>
        <v>0</v>
      </c>
      <c r="D6" s="448"/>
      <c r="E6" s="76"/>
      <c r="F6" s="76"/>
      <c r="G6" s="76"/>
      <c r="H6" s="471">
        <f t="shared" ref="H6:H69" si="0">F6*G6</f>
        <v>0</v>
      </c>
      <c r="I6" s="76"/>
      <c r="J6" s="76"/>
      <c r="K6" s="471">
        <f t="shared" ref="K6:K69" si="1">I6*J6</f>
        <v>0</v>
      </c>
      <c r="L6" s="76"/>
      <c r="M6" s="76"/>
      <c r="N6" s="76"/>
      <c r="O6" s="76"/>
      <c r="P6" s="76"/>
      <c r="Q6" s="76"/>
      <c r="R6" s="76"/>
      <c r="S6" s="76"/>
      <c r="T6" s="76"/>
      <c r="U6" s="468">
        <f t="shared" ref="U6:U69" si="2">S6*T6</f>
        <v>0</v>
      </c>
      <c r="V6" s="448"/>
      <c r="W6" s="1317"/>
      <c r="X6" s="1317"/>
      <c r="Y6" s="1317"/>
      <c r="Z6" s="1317"/>
      <c r="AA6" s="1317"/>
      <c r="AB6" s="1317"/>
      <c r="AC6" s="1317"/>
      <c r="AD6" s="1317"/>
      <c r="AE6" s="1317"/>
      <c r="AF6" s="1317"/>
      <c r="AG6" s="448"/>
      <c r="AH6" s="448"/>
      <c r="AI6" s="448"/>
      <c r="AJ6" s="448"/>
      <c r="AK6" s="448"/>
      <c r="AL6" s="448"/>
      <c r="AM6" s="448"/>
      <c r="AN6" s="448"/>
      <c r="AO6" s="448"/>
      <c r="AP6" s="448"/>
      <c r="AQ6" s="448"/>
      <c r="AR6" s="448"/>
      <c r="AS6" s="448"/>
      <c r="AT6" s="448"/>
      <c r="AU6" s="448"/>
      <c r="AV6" s="448"/>
      <c r="AW6" s="448"/>
      <c r="AX6" s="448"/>
      <c r="AY6" s="448"/>
      <c r="AZ6" s="448"/>
      <c r="BA6" s="448"/>
    </row>
    <row r="7" spans="1:53" ht="12.75" customHeight="1" x14ac:dyDescent="0.2">
      <c r="A7" s="484" t="str">
        <f>'Kalkulation Herstellungskosten'!B36</f>
        <v>1. Aufnahmeleitung</v>
      </c>
      <c r="B7" s="456">
        <f>'Kalkulation Herstellungskosten'!C36+'Kalkulation Herstellungskosten'!C37</f>
        <v>0</v>
      </c>
      <c r="C7" s="456">
        <f>'Kalkulation Herstellungskosten'!F36</f>
        <v>0</v>
      </c>
      <c r="D7" s="448"/>
      <c r="E7" s="76"/>
      <c r="F7" s="76"/>
      <c r="G7" s="76"/>
      <c r="H7" s="471">
        <f t="shared" si="0"/>
        <v>0</v>
      </c>
      <c r="I7" s="76"/>
      <c r="J7" s="76"/>
      <c r="K7" s="471">
        <f t="shared" si="1"/>
        <v>0</v>
      </c>
      <c r="L7" s="76"/>
      <c r="M7" s="76"/>
      <c r="N7" s="76"/>
      <c r="O7" s="76"/>
      <c r="P7" s="76"/>
      <c r="Q7" s="76"/>
      <c r="R7" s="76"/>
      <c r="S7" s="76"/>
      <c r="T7" s="76"/>
      <c r="U7" s="468">
        <f t="shared" si="2"/>
        <v>0</v>
      </c>
      <c r="V7" s="448"/>
      <c r="W7" s="1317"/>
      <c r="X7" s="1317"/>
      <c r="Y7" s="1317"/>
      <c r="Z7" s="1317"/>
      <c r="AA7" s="1317"/>
      <c r="AB7" s="1317"/>
      <c r="AC7" s="1317"/>
      <c r="AD7" s="1317"/>
      <c r="AE7" s="1317"/>
      <c r="AF7" s="1317"/>
      <c r="AG7" s="448"/>
      <c r="AH7" s="448"/>
      <c r="AI7" s="448"/>
      <c r="AJ7" s="448"/>
      <c r="AK7" s="448"/>
      <c r="AL7" s="448"/>
      <c r="AM7" s="448"/>
      <c r="AN7" s="448"/>
      <c r="AO7" s="448"/>
      <c r="AP7" s="448"/>
      <c r="AQ7" s="448"/>
      <c r="AR7" s="448"/>
      <c r="AS7" s="448"/>
      <c r="AT7" s="448"/>
      <c r="AU7" s="448"/>
      <c r="AV7" s="448"/>
      <c r="AW7" s="448"/>
      <c r="AX7" s="448"/>
      <c r="AY7" s="448"/>
      <c r="AZ7" s="448"/>
      <c r="BA7" s="448"/>
    </row>
    <row r="8" spans="1:53" ht="12.75" customHeight="1" x14ac:dyDescent="0.2">
      <c r="A8" s="484" t="str">
        <f>'Kalkulation Herstellungskosten'!B38</f>
        <v>Set-Aufnahmeleitung (2. AL)</v>
      </c>
      <c r="B8" s="456">
        <f>'Kalkulation Herstellungskosten'!C38+'Kalkulation Herstellungskosten'!C39</f>
        <v>0</v>
      </c>
      <c r="C8" s="456">
        <f>'Kalkulation Herstellungskosten'!F38</f>
        <v>0</v>
      </c>
      <c r="D8" s="448"/>
      <c r="E8" s="76"/>
      <c r="F8" s="76"/>
      <c r="G8" s="76"/>
      <c r="H8" s="471">
        <f t="shared" si="0"/>
        <v>0</v>
      </c>
      <c r="I8" s="76"/>
      <c r="J8" s="76"/>
      <c r="K8" s="471">
        <f t="shared" si="1"/>
        <v>0</v>
      </c>
      <c r="L8" s="76"/>
      <c r="M8" s="76"/>
      <c r="N8" s="76"/>
      <c r="O8" s="76"/>
      <c r="P8" s="76"/>
      <c r="Q8" s="76"/>
      <c r="R8" s="76"/>
      <c r="S8" s="76"/>
      <c r="T8" s="76"/>
      <c r="U8" s="468">
        <f t="shared" si="2"/>
        <v>0</v>
      </c>
      <c r="V8" s="448"/>
      <c r="W8" s="1317"/>
      <c r="X8" s="1317"/>
      <c r="Y8" s="1317"/>
      <c r="Z8" s="1317"/>
      <c r="AA8" s="1317"/>
      <c r="AB8" s="1317"/>
      <c r="AC8" s="1317"/>
      <c r="AD8" s="1317"/>
      <c r="AE8" s="1317"/>
      <c r="AF8" s="1317"/>
      <c r="AG8" s="448"/>
      <c r="AH8" s="448"/>
      <c r="AI8" s="448"/>
      <c r="AJ8" s="448"/>
      <c r="AK8" s="448"/>
      <c r="AL8" s="448"/>
      <c r="AM8" s="448"/>
      <c r="AN8" s="448"/>
      <c r="AO8" s="448"/>
      <c r="AP8" s="448"/>
      <c r="AQ8" s="448"/>
      <c r="AR8" s="448"/>
      <c r="AS8" s="448"/>
      <c r="AT8" s="448"/>
      <c r="AU8" s="448"/>
      <c r="AV8" s="448"/>
      <c r="AW8" s="448"/>
      <c r="AX8" s="448"/>
      <c r="AY8" s="448"/>
      <c r="AZ8" s="448"/>
      <c r="BA8" s="448"/>
    </row>
    <row r="9" spans="1:53" ht="12.75" customHeight="1" x14ac:dyDescent="0.2">
      <c r="A9" s="484" t="str">
        <f>'Kalkulation Herstellungskosten'!B40</f>
        <v>Setassistenz</v>
      </c>
      <c r="B9" s="456">
        <f>'Kalkulation Herstellungskosten'!C40+'Kalkulation Herstellungskosten'!C41</f>
        <v>0</v>
      </c>
      <c r="C9" s="456">
        <f>'Kalkulation Herstellungskosten'!F40</f>
        <v>0</v>
      </c>
      <c r="D9" s="448"/>
      <c r="E9" s="76"/>
      <c r="F9" s="76"/>
      <c r="G9" s="76"/>
      <c r="H9" s="471">
        <f t="shared" si="0"/>
        <v>0</v>
      </c>
      <c r="I9" s="76"/>
      <c r="J9" s="76"/>
      <c r="K9" s="471">
        <f t="shared" si="1"/>
        <v>0</v>
      </c>
      <c r="L9" s="76"/>
      <c r="M9" s="76"/>
      <c r="N9" s="76"/>
      <c r="O9" s="76"/>
      <c r="P9" s="76"/>
      <c r="Q9" s="76"/>
      <c r="R9" s="76"/>
      <c r="S9" s="76"/>
      <c r="T9" s="76"/>
      <c r="U9" s="468">
        <f t="shared" si="2"/>
        <v>0</v>
      </c>
      <c r="V9" s="448"/>
      <c r="W9" s="1317"/>
      <c r="X9" s="1317"/>
      <c r="Y9" s="1317"/>
      <c r="Z9" s="1317"/>
      <c r="AA9" s="1317"/>
      <c r="AB9" s="1317"/>
      <c r="AC9" s="1317"/>
      <c r="AD9" s="1317"/>
      <c r="AE9" s="1317"/>
      <c r="AF9" s="1317"/>
      <c r="AG9" s="448"/>
      <c r="AH9" s="448"/>
      <c r="AI9" s="448"/>
      <c r="AJ9" s="448"/>
      <c r="AK9" s="448"/>
      <c r="AL9" s="448"/>
      <c r="AM9" s="448"/>
      <c r="AN9" s="448"/>
      <c r="AO9" s="448"/>
      <c r="AP9" s="448"/>
      <c r="AQ9" s="448"/>
      <c r="AR9" s="448"/>
      <c r="AS9" s="448"/>
      <c r="AT9" s="448"/>
      <c r="AU9" s="448"/>
      <c r="AV9" s="448"/>
      <c r="AW9" s="448"/>
      <c r="AX9" s="448"/>
      <c r="AY9" s="448"/>
      <c r="AZ9" s="448"/>
      <c r="BA9" s="448"/>
    </row>
    <row r="10" spans="1:53" ht="12.75" customHeight="1" x14ac:dyDescent="0.2">
      <c r="A10" s="484" t="str">
        <f>'Kalkulation Herstellungskosten'!B42</f>
        <v>Motivaufnahmeleitung</v>
      </c>
      <c r="B10" s="456">
        <f>'Kalkulation Herstellungskosten'!C42+'Kalkulation Herstellungskosten'!C43</f>
        <v>0</v>
      </c>
      <c r="C10" s="456">
        <f>'Kalkulation Herstellungskosten'!F42</f>
        <v>0</v>
      </c>
      <c r="D10" s="448"/>
      <c r="E10" s="76"/>
      <c r="F10" s="76"/>
      <c r="G10" s="76"/>
      <c r="H10" s="471">
        <f t="shared" si="0"/>
        <v>0</v>
      </c>
      <c r="I10" s="76"/>
      <c r="J10" s="76"/>
      <c r="K10" s="471">
        <f t="shared" si="1"/>
        <v>0</v>
      </c>
      <c r="L10" s="76"/>
      <c r="M10" s="76"/>
      <c r="N10" s="76"/>
      <c r="O10" s="76"/>
      <c r="P10" s="76"/>
      <c r="Q10" s="76"/>
      <c r="R10" s="76"/>
      <c r="S10" s="76"/>
      <c r="T10" s="76"/>
      <c r="U10" s="468">
        <f t="shared" si="2"/>
        <v>0</v>
      </c>
      <c r="V10" s="448"/>
      <c r="W10" s="1317"/>
      <c r="X10" s="1317"/>
      <c r="Y10" s="1317"/>
      <c r="Z10" s="1317"/>
      <c r="AA10" s="1317"/>
      <c r="AB10" s="1317"/>
      <c r="AC10" s="1317"/>
      <c r="AD10" s="1317"/>
      <c r="AE10" s="1317"/>
      <c r="AF10" s="1317"/>
      <c r="AG10" s="448"/>
      <c r="AH10" s="448"/>
      <c r="AI10" s="448"/>
      <c r="AJ10" s="448"/>
      <c r="AK10" s="448"/>
      <c r="AL10" s="448"/>
      <c r="AM10" s="448"/>
      <c r="AN10" s="448"/>
      <c r="AO10" s="448"/>
      <c r="AP10" s="448"/>
      <c r="AQ10" s="448"/>
      <c r="AR10" s="448"/>
      <c r="AS10" s="448"/>
      <c r="AT10" s="448"/>
      <c r="AU10" s="448"/>
      <c r="AV10" s="448"/>
      <c r="AW10" s="448"/>
      <c r="AX10" s="448"/>
      <c r="AY10" s="448"/>
      <c r="AZ10" s="448"/>
      <c r="BA10" s="448"/>
    </row>
    <row r="11" spans="1:53" ht="12.75" customHeight="1" x14ac:dyDescent="0.2">
      <c r="A11" s="484" t="str">
        <f>'Kalkulation Herstellungskosten'!B44</f>
        <v>Motivaufnahmeleitung Assi</v>
      </c>
      <c r="B11" s="456">
        <f>'Kalkulation Herstellungskosten'!C44+'Kalkulation Herstellungskosten'!C45</f>
        <v>0</v>
      </c>
      <c r="C11" s="456">
        <f>'Kalkulation Herstellungskosten'!F44</f>
        <v>0</v>
      </c>
      <c r="D11" s="448"/>
      <c r="E11" s="76"/>
      <c r="F11" s="76"/>
      <c r="G11" s="76"/>
      <c r="H11" s="471">
        <f t="shared" si="0"/>
        <v>0</v>
      </c>
      <c r="I11" s="76"/>
      <c r="J11" s="76"/>
      <c r="K11" s="471">
        <f t="shared" si="1"/>
        <v>0</v>
      </c>
      <c r="L11" s="76"/>
      <c r="M11" s="76"/>
      <c r="N11" s="76"/>
      <c r="O11" s="76"/>
      <c r="P11" s="76"/>
      <c r="Q11" s="76"/>
      <c r="R11" s="76"/>
      <c r="S11" s="76"/>
      <c r="T11" s="76"/>
      <c r="U11" s="468">
        <f t="shared" si="2"/>
        <v>0</v>
      </c>
      <c r="V11" s="448"/>
      <c r="W11" s="1317"/>
      <c r="X11" s="1317"/>
      <c r="Y11" s="1317"/>
      <c r="Z11" s="1317"/>
      <c r="AA11" s="1317"/>
      <c r="AB11" s="1317"/>
      <c r="AC11" s="1317"/>
      <c r="AD11" s="1317"/>
      <c r="AE11" s="1317"/>
      <c r="AF11" s="1317"/>
      <c r="AG11" s="448"/>
      <c r="AH11" s="448"/>
      <c r="AI11" s="448"/>
      <c r="AJ11" s="448"/>
      <c r="AK11" s="448"/>
      <c r="AL11" s="448"/>
      <c r="AM11" s="448"/>
      <c r="AN11" s="448"/>
      <c r="AO11" s="448"/>
      <c r="AP11" s="448"/>
      <c r="AQ11" s="448"/>
      <c r="AR11" s="448"/>
      <c r="AS11" s="448"/>
      <c r="AT11" s="448"/>
      <c r="AU11" s="448"/>
      <c r="AV11" s="448"/>
      <c r="AW11" s="448"/>
      <c r="AX11" s="448"/>
      <c r="AY11" s="448"/>
      <c r="AZ11" s="448"/>
      <c r="BA11" s="448"/>
    </row>
    <row r="12" spans="1:53" ht="12.75" customHeight="1" x14ac:dyDescent="0.2">
      <c r="A12" s="484" t="str">
        <f>'Kalkulation Herstellungskosten'!B46</f>
        <v>Produktionskoordination</v>
      </c>
      <c r="B12" s="456">
        <f>'Kalkulation Herstellungskosten'!C46+'Kalkulation Herstellungskosten'!C47</f>
        <v>0</v>
      </c>
      <c r="C12" s="456">
        <f>'Kalkulation Herstellungskosten'!F46</f>
        <v>0</v>
      </c>
      <c r="D12" s="448"/>
      <c r="E12" s="76"/>
      <c r="F12" s="76"/>
      <c r="G12" s="76"/>
      <c r="H12" s="471">
        <f t="shared" si="0"/>
        <v>0</v>
      </c>
      <c r="I12" s="76"/>
      <c r="J12" s="76"/>
      <c r="K12" s="471">
        <f t="shared" si="1"/>
        <v>0</v>
      </c>
      <c r="L12" s="76"/>
      <c r="M12" s="76"/>
      <c r="N12" s="76"/>
      <c r="O12" s="76"/>
      <c r="P12" s="76"/>
      <c r="Q12" s="76"/>
      <c r="R12" s="76"/>
      <c r="S12" s="76"/>
      <c r="T12" s="76"/>
      <c r="U12" s="468">
        <f t="shared" si="2"/>
        <v>0</v>
      </c>
      <c r="V12" s="448"/>
      <c r="W12" s="1317"/>
      <c r="X12" s="1317"/>
      <c r="Y12" s="1317"/>
      <c r="Z12" s="1317"/>
      <c r="AA12" s="1317"/>
      <c r="AB12" s="1317"/>
      <c r="AC12" s="1317"/>
      <c r="AD12" s="1317"/>
      <c r="AE12" s="1317"/>
      <c r="AF12" s="1317"/>
      <c r="AG12" s="448"/>
      <c r="AH12" s="448"/>
      <c r="AI12" s="448"/>
      <c r="AJ12" s="448"/>
      <c r="AK12" s="448"/>
      <c r="AL12" s="448"/>
      <c r="AM12" s="448"/>
      <c r="AN12" s="448"/>
      <c r="AO12" s="448"/>
      <c r="AP12" s="448"/>
      <c r="AQ12" s="448"/>
      <c r="AR12" s="448"/>
      <c r="AS12" s="448"/>
      <c r="AT12" s="448"/>
      <c r="AU12" s="448"/>
      <c r="AV12" s="448"/>
      <c r="AW12" s="448"/>
      <c r="AX12" s="448"/>
      <c r="AY12" s="448"/>
      <c r="AZ12" s="448"/>
      <c r="BA12" s="448"/>
    </row>
    <row r="13" spans="1:53" ht="12.75" customHeight="1" x14ac:dyDescent="0.2">
      <c r="A13" s="484" t="str">
        <f>'Kalkulation Herstellungskosten'!B48</f>
        <v>Postproduktionskoordination</v>
      </c>
      <c r="B13" s="456">
        <f>'Kalkulation Herstellungskosten'!C48+'Kalkulation Herstellungskosten'!C49</f>
        <v>0</v>
      </c>
      <c r="C13" s="456">
        <f>'Kalkulation Herstellungskosten'!F48</f>
        <v>0</v>
      </c>
      <c r="D13" s="448"/>
      <c r="E13" s="76"/>
      <c r="F13" s="76"/>
      <c r="G13" s="76"/>
      <c r="H13" s="471">
        <f t="shared" si="0"/>
        <v>0</v>
      </c>
      <c r="I13" s="76"/>
      <c r="J13" s="76"/>
      <c r="K13" s="471">
        <f t="shared" si="1"/>
        <v>0</v>
      </c>
      <c r="L13" s="76"/>
      <c r="M13" s="76"/>
      <c r="N13" s="76"/>
      <c r="O13" s="76"/>
      <c r="P13" s="76"/>
      <c r="Q13" s="76"/>
      <c r="R13" s="76"/>
      <c r="S13" s="76"/>
      <c r="T13" s="76"/>
      <c r="U13" s="468">
        <f t="shared" si="2"/>
        <v>0</v>
      </c>
      <c r="V13" s="448"/>
      <c r="W13" s="1317"/>
      <c r="X13" s="1317"/>
      <c r="Y13" s="1317"/>
      <c r="Z13" s="1317"/>
      <c r="AA13" s="1317"/>
      <c r="AB13" s="1317"/>
      <c r="AC13" s="1317"/>
      <c r="AD13" s="1317"/>
      <c r="AE13" s="1317"/>
      <c r="AF13" s="1317"/>
      <c r="AG13" s="448"/>
      <c r="AH13" s="448"/>
      <c r="AI13" s="448"/>
      <c r="AJ13" s="448"/>
      <c r="AK13" s="448"/>
      <c r="AL13" s="448"/>
      <c r="AM13" s="448"/>
      <c r="AN13" s="448"/>
      <c r="AO13" s="448"/>
      <c r="AP13" s="448"/>
      <c r="AQ13" s="448"/>
      <c r="AR13" s="448"/>
      <c r="AS13" s="448"/>
      <c r="AT13" s="448"/>
      <c r="AU13" s="448"/>
      <c r="AV13" s="448"/>
      <c r="AW13" s="448"/>
      <c r="AX13" s="448"/>
      <c r="AY13" s="448"/>
      <c r="AZ13" s="448"/>
      <c r="BA13" s="448"/>
    </row>
    <row r="14" spans="1:53" ht="12.75" customHeight="1" x14ac:dyDescent="0.2">
      <c r="A14" s="484" t="str">
        <f>'Kalkulation Herstellungskosten'!B50</f>
        <v>Produktionsassistenz</v>
      </c>
      <c r="B14" s="456">
        <f>'Kalkulation Herstellungskosten'!C50+'Kalkulation Herstellungskosten'!C51</f>
        <v>0</v>
      </c>
      <c r="C14" s="456">
        <f>'Kalkulation Herstellungskosten'!F50</f>
        <v>0</v>
      </c>
      <c r="D14" s="448"/>
      <c r="E14" s="76"/>
      <c r="F14" s="76"/>
      <c r="G14" s="76"/>
      <c r="H14" s="471">
        <f t="shared" si="0"/>
        <v>0</v>
      </c>
      <c r="I14" s="76"/>
      <c r="J14" s="76"/>
      <c r="K14" s="471">
        <f t="shared" si="1"/>
        <v>0</v>
      </c>
      <c r="L14" s="76"/>
      <c r="M14" s="76"/>
      <c r="N14" s="76"/>
      <c r="O14" s="76"/>
      <c r="P14" s="76"/>
      <c r="Q14" s="76"/>
      <c r="R14" s="76"/>
      <c r="S14" s="76"/>
      <c r="T14" s="76"/>
      <c r="U14" s="468">
        <f t="shared" si="2"/>
        <v>0</v>
      </c>
      <c r="V14" s="470"/>
      <c r="W14" s="1317"/>
      <c r="X14" s="1317"/>
      <c r="Y14" s="1317"/>
      <c r="Z14" s="1317"/>
      <c r="AA14" s="1317"/>
      <c r="AB14" s="1317"/>
      <c r="AC14" s="1317"/>
      <c r="AD14" s="1317"/>
      <c r="AE14" s="1317"/>
      <c r="AF14" s="1317"/>
      <c r="AG14" s="448"/>
      <c r="AH14" s="448"/>
      <c r="AI14" s="448"/>
      <c r="AJ14" s="448"/>
      <c r="AK14" s="448"/>
      <c r="AL14" s="448"/>
      <c r="AM14" s="448"/>
      <c r="AN14" s="448"/>
      <c r="AO14" s="448"/>
      <c r="AP14" s="448"/>
      <c r="AQ14" s="448"/>
      <c r="AR14" s="448"/>
      <c r="AS14" s="448"/>
      <c r="AT14" s="448"/>
      <c r="AU14" s="448"/>
      <c r="AV14" s="448"/>
      <c r="AW14" s="448"/>
      <c r="AX14" s="448"/>
      <c r="AY14" s="448"/>
      <c r="AZ14" s="448"/>
      <c r="BA14" s="448"/>
    </row>
    <row r="15" spans="1:53" ht="12.75" customHeight="1" x14ac:dyDescent="0.2">
      <c r="A15" s="484" t="str">
        <f>'Kalkulation Herstellungskosten'!B52</f>
        <v>Filmgeschäftsführung</v>
      </c>
      <c r="B15" s="456">
        <f>'Kalkulation Herstellungskosten'!C52+'Kalkulation Herstellungskosten'!C53</f>
        <v>0</v>
      </c>
      <c r="C15" s="456">
        <f>'Kalkulation Herstellungskosten'!F52</f>
        <v>0</v>
      </c>
      <c r="D15" s="448"/>
      <c r="E15" s="76"/>
      <c r="F15" s="76"/>
      <c r="G15" s="76"/>
      <c r="H15" s="471">
        <f t="shared" si="0"/>
        <v>0</v>
      </c>
      <c r="I15" s="76"/>
      <c r="J15" s="76"/>
      <c r="K15" s="471">
        <f t="shared" si="1"/>
        <v>0</v>
      </c>
      <c r="L15" s="76"/>
      <c r="M15" s="76"/>
      <c r="N15" s="76"/>
      <c r="O15" s="76"/>
      <c r="P15" s="76"/>
      <c r="Q15" s="76"/>
      <c r="R15" s="76"/>
      <c r="S15" s="76"/>
      <c r="T15" s="76"/>
      <c r="U15" s="468">
        <f t="shared" si="2"/>
        <v>0</v>
      </c>
      <c r="V15" s="470"/>
      <c r="W15" s="1317"/>
      <c r="X15" s="1317"/>
      <c r="Y15" s="1317"/>
      <c r="Z15" s="1317"/>
      <c r="AA15" s="1317"/>
      <c r="AB15" s="1317"/>
      <c r="AC15" s="1317"/>
      <c r="AD15" s="1317"/>
      <c r="AE15" s="1317"/>
      <c r="AF15" s="1317"/>
      <c r="AG15" s="448"/>
      <c r="AH15" s="448"/>
      <c r="AI15" s="448"/>
      <c r="AJ15" s="448"/>
      <c r="AK15" s="448"/>
      <c r="AL15" s="448"/>
      <c r="AM15" s="448"/>
      <c r="AN15" s="448"/>
      <c r="AO15" s="448"/>
      <c r="AP15" s="448"/>
      <c r="AQ15" s="448"/>
      <c r="AR15" s="448"/>
      <c r="AS15" s="448"/>
      <c r="AT15" s="448"/>
      <c r="AU15" s="448"/>
      <c r="AV15" s="448"/>
      <c r="AW15" s="448"/>
      <c r="AX15" s="448"/>
      <c r="AY15" s="448"/>
      <c r="AZ15" s="448"/>
      <c r="BA15" s="448"/>
    </row>
    <row r="16" spans="1:53" ht="12.75" customHeight="1" x14ac:dyDescent="0.2">
      <c r="A16" s="484" t="str">
        <f>'Kalkulation Herstellungskosten'!B54</f>
        <v>Regie</v>
      </c>
      <c r="B16" s="456">
        <f>'Kalkulation Herstellungskosten'!C55</f>
        <v>0</v>
      </c>
      <c r="C16" s="456">
        <f>'Kalkulation Herstellungskosten'!F55</f>
        <v>0</v>
      </c>
      <c r="D16" s="448"/>
      <c r="E16" s="76"/>
      <c r="F16" s="76"/>
      <c r="G16" s="76"/>
      <c r="H16" s="471">
        <f t="shared" si="0"/>
        <v>0</v>
      </c>
      <c r="I16" s="76"/>
      <c r="J16" s="76"/>
      <c r="K16" s="471">
        <f t="shared" si="1"/>
        <v>0</v>
      </c>
      <c r="L16" s="76"/>
      <c r="M16" s="76"/>
      <c r="N16" s="76"/>
      <c r="O16" s="76"/>
      <c r="P16" s="76"/>
      <c r="Q16" s="76"/>
      <c r="R16" s="76"/>
      <c r="S16" s="76"/>
      <c r="T16" s="76"/>
      <c r="U16" s="468">
        <f t="shared" si="2"/>
        <v>0</v>
      </c>
      <c r="V16" s="470"/>
      <c r="W16" s="1317"/>
      <c r="X16" s="1317"/>
      <c r="Y16" s="1317"/>
      <c r="Z16" s="1317"/>
      <c r="AA16" s="1317"/>
      <c r="AB16" s="1317"/>
      <c r="AC16" s="1317"/>
      <c r="AD16" s="1317"/>
      <c r="AE16" s="1317"/>
      <c r="AF16" s="1317"/>
      <c r="AG16" s="448"/>
      <c r="AH16" s="448"/>
      <c r="AI16" s="448"/>
      <c r="AJ16" s="448"/>
      <c r="AK16" s="448"/>
      <c r="AL16" s="448"/>
      <c r="AM16" s="448"/>
      <c r="AN16" s="448"/>
      <c r="AO16" s="448"/>
      <c r="AP16" s="448"/>
      <c r="AQ16" s="448"/>
      <c r="AR16" s="448"/>
      <c r="AS16" s="448"/>
      <c r="AT16" s="448"/>
      <c r="AU16" s="448"/>
      <c r="AV16" s="448"/>
      <c r="AW16" s="448"/>
      <c r="AX16" s="448"/>
      <c r="AY16" s="448"/>
      <c r="AZ16" s="448"/>
      <c r="BA16" s="448"/>
    </row>
    <row r="17" spans="1:53" ht="12.75" customHeight="1" x14ac:dyDescent="0.2">
      <c r="A17" s="484" t="str">
        <f>'Kalkulation Herstellungskosten'!B56</f>
        <v>Regieassistenz</v>
      </c>
      <c r="B17" s="456">
        <f>'Kalkulation Herstellungskosten'!C56+'Kalkulation Herstellungskosten'!C57</f>
        <v>0</v>
      </c>
      <c r="C17" s="456">
        <f>'Kalkulation Herstellungskosten'!F56</f>
        <v>0</v>
      </c>
      <c r="D17" s="448"/>
      <c r="E17" s="76"/>
      <c r="F17" s="76"/>
      <c r="G17" s="76"/>
      <c r="H17" s="471">
        <f t="shared" si="0"/>
        <v>0</v>
      </c>
      <c r="I17" s="76"/>
      <c r="J17" s="76"/>
      <c r="K17" s="471">
        <f t="shared" si="1"/>
        <v>0</v>
      </c>
      <c r="L17" s="76"/>
      <c r="M17" s="76"/>
      <c r="N17" s="76"/>
      <c r="O17" s="76"/>
      <c r="P17" s="76"/>
      <c r="Q17" s="76"/>
      <c r="R17" s="76"/>
      <c r="S17" s="76"/>
      <c r="T17" s="76"/>
      <c r="U17" s="468">
        <f t="shared" si="2"/>
        <v>0</v>
      </c>
      <c r="V17" s="470"/>
      <c r="W17" s="1317"/>
      <c r="X17" s="1317"/>
      <c r="Y17" s="1317"/>
      <c r="Z17" s="1317"/>
      <c r="AA17" s="1317"/>
      <c r="AB17" s="1317"/>
      <c r="AC17" s="1317"/>
      <c r="AD17" s="1317"/>
      <c r="AE17" s="1317"/>
      <c r="AF17" s="1317"/>
      <c r="AG17" s="448"/>
      <c r="AH17" s="448"/>
      <c r="AI17" s="448"/>
      <c r="AJ17" s="448"/>
      <c r="AK17" s="448"/>
      <c r="AL17" s="448"/>
      <c r="AM17" s="448"/>
      <c r="AN17" s="448"/>
      <c r="AO17" s="448"/>
      <c r="AP17" s="448"/>
      <c r="AQ17" s="448"/>
      <c r="AR17" s="448"/>
      <c r="AS17" s="448"/>
      <c r="AT17" s="448"/>
      <c r="AU17" s="448"/>
      <c r="AV17" s="448"/>
      <c r="AW17" s="448"/>
      <c r="AX17" s="448"/>
      <c r="AY17" s="448"/>
      <c r="AZ17" s="448"/>
      <c r="BA17" s="448"/>
    </row>
    <row r="18" spans="1:53" ht="12.75" customHeight="1" x14ac:dyDescent="0.2">
      <c r="A18" s="484" t="str">
        <f>'Kalkulation Herstellungskosten'!B58</f>
        <v>2. Regieassistenz</v>
      </c>
      <c r="B18" s="456">
        <f>'Kalkulation Herstellungskosten'!C58+'Kalkulation Herstellungskosten'!C59</f>
        <v>0</v>
      </c>
      <c r="C18" s="456">
        <f>'Kalkulation Herstellungskosten'!F58</f>
        <v>0</v>
      </c>
      <c r="D18" s="448"/>
      <c r="E18" s="76"/>
      <c r="F18" s="76"/>
      <c r="G18" s="76"/>
      <c r="H18" s="471">
        <f t="shared" si="0"/>
        <v>0</v>
      </c>
      <c r="I18" s="76"/>
      <c r="J18" s="76"/>
      <c r="K18" s="471">
        <f t="shared" si="1"/>
        <v>0</v>
      </c>
      <c r="L18" s="76"/>
      <c r="M18" s="76"/>
      <c r="N18" s="76"/>
      <c r="O18" s="76"/>
      <c r="P18" s="76"/>
      <c r="Q18" s="76"/>
      <c r="R18" s="76"/>
      <c r="S18" s="76"/>
      <c r="T18" s="76"/>
      <c r="U18" s="468">
        <f t="shared" si="2"/>
        <v>0</v>
      </c>
      <c r="V18" s="470"/>
      <c r="W18" s="1317"/>
      <c r="X18" s="1317"/>
      <c r="Y18" s="1317"/>
      <c r="Z18" s="1317"/>
      <c r="AA18" s="1317"/>
      <c r="AB18" s="1317"/>
      <c r="AC18" s="1317"/>
      <c r="AD18" s="1317"/>
      <c r="AE18" s="1317"/>
      <c r="AF18" s="1317"/>
      <c r="AG18" s="448"/>
      <c r="AH18" s="448"/>
      <c r="AI18" s="448"/>
      <c r="AJ18" s="448"/>
      <c r="AK18" s="448"/>
      <c r="AL18" s="448"/>
      <c r="AM18" s="448"/>
      <c r="AN18" s="448"/>
      <c r="AO18" s="448"/>
      <c r="AP18" s="448"/>
      <c r="AQ18" s="448"/>
      <c r="AR18" s="448"/>
      <c r="AS18" s="448"/>
      <c r="AT18" s="448"/>
      <c r="AU18" s="448"/>
      <c r="AV18" s="448"/>
      <c r="AW18" s="448"/>
      <c r="AX18" s="448"/>
      <c r="AY18" s="448"/>
      <c r="AZ18" s="448"/>
      <c r="BA18" s="448"/>
    </row>
    <row r="19" spans="1:53" ht="12.75" customHeight="1" x14ac:dyDescent="0.2">
      <c r="A19" s="484" t="str">
        <f>'Kalkulation Herstellungskosten'!B60</f>
        <v>Continuity/Skript</v>
      </c>
      <c r="B19" s="456">
        <f>'Kalkulation Herstellungskosten'!C60+'Kalkulation Herstellungskosten'!C61</f>
        <v>0</v>
      </c>
      <c r="C19" s="456">
        <f>'Kalkulation Herstellungskosten'!F60</f>
        <v>0</v>
      </c>
      <c r="D19" s="448"/>
      <c r="E19" s="76"/>
      <c r="F19" s="76"/>
      <c r="G19" s="76"/>
      <c r="H19" s="471">
        <f t="shared" si="0"/>
        <v>0</v>
      </c>
      <c r="I19" s="76"/>
      <c r="J19" s="76"/>
      <c r="K19" s="471">
        <f t="shared" si="1"/>
        <v>0</v>
      </c>
      <c r="L19" s="76"/>
      <c r="M19" s="76"/>
      <c r="N19" s="76"/>
      <c r="O19" s="76"/>
      <c r="P19" s="76"/>
      <c r="Q19" s="76"/>
      <c r="R19" s="76"/>
      <c r="S19" s="76"/>
      <c r="T19" s="76"/>
      <c r="U19" s="468">
        <f t="shared" si="2"/>
        <v>0</v>
      </c>
      <c r="V19" s="470"/>
      <c r="W19" s="1317"/>
      <c r="X19" s="1317"/>
      <c r="Y19" s="1317"/>
      <c r="Z19" s="1317"/>
      <c r="AA19" s="1317"/>
      <c r="AB19" s="1317"/>
      <c r="AC19" s="1317"/>
      <c r="AD19" s="1317"/>
      <c r="AE19" s="1317"/>
      <c r="AF19" s="1317"/>
      <c r="AG19" s="448"/>
      <c r="AH19" s="448"/>
      <c r="AI19" s="448"/>
      <c r="AJ19" s="448"/>
      <c r="AK19" s="448"/>
      <c r="AL19" s="448"/>
      <c r="AM19" s="448"/>
      <c r="AN19" s="448"/>
      <c r="AO19" s="448"/>
      <c r="AP19" s="448"/>
      <c r="AQ19" s="448"/>
      <c r="AR19" s="448"/>
      <c r="AS19" s="448"/>
      <c r="AT19" s="448"/>
      <c r="AU19" s="448"/>
      <c r="AV19" s="448"/>
      <c r="AW19" s="448"/>
      <c r="AX19" s="448"/>
      <c r="AY19" s="448"/>
      <c r="AZ19" s="448"/>
      <c r="BA19" s="448"/>
    </row>
    <row r="20" spans="1:53" ht="12.75" customHeight="1" x14ac:dyDescent="0.2">
      <c r="A20" s="484" t="str">
        <f>'Kalkulation Herstellungskosten'!B62</f>
        <v>Kamera</v>
      </c>
      <c r="B20" s="456">
        <f>'Kalkulation Herstellungskosten'!C62+'Kalkulation Herstellungskosten'!C63</f>
        <v>0</v>
      </c>
      <c r="C20" s="456">
        <f>'Kalkulation Herstellungskosten'!F62</f>
        <v>0</v>
      </c>
      <c r="D20" s="448"/>
      <c r="E20" s="76"/>
      <c r="F20" s="76"/>
      <c r="G20" s="76"/>
      <c r="H20" s="471">
        <f t="shared" si="0"/>
        <v>0</v>
      </c>
      <c r="I20" s="76"/>
      <c r="J20" s="76"/>
      <c r="K20" s="471">
        <f t="shared" si="1"/>
        <v>0</v>
      </c>
      <c r="L20" s="76"/>
      <c r="M20" s="76"/>
      <c r="N20" s="76"/>
      <c r="O20" s="76"/>
      <c r="P20" s="76"/>
      <c r="Q20" s="76"/>
      <c r="R20" s="76"/>
      <c r="S20" s="76"/>
      <c r="T20" s="76"/>
      <c r="U20" s="468">
        <f t="shared" si="2"/>
        <v>0</v>
      </c>
      <c r="V20" s="448"/>
      <c r="W20" s="1317"/>
      <c r="X20" s="1317"/>
      <c r="Y20" s="1317"/>
      <c r="Z20" s="1317"/>
      <c r="AA20" s="1317"/>
      <c r="AB20" s="1317"/>
      <c r="AC20" s="1317"/>
      <c r="AD20" s="1317"/>
      <c r="AE20" s="1317"/>
      <c r="AF20" s="1317"/>
      <c r="AG20" s="448"/>
      <c r="AH20" s="448"/>
      <c r="AI20" s="448"/>
      <c r="AJ20" s="448"/>
      <c r="AK20" s="448"/>
      <c r="AL20" s="448"/>
      <c r="AM20" s="448"/>
      <c r="AN20" s="448"/>
      <c r="AO20" s="448"/>
      <c r="AP20" s="448"/>
      <c r="AQ20" s="448"/>
      <c r="AR20" s="448"/>
      <c r="AS20" s="448"/>
      <c r="AT20" s="448"/>
      <c r="AU20" s="448"/>
      <c r="AV20" s="448"/>
      <c r="AW20" s="448"/>
      <c r="AX20" s="448"/>
      <c r="AY20" s="448"/>
      <c r="AZ20" s="448"/>
      <c r="BA20" s="448"/>
    </row>
    <row r="21" spans="1:53" ht="12.75" customHeight="1" x14ac:dyDescent="0.2">
      <c r="A21" s="484" t="str">
        <f>'Kalkulation Herstellungskosten'!B64</f>
        <v>1. Kameraassistenz</v>
      </c>
      <c r="B21" s="456">
        <f>'Kalkulation Herstellungskosten'!C64+'Kalkulation Herstellungskosten'!C65</f>
        <v>0</v>
      </c>
      <c r="C21" s="456">
        <f>'Kalkulation Herstellungskosten'!F64</f>
        <v>0</v>
      </c>
      <c r="D21" s="448"/>
      <c r="E21" s="76"/>
      <c r="F21" s="76"/>
      <c r="G21" s="76"/>
      <c r="H21" s="471">
        <f t="shared" si="0"/>
        <v>0</v>
      </c>
      <c r="I21" s="76"/>
      <c r="J21" s="76"/>
      <c r="K21" s="471">
        <f t="shared" si="1"/>
        <v>0</v>
      </c>
      <c r="L21" s="76"/>
      <c r="M21" s="76"/>
      <c r="N21" s="76"/>
      <c r="O21" s="76"/>
      <c r="P21" s="76"/>
      <c r="Q21" s="76"/>
      <c r="R21" s="76"/>
      <c r="S21" s="76"/>
      <c r="T21" s="76"/>
      <c r="U21" s="468">
        <f t="shared" si="2"/>
        <v>0</v>
      </c>
      <c r="V21" s="448"/>
      <c r="W21" s="1317"/>
      <c r="X21" s="1317"/>
      <c r="Y21" s="1317"/>
      <c r="Z21" s="1317"/>
      <c r="AA21" s="1317"/>
      <c r="AB21" s="1317"/>
      <c r="AC21" s="1317"/>
      <c r="AD21" s="1317"/>
      <c r="AE21" s="1317"/>
      <c r="AF21" s="1317"/>
      <c r="AG21" s="448"/>
      <c r="AH21" s="448"/>
      <c r="AI21" s="448"/>
      <c r="AJ21" s="448"/>
      <c r="AK21" s="448"/>
      <c r="AL21" s="448"/>
      <c r="AM21" s="448"/>
      <c r="AN21" s="448"/>
      <c r="AO21" s="448"/>
      <c r="AP21" s="448"/>
      <c r="AQ21" s="448"/>
      <c r="AR21" s="448"/>
      <c r="AS21" s="448"/>
      <c r="AT21" s="448"/>
      <c r="AU21" s="448"/>
      <c r="AV21" s="448"/>
      <c r="AW21" s="448"/>
      <c r="AX21" s="448"/>
      <c r="AY21" s="448"/>
      <c r="AZ21" s="448"/>
      <c r="BA21" s="448"/>
    </row>
    <row r="22" spans="1:53" ht="12.75" customHeight="1" x14ac:dyDescent="0.2">
      <c r="A22" s="484" t="str">
        <f>'Kalkulation Herstellungskosten'!B66</f>
        <v>2. Kameraassistenz</v>
      </c>
      <c r="B22" s="456">
        <f>'Kalkulation Herstellungskosten'!C66+'Kalkulation Herstellungskosten'!C67</f>
        <v>0</v>
      </c>
      <c r="C22" s="456">
        <f>'Kalkulation Herstellungskosten'!F66</f>
        <v>0</v>
      </c>
      <c r="D22" s="448"/>
      <c r="E22" s="76"/>
      <c r="F22" s="76"/>
      <c r="G22" s="76"/>
      <c r="H22" s="471">
        <f t="shared" si="0"/>
        <v>0</v>
      </c>
      <c r="I22" s="76"/>
      <c r="J22" s="76"/>
      <c r="K22" s="471">
        <f t="shared" si="1"/>
        <v>0</v>
      </c>
      <c r="L22" s="76"/>
      <c r="M22" s="76"/>
      <c r="N22" s="76"/>
      <c r="O22" s="76"/>
      <c r="P22" s="76"/>
      <c r="Q22" s="76"/>
      <c r="R22" s="76"/>
      <c r="S22" s="76"/>
      <c r="T22" s="76"/>
      <c r="U22" s="468">
        <f t="shared" si="2"/>
        <v>0</v>
      </c>
      <c r="V22" s="448"/>
      <c r="W22" s="1317"/>
      <c r="X22" s="1317"/>
      <c r="Y22" s="1317"/>
      <c r="Z22" s="1317"/>
      <c r="AA22" s="1317"/>
      <c r="AB22" s="1317"/>
      <c r="AC22" s="1317"/>
      <c r="AD22" s="1317"/>
      <c r="AE22" s="1317"/>
      <c r="AF22" s="1317"/>
      <c r="AG22" s="448"/>
      <c r="AH22" s="448"/>
      <c r="AI22" s="448"/>
      <c r="AJ22" s="448"/>
      <c r="AK22" s="448"/>
      <c r="AL22" s="448"/>
      <c r="AM22" s="448"/>
      <c r="AN22" s="448"/>
      <c r="AO22" s="448"/>
      <c r="AP22" s="448"/>
      <c r="AQ22" s="448"/>
      <c r="AR22" s="448"/>
      <c r="AS22" s="448"/>
      <c r="AT22" s="448"/>
      <c r="AU22" s="448"/>
      <c r="AV22" s="448"/>
      <c r="AW22" s="448"/>
      <c r="AX22" s="448"/>
      <c r="AY22" s="448"/>
      <c r="AZ22" s="448"/>
      <c r="BA22" s="448"/>
    </row>
    <row r="23" spans="1:53" ht="12.75" customHeight="1" x14ac:dyDescent="0.2">
      <c r="A23" s="484" t="str">
        <f>'Kalkulation Herstellungskosten'!B68</f>
        <v>Kamera im Verbund, Schwenker*in</v>
      </c>
      <c r="B23" s="456">
        <f>'Kalkulation Herstellungskosten'!C68+'Kalkulation Herstellungskosten'!C69</f>
        <v>0</v>
      </c>
      <c r="C23" s="456">
        <f>'Kalkulation Herstellungskosten'!F68</f>
        <v>0</v>
      </c>
      <c r="D23" s="448"/>
      <c r="E23" s="76"/>
      <c r="F23" s="76"/>
      <c r="G23" s="76"/>
      <c r="H23" s="471">
        <f t="shared" si="0"/>
        <v>0</v>
      </c>
      <c r="I23" s="76"/>
      <c r="J23" s="76"/>
      <c r="K23" s="471">
        <f t="shared" si="1"/>
        <v>0</v>
      </c>
      <c r="L23" s="76"/>
      <c r="M23" s="76"/>
      <c r="N23" s="76"/>
      <c r="O23" s="76"/>
      <c r="P23" s="76"/>
      <c r="Q23" s="76"/>
      <c r="R23" s="76"/>
      <c r="S23" s="76"/>
      <c r="T23" s="76"/>
      <c r="U23" s="468">
        <f t="shared" si="2"/>
        <v>0</v>
      </c>
      <c r="V23" s="448"/>
      <c r="W23" s="1317"/>
      <c r="X23" s="1317"/>
      <c r="Y23" s="1317"/>
      <c r="Z23" s="1317"/>
      <c r="AA23" s="1317"/>
      <c r="AB23" s="1317"/>
      <c r="AC23" s="1317"/>
      <c r="AD23" s="1317"/>
      <c r="AE23" s="1317"/>
      <c r="AF23" s="1317"/>
      <c r="AG23" s="448"/>
      <c r="AH23" s="448"/>
      <c r="AI23" s="448"/>
      <c r="AJ23" s="448"/>
      <c r="AK23" s="448"/>
      <c r="AL23" s="448"/>
      <c r="AM23" s="448"/>
      <c r="AN23" s="448"/>
      <c r="AO23" s="448"/>
      <c r="AP23" s="448"/>
      <c r="AQ23" s="448"/>
      <c r="AR23" s="448"/>
      <c r="AS23" s="448"/>
      <c r="AT23" s="448"/>
      <c r="AU23" s="448"/>
      <c r="AV23" s="448"/>
      <c r="AW23" s="448"/>
      <c r="AX23" s="448"/>
      <c r="AY23" s="448"/>
      <c r="AZ23" s="448"/>
      <c r="BA23" s="448"/>
    </row>
    <row r="24" spans="1:53" ht="12.75" customHeight="1" x14ac:dyDescent="0.2">
      <c r="A24" s="484" t="str">
        <f>'Kalkulation Herstellungskosten'!B70</f>
        <v>1. Kamerabühne</v>
      </c>
      <c r="B24" s="456">
        <f>'Kalkulation Herstellungskosten'!C70+'Kalkulation Herstellungskosten'!C71</f>
        <v>0</v>
      </c>
      <c r="C24" s="456">
        <f>'Kalkulation Herstellungskosten'!F70</f>
        <v>0</v>
      </c>
      <c r="D24" s="448"/>
      <c r="E24" s="76"/>
      <c r="F24" s="76"/>
      <c r="G24" s="76"/>
      <c r="H24" s="471">
        <f t="shared" si="0"/>
        <v>0</v>
      </c>
      <c r="I24" s="76"/>
      <c r="J24" s="76"/>
      <c r="K24" s="471">
        <f t="shared" si="1"/>
        <v>0</v>
      </c>
      <c r="L24" s="76"/>
      <c r="M24" s="76"/>
      <c r="N24" s="76"/>
      <c r="O24" s="76"/>
      <c r="P24" s="76"/>
      <c r="Q24" s="76"/>
      <c r="R24" s="76"/>
      <c r="S24" s="76"/>
      <c r="T24" s="76"/>
      <c r="U24" s="468">
        <f t="shared" si="2"/>
        <v>0</v>
      </c>
      <c r="V24" s="448"/>
      <c r="W24" s="1317"/>
      <c r="X24" s="1317"/>
      <c r="Y24" s="1317"/>
      <c r="Z24" s="1317"/>
      <c r="AA24" s="1317"/>
      <c r="AB24" s="1317"/>
      <c r="AC24" s="1317"/>
      <c r="AD24" s="1317"/>
      <c r="AE24" s="1317"/>
      <c r="AF24" s="1317"/>
      <c r="AG24" s="448"/>
      <c r="AH24" s="448"/>
      <c r="AI24" s="448"/>
      <c r="AJ24" s="448"/>
      <c r="AK24" s="448"/>
      <c r="AL24" s="448"/>
      <c r="AM24" s="448"/>
      <c r="AN24" s="448"/>
      <c r="AO24" s="448"/>
      <c r="AP24" s="448"/>
      <c r="AQ24" s="448"/>
      <c r="AR24" s="448"/>
      <c r="AS24" s="448"/>
      <c r="AT24" s="448"/>
      <c r="AU24" s="448"/>
      <c r="AV24" s="448"/>
      <c r="AW24" s="448"/>
      <c r="AX24" s="448"/>
      <c r="AY24" s="448"/>
      <c r="AZ24" s="448"/>
      <c r="BA24" s="448"/>
    </row>
    <row r="25" spans="1:53" ht="12.75" customHeight="1" x14ac:dyDescent="0.2">
      <c r="A25" s="484" t="str">
        <f>'Kalkulation Herstellungskosten'!B72</f>
        <v>2. Kamerabühne</v>
      </c>
      <c r="B25" s="456">
        <f>'Kalkulation Herstellungskosten'!C72+'Kalkulation Herstellungskosten'!C73</f>
        <v>0</v>
      </c>
      <c r="C25" s="456">
        <f>'Kalkulation Herstellungskosten'!F72</f>
        <v>0</v>
      </c>
      <c r="D25" s="448"/>
      <c r="E25" s="76"/>
      <c r="F25" s="76"/>
      <c r="G25" s="76"/>
      <c r="H25" s="471">
        <f t="shared" si="0"/>
        <v>0</v>
      </c>
      <c r="I25" s="76"/>
      <c r="J25" s="76"/>
      <c r="K25" s="471">
        <f t="shared" si="1"/>
        <v>0</v>
      </c>
      <c r="L25" s="76"/>
      <c r="M25" s="76"/>
      <c r="N25" s="76"/>
      <c r="O25" s="76"/>
      <c r="P25" s="76"/>
      <c r="Q25" s="76"/>
      <c r="R25" s="76"/>
      <c r="S25" s="76"/>
      <c r="T25" s="76"/>
      <c r="U25" s="468">
        <f t="shared" si="2"/>
        <v>0</v>
      </c>
      <c r="V25" s="448"/>
      <c r="W25" s="1317"/>
      <c r="X25" s="1317"/>
      <c r="Y25" s="1317"/>
      <c r="Z25" s="1317"/>
      <c r="AA25" s="1317"/>
      <c r="AB25" s="1317"/>
      <c r="AC25" s="1317"/>
      <c r="AD25" s="1317"/>
      <c r="AE25" s="1317"/>
      <c r="AF25" s="1317"/>
      <c r="AG25" s="448"/>
      <c r="AH25" s="448"/>
      <c r="AI25" s="448"/>
      <c r="AJ25" s="448"/>
      <c r="AK25" s="448"/>
      <c r="AL25" s="448"/>
      <c r="AM25" s="448"/>
      <c r="AN25" s="448"/>
      <c r="AO25" s="448"/>
      <c r="AP25" s="448"/>
      <c r="AQ25" s="448"/>
      <c r="AR25" s="448"/>
      <c r="AS25" s="448"/>
      <c r="AT25" s="448"/>
      <c r="AU25" s="448"/>
      <c r="AV25" s="448"/>
      <c r="AW25" s="448"/>
      <c r="AX25" s="448"/>
      <c r="AY25" s="448"/>
      <c r="AZ25" s="448"/>
      <c r="BA25" s="448"/>
    </row>
    <row r="26" spans="1:53" ht="12.75" customHeight="1" x14ac:dyDescent="0.2">
      <c r="A26" s="484" t="str">
        <f>'Kalkulation Herstellungskosten'!B74</f>
        <v>Kamerabühne Helfer*in</v>
      </c>
      <c r="B26" s="456">
        <f>'Kalkulation Herstellungskosten'!C74+'Kalkulation Herstellungskosten'!C75</f>
        <v>0</v>
      </c>
      <c r="C26" s="456">
        <f>'Kalkulation Herstellungskosten'!F74</f>
        <v>0</v>
      </c>
      <c r="D26" s="448"/>
      <c r="E26" s="76"/>
      <c r="F26" s="76"/>
      <c r="G26" s="76"/>
      <c r="H26" s="471">
        <f t="shared" si="0"/>
        <v>0</v>
      </c>
      <c r="I26" s="76"/>
      <c r="J26" s="76"/>
      <c r="K26" s="471">
        <f t="shared" si="1"/>
        <v>0</v>
      </c>
      <c r="L26" s="76"/>
      <c r="M26" s="76"/>
      <c r="N26" s="76"/>
      <c r="O26" s="76"/>
      <c r="P26" s="76"/>
      <c r="Q26" s="76"/>
      <c r="R26" s="76"/>
      <c r="S26" s="76"/>
      <c r="T26" s="76"/>
      <c r="U26" s="468">
        <f t="shared" si="2"/>
        <v>0</v>
      </c>
      <c r="V26" s="448"/>
      <c r="W26" s="1317"/>
      <c r="X26" s="1317"/>
      <c r="Y26" s="1317"/>
      <c r="Z26" s="1317"/>
      <c r="AA26" s="1317"/>
      <c r="AB26" s="1317"/>
      <c r="AC26" s="1317"/>
      <c r="AD26" s="1317"/>
      <c r="AE26" s="1317"/>
      <c r="AF26" s="1317"/>
      <c r="AG26" s="448"/>
      <c r="AH26" s="448"/>
      <c r="AI26" s="448"/>
      <c r="AJ26" s="448"/>
      <c r="AK26" s="448"/>
      <c r="AL26" s="448"/>
      <c r="AM26" s="448"/>
      <c r="AN26" s="448"/>
      <c r="AO26" s="448"/>
      <c r="AP26" s="448"/>
      <c r="AQ26" s="448"/>
      <c r="AR26" s="448"/>
      <c r="AS26" s="448"/>
      <c r="AT26" s="448"/>
      <c r="AU26" s="448"/>
      <c r="AV26" s="448"/>
      <c r="AW26" s="448"/>
      <c r="AX26" s="448"/>
      <c r="AY26" s="448"/>
      <c r="AZ26" s="448"/>
      <c r="BA26" s="448"/>
    </row>
    <row r="27" spans="1:53" ht="12.75" customHeight="1" x14ac:dyDescent="0.2">
      <c r="A27" s="484" t="str">
        <f>'Kalkulation Herstellungskosten'!B76</f>
        <v>Videotechnik</v>
      </c>
      <c r="B27" s="456">
        <f>'Kalkulation Herstellungskosten'!C76+'Kalkulation Herstellungskosten'!C77</f>
        <v>0</v>
      </c>
      <c r="C27" s="456">
        <f>'Kalkulation Herstellungskosten'!F76</f>
        <v>0</v>
      </c>
      <c r="D27" s="448"/>
      <c r="E27" s="76"/>
      <c r="F27" s="76"/>
      <c r="G27" s="76"/>
      <c r="H27" s="471">
        <f t="shared" si="0"/>
        <v>0</v>
      </c>
      <c r="I27" s="76"/>
      <c r="J27" s="76"/>
      <c r="K27" s="471">
        <f t="shared" si="1"/>
        <v>0</v>
      </c>
      <c r="L27" s="76"/>
      <c r="M27" s="76"/>
      <c r="N27" s="76"/>
      <c r="O27" s="76"/>
      <c r="P27" s="76"/>
      <c r="Q27" s="76"/>
      <c r="R27" s="76"/>
      <c r="S27" s="76"/>
      <c r="T27" s="76"/>
      <c r="U27" s="468">
        <f t="shared" si="2"/>
        <v>0</v>
      </c>
      <c r="V27" s="448"/>
      <c r="W27" s="1317"/>
      <c r="X27" s="1317"/>
      <c r="Y27" s="1317"/>
      <c r="Z27" s="1317"/>
      <c r="AA27" s="1317"/>
      <c r="AB27" s="1317"/>
      <c r="AC27" s="1317"/>
      <c r="AD27" s="1317"/>
      <c r="AE27" s="1317"/>
      <c r="AF27" s="1317"/>
      <c r="AG27" s="448"/>
      <c r="AH27" s="448"/>
      <c r="AI27" s="448"/>
      <c r="AJ27" s="448"/>
      <c r="AK27" s="448"/>
      <c r="AL27" s="448"/>
      <c r="AM27" s="448"/>
      <c r="AN27" s="448"/>
      <c r="AO27" s="448"/>
      <c r="AP27" s="448"/>
      <c r="AQ27" s="448"/>
      <c r="AR27" s="448"/>
      <c r="AS27" s="448"/>
      <c r="AT27" s="448"/>
      <c r="AU27" s="448"/>
      <c r="AV27" s="448"/>
      <c r="AW27" s="448"/>
      <c r="AX27" s="448"/>
      <c r="AY27" s="448"/>
      <c r="AZ27" s="448"/>
      <c r="BA27" s="448"/>
    </row>
    <row r="28" spans="1:53" ht="12.75" customHeight="1" x14ac:dyDescent="0.2">
      <c r="A28" s="484" t="str">
        <f>'Kalkulation Herstellungskosten'!B78</f>
        <v>Digital Image Technician (DIT)</v>
      </c>
      <c r="B28" s="456">
        <f>'Kalkulation Herstellungskosten'!C78+'Kalkulation Herstellungskosten'!C79</f>
        <v>0</v>
      </c>
      <c r="C28" s="456">
        <f>'Kalkulation Herstellungskosten'!F78</f>
        <v>0</v>
      </c>
      <c r="D28" s="448"/>
      <c r="E28" s="76"/>
      <c r="F28" s="76"/>
      <c r="G28" s="76"/>
      <c r="H28" s="471">
        <f t="shared" si="0"/>
        <v>0</v>
      </c>
      <c r="I28" s="76"/>
      <c r="J28" s="76"/>
      <c r="K28" s="471">
        <f t="shared" si="1"/>
        <v>0</v>
      </c>
      <c r="L28" s="76"/>
      <c r="M28" s="76"/>
      <c r="N28" s="76"/>
      <c r="O28" s="76"/>
      <c r="P28" s="76"/>
      <c r="Q28" s="76"/>
      <c r="R28" s="76"/>
      <c r="S28" s="76"/>
      <c r="T28" s="76"/>
      <c r="U28" s="468">
        <f t="shared" si="2"/>
        <v>0</v>
      </c>
      <c r="V28" s="448"/>
      <c r="W28" s="1317"/>
      <c r="X28" s="1317"/>
      <c r="Y28" s="1317"/>
      <c r="Z28" s="1317"/>
      <c r="AA28" s="1317"/>
      <c r="AB28" s="1317"/>
      <c r="AC28" s="1317"/>
      <c r="AD28" s="1317"/>
      <c r="AE28" s="1317"/>
      <c r="AF28" s="1317"/>
      <c r="AG28" s="448"/>
      <c r="AH28" s="448"/>
      <c r="AI28" s="448"/>
      <c r="AJ28" s="448"/>
      <c r="AK28" s="448"/>
      <c r="AL28" s="448"/>
      <c r="AM28" s="448"/>
      <c r="AN28" s="448"/>
      <c r="AO28" s="448"/>
      <c r="AP28" s="448"/>
      <c r="AQ28" s="448"/>
      <c r="AR28" s="448"/>
      <c r="AS28" s="448"/>
      <c r="AT28" s="448"/>
      <c r="AU28" s="448"/>
      <c r="AV28" s="448"/>
      <c r="AW28" s="448"/>
      <c r="AX28" s="448"/>
      <c r="AY28" s="448"/>
      <c r="AZ28" s="448"/>
      <c r="BA28" s="448"/>
    </row>
    <row r="29" spans="1:53" ht="12.75" customHeight="1" x14ac:dyDescent="0.2">
      <c r="A29" s="484" t="str">
        <f>'Kalkulation Herstellungskosten'!B80</f>
        <v>Data Wrangler</v>
      </c>
      <c r="B29" s="456">
        <f>'Kalkulation Herstellungskosten'!C80+'Kalkulation Herstellungskosten'!C81</f>
        <v>0</v>
      </c>
      <c r="C29" s="456">
        <f>'Kalkulation Herstellungskosten'!F80</f>
        <v>0</v>
      </c>
      <c r="D29" s="448"/>
      <c r="E29" s="76"/>
      <c r="F29" s="76"/>
      <c r="G29" s="76"/>
      <c r="H29" s="471">
        <f t="shared" si="0"/>
        <v>0</v>
      </c>
      <c r="I29" s="76"/>
      <c r="J29" s="76"/>
      <c r="K29" s="471">
        <f t="shared" si="1"/>
        <v>0</v>
      </c>
      <c r="L29" s="76"/>
      <c r="M29" s="76"/>
      <c r="N29" s="76"/>
      <c r="O29" s="76"/>
      <c r="P29" s="76"/>
      <c r="Q29" s="76"/>
      <c r="R29" s="76"/>
      <c r="S29" s="76"/>
      <c r="T29" s="76"/>
      <c r="U29" s="468">
        <f t="shared" si="2"/>
        <v>0</v>
      </c>
      <c r="V29" s="448"/>
      <c r="W29" s="1317"/>
      <c r="X29" s="1317"/>
      <c r="Y29" s="1317"/>
      <c r="Z29" s="1317"/>
      <c r="AA29" s="1317"/>
      <c r="AB29" s="1317"/>
      <c r="AC29" s="1317"/>
      <c r="AD29" s="1317"/>
      <c r="AE29" s="1317"/>
      <c r="AF29" s="1317"/>
      <c r="AG29" s="448"/>
      <c r="AH29" s="448"/>
      <c r="AI29" s="448"/>
      <c r="AJ29" s="448"/>
      <c r="AK29" s="448"/>
      <c r="AL29" s="448"/>
      <c r="AM29" s="448"/>
      <c r="AN29" s="448"/>
      <c r="AO29" s="448"/>
      <c r="AP29" s="448"/>
      <c r="AQ29" s="448"/>
      <c r="AR29" s="448"/>
      <c r="AS29" s="448"/>
      <c r="AT29" s="448"/>
      <c r="AU29" s="448"/>
      <c r="AV29" s="448"/>
      <c r="AW29" s="448"/>
      <c r="AX29" s="448"/>
      <c r="AY29" s="448"/>
      <c r="AZ29" s="448"/>
      <c r="BA29" s="448"/>
    </row>
    <row r="30" spans="1:53" ht="12.75" customHeight="1" x14ac:dyDescent="0.2">
      <c r="A30" s="484" t="str">
        <f>'Kalkulation Herstellungskosten'!B82</f>
        <v>Originalton I                Originalton II</v>
      </c>
      <c r="B30" s="456">
        <f>'Kalkulation Herstellungskosten'!C82+'Kalkulation Herstellungskosten'!C83</f>
        <v>0</v>
      </c>
      <c r="C30" s="456">
        <f>'Kalkulation Herstellungskosten'!F82</f>
        <v>0</v>
      </c>
      <c r="D30" s="448"/>
      <c r="E30" s="76"/>
      <c r="F30" s="76"/>
      <c r="G30" s="76"/>
      <c r="H30" s="471">
        <f t="shared" si="0"/>
        <v>0</v>
      </c>
      <c r="I30" s="76"/>
      <c r="J30" s="76"/>
      <c r="K30" s="471">
        <f t="shared" si="1"/>
        <v>0</v>
      </c>
      <c r="L30" s="76"/>
      <c r="M30" s="76"/>
      <c r="N30" s="76"/>
      <c r="O30" s="76"/>
      <c r="P30" s="76"/>
      <c r="Q30" s="76"/>
      <c r="R30" s="76"/>
      <c r="S30" s="76"/>
      <c r="T30" s="76"/>
      <c r="U30" s="468">
        <f t="shared" si="2"/>
        <v>0</v>
      </c>
      <c r="V30" s="448"/>
      <c r="W30" s="1317"/>
      <c r="X30" s="1317"/>
      <c r="Y30" s="1317"/>
      <c r="Z30" s="1317"/>
      <c r="AA30" s="1317"/>
      <c r="AB30" s="1317"/>
      <c r="AC30" s="1317"/>
      <c r="AD30" s="1317"/>
      <c r="AE30" s="1317"/>
      <c r="AF30" s="1317"/>
      <c r="AG30" s="448"/>
      <c r="AH30" s="448"/>
      <c r="AI30" s="448"/>
      <c r="AJ30" s="448"/>
      <c r="AK30" s="448"/>
      <c r="AL30" s="448"/>
      <c r="AM30" s="448"/>
      <c r="AN30" s="448"/>
      <c r="AO30" s="448"/>
      <c r="AP30" s="448"/>
      <c r="AQ30" s="448"/>
      <c r="AR30" s="448"/>
      <c r="AS30" s="448"/>
      <c r="AT30" s="448"/>
      <c r="AU30" s="448"/>
      <c r="AV30" s="448"/>
      <c r="AW30" s="448"/>
      <c r="AX30" s="448"/>
      <c r="AY30" s="448"/>
      <c r="AZ30" s="448"/>
      <c r="BA30" s="448"/>
    </row>
    <row r="31" spans="1:53" ht="12.75" customHeight="1" x14ac:dyDescent="0.2">
      <c r="A31" s="484" t="str">
        <f>'Kalkulation Herstellungskosten'!B84</f>
        <v>Tonassistenz</v>
      </c>
      <c r="B31" s="456">
        <f>'Kalkulation Herstellungskosten'!C84+'Kalkulation Herstellungskosten'!C85</f>
        <v>0</v>
      </c>
      <c r="C31" s="456">
        <f>'Kalkulation Herstellungskosten'!F84</f>
        <v>0</v>
      </c>
      <c r="D31" s="448"/>
      <c r="E31" s="76"/>
      <c r="F31" s="76"/>
      <c r="G31" s="76"/>
      <c r="H31" s="471">
        <f t="shared" si="0"/>
        <v>0</v>
      </c>
      <c r="I31" s="76"/>
      <c r="J31" s="76"/>
      <c r="K31" s="471">
        <f t="shared" si="1"/>
        <v>0</v>
      </c>
      <c r="L31" s="76"/>
      <c r="M31" s="76"/>
      <c r="N31" s="76"/>
      <c r="O31" s="76"/>
      <c r="P31" s="76"/>
      <c r="Q31" s="76"/>
      <c r="R31" s="76"/>
      <c r="S31" s="76"/>
      <c r="T31" s="76"/>
      <c r="U31" s="468">
        <f t="shared" si="2"/>
        <v>0</v>
      </c>
      <c r="V31" s="448"/>
      <c r="W31" s="1317"/>
      <c r="X31" s="1317"/>
      <c r="Y31" s="1317"/>
      <c r="Z31" s="1317"/>
      <c r="AA31" s="1317"/>
      <c r="AB31" s="1317"/>
      <c r="AC31" s="1317"/>
      <c r="AD31" s="1317"/>
      <c r="AE31" s="1317"/>
      <c r="AF31" s="1317"/>
      <c r="AG31" s="448"/>
      <c r="AH31" s="448"/>
      <c r="AI31" s="448"/>
      <c r="AJ31" s="448"/>
      <c r="AK31" s="448"/>
      <c r="AL31" s="448"/>
      <c r="AM31" s="448"/>
      <c r="AN31" s="448"/>
      <c r="AO31" s="448"/>
      <c r="AP31" s="448"/>
      <c r="AQ31" s="448"/>
      <c r="AR31" s="448"/>
      <c r="AS31" s="448"/>
      <c r="AT31" s="448"/>
      <c r="AU31" s="448"/>
      <c r="AV31" s="448"/>
      <c r="AW31" s="448"/>
      <c r="AX31" s="448"/>
      <c r="AY31" s="448"/>
      <c r="AZ31" s="448"/>
      <c r="BA31" s="448"/>
    </row>
    <row r="32" spans="1:53" ht="12.75" customHeight="1" x14ac:dyDescent="0.2">
      <c r="A32" s="484" t="str">
        <f>'Kalkulation Herstellungskosten'!B86</f>
        <v>2. Tonassistenz</v>
      </c>
      <c r="B32" s="456">
        <f>'Kalkulation Herstellungskosten'!C86+'Kalkulation Herstellungskosten'!C87</f>
        <v>0</v>
      </c>
      <c r="C32" s="456">
        <f>'Kalkulation Herstellungskosten'!F86</f>
        <v>0</v>
      </c>
      <c r="D32" s="448"/>
      <c r="E32" s="76"/>
      <c r="F32" s="76"/>
      <c r="G32" s="76"/>
      <c r="H32" s="471">
        <f t="shared" si="0"/>
        <v>0</v>
      </c>
      <c r="I32" s="76"/>
      <c r="J32" s="76"/>
      <c r="K32" s="471">
        <f t="shared" si="1"/>
        <v>0</v>
      </c>
      <c r="L32" s="76"/>
      <c r="M32" s="76"/>
      <c r="N32" s="76"/>
      <c r="O32" s="76"/>
      <c r="P32" s="76"/>
      <c r="Q32" s="76"/>
      <c r="R32" s="76"/>
      <c r="S32" s="76"/>
      <c r="T32" s="76"/>
      <c r="U32" s="468">
        <f t="shared" si="2"/>
        <v>0</v>
      </c>
      <c r="V32" s="448"/>
      <c r="W32" s="1317"/>
      <c r="X32" s="1317"/>
      <c r="Y32" s="1317"/>
      <c r="Z32" s="1317"/>
      <c r="AA32" s="1317"/>
      <c r="AB32" s="1317"/>
      <c r="AC32" s="1317"/>
      <c r="AD32" s="1317"/>
      <c r="AE32" s="1317"/>
      <c r="AF32" s="1317"/>
      <c r="AG32" s="448"/>
      <c r="AH32" s="448"/>
      <c r="AI32" s="448"/>
      <c r="AJ32" s="448"/>
      <c r="AK32" s="448"/>
      <c r="AL32" s="448"/>
      <c r="AM32" s="448"/>
      <c r="AN32" s="448"/>
      <c r="AO32" s="448"/>
      <c r="AP32" s="448"/>
      <c r="AQ32" s="448"/>
      <c r="AR32" s="448"/>
      <c r="AS32" s="448"/>
      <c r="AT32" s="448"/>
      <c r="AU32" s="448"/>
      <c r="AV32" s="448"/>
      <c r="AW32" s="448"/>
      <c r="AX32" s="448"/>
      <c r="AY32" s="448"/>
      <c r="AZ32" s="448"/>
      <c r="BA32" s="448"/>
    </row>
    <row r="33" spans="1:53" ht="12.75" customHeight="1" x14ac:dyDescent="0.2">
      <c r="A33" s="484" t="str">
        <f>'Kalkulation Herstellungskosten'!B88</f>
        <v>Primärtontechnik</v>
      </c>
      <c r="B33" s="456">
        <f>'Kalkulation Herstellungskosten'!C88+'Kalkulation Herstellungskosten'!C89</f>
        <v>0</v>
      </c>
      <c r="C33" s="456">
        <f>'Kalkulation Herstellungskosten'!F88</f>
        <v>0</v>
      </c>
      <c r="D33" s="448"/>
      <c r="E33" s="76"/>
      <c r="F33" s="76"/>
      <c r="G33" s="76"/>
      <c r="H33" s="471">
        <f t="shared" si="0"/>
        <v>0</v>
      </c>
      <c r="I33" s="76"/>
      <c r="J33" s="76"/>
      <c r="K33" s="471">
        <f t="shared" si="1"/>
        <v>0</v>
      </c>
      <c r="L33" s="76"/>
      <c r="M33" s="76"/>
      <c r="N33" s="76"/>
      <c r="O33" s="76"/>
      <c r="P33" s="76"/>
      <c r="Q33" s="76"/>
      <c r="R33" s="76"/>
      <c r="S33" s="76"/>
      <c r="T33" s="76"/>
      <c r="U33" s="468">
        <f t="shared" si="2"/>
        <v>0</v>
      </c>
      <c r="V33" s="448"/>
      <c r="W33" s="1317"/>
      <c r="X33" s="1317"/>
      <c r="Y33" s="1317"/>
      <c r="Z33" s="1317"/>
      <c r="AA33" s="1317"/>
      <c r="AB33" s="1317"/>
      <c r="AC33" s="1317"/>
      <c r="AD33" s="1317"/>
      <c r="AE33" s="1317"/>
      <c r="AF33" s="1317"/>
      <c r="AG33" s="448"/>
      <c r="AH33" s="448"/>
      <c r="AI33" s="448"/>
      <c r="AJ33" s="448"/>
      <c r="AK33" s="448"/>
      <c r="AL33" s="448"/>
      <c r="AM33" s="448"/>
      <c r="AN33" s="448"/>
      <c r="AO33" s="448"/>
      <c r="AP33" s="448"/>
      <c r="AQ33" s="448"/>
      <c r="AR33" s="448"/>
      <c r="AS33" s="448"/>
      <c r="AT33" s="448"/>
      <c r="AU33" s="448"/>
      <c r="AV33" s="448"/>
      <c r="AW33" s="448"/>
      <c r="AX33" s="448"/>
      <c r="AY33" s="448"/>
      <c r="AZ33" s="448"/>
      <c r="BA33" s="448"/>
    </row>
    <row r="34" spans="1:53" ht="12.75" customHeight="1" x14ac:dyDescent="0.2">
      <c r="A34" s="484" t="str">
        <f>'Kalkulation Herstellungskosten'!B90</f>
        <v>Mischtonmeister*in</v>
      </c>
      <c r="B34" s="456">
        <f>'Kalkulation Herstellungskosten'!C90+'Kalkulation Herstellungskosten'!C91</f>
        <v>0</v>
      </c>
      <c r="C34" s="456">
        <f>'Kalkulation Herstellungskosten'!F90</f>
        <v>0</v>
      </c>
      <c r="D34" s="448"/>
      <c r="E34" s="76"/>
      <c r="F34" s="76"/>
      <c r="G34" s="76"/>
      <c r="H34" s="471">
        <f t="shared" si="0"/>
        <v>0</v>
      </c>
      <c r="I34" s="76"/>
      <c r="J34" s="76"/>
      <c r="K34" s="471">
        <f t="shared" si="1"/>
        <v>0</v>
      </c>
      <c r="L34" s="76"/>
      <c r="M34" s="76"/>
      <c r="N34" s="76"/>
      <c r="O34" s="76"/>
      <c r="P34" s="76"/>
      <c r="Q34" s="76"/>
      <c r="R34" s="76"/>
      <c r="S34" s="76"/>
      <c r="T34" s="76"/>
      <c r="U34" s="468">
        <f t="shared" si="2"/>
        <v>0</v>
      </c>
      <c r="V34" s="448"/>
      <c r="W34" s="1317"/>
      <c r="X34" s="1317"/>
      <c r="Y34" s="1317"/>
      <c r="Z34" s="1317"/>
      <c r="AA34" s="1317"/>
      <c r="AB34" s="1317"/>
      <c r="AC34" s="1317"/>
      <c r="AD34" s="1317"/>
      <c r="AE34" s="1317"/>
      <c r="AF34" s="1317"/>
      <c r="AG34" s="448"/>
      <c r="AH34" s="448"/>
      <c r="AI34" s="448"/>
      <c r="AJ34" s="448"/>
      <c r="AK34" s="448"/>
      <c r="AL34" s="448"/>
      <c r="AM34" s="448"/>
      <c r="AN34" s="448"/>
      <c r="AO34" s="448"/>
      <c r="AP34" s="448"/>
      <c r="AQ34" s="448"/>
      <c r="AR34" s="448"/>
      <c r="AS34" s="448"/>
      <c r="AT34" s="448"/>
      <c r="AU34" s="448"/>
      <c r="AV34" s="448"/>
      <c r="AW34" s="448"/>
      <c r="AX34" s="448"/>
      <c r="AY34" s="448"/>
      <c r="AZ34" s="448"/>
      <c r="BA34" s="448"/>
    </row>
    <row r="35" spans="1:53" ht="12.75" customHeight="1" x14ac:dyDescent="0.2">
      <c r="A35" s="484" t="str">
        <f>'Kalkulation Herstellungskosten'!B92</f>
        <v>Schnitt</v>
      </c>
      <c r="B35" s="456">
        <f>'Kalkulation Herstellungskosten'!C92+'Kalkulation Herstellungskosten'!C93</f>
        <v>0</v>
      </c>
      <c r="C35" s="456">
        <f>'Kalkulation Herstellungskosten'!F92</f>
        <v>0</v>
      </c>
      <c r="D35" s="448"/>
      <c r="E35" s="76"/>
      <c r="F35" s="76"/>
      <c r="G35" s="76"/>
      <c r="H35" s="471">
        <f t="shared" si="0"/>
        <v>0</v>
      </c>
      <c r="I35" s="76"/>
      <c r="J35" s="76"/>
      <c r="K35" s="471">
        <f t="shared" si="1"/>
        <v>0</v>
      </c>
      <c r="L35" s="76"/>
      <c r="M35" s="76"/>
      <c r="N35" s="76"/>
      <c r="O35" s="76"/>
      <c r="P35" s="76"/>
      <c r="Q35" s="76"/>
      <c r="R35" s="76"/>
      <c r="S35" s="76"/>
      <c r="T35" s="76"/>
      <c r="U35" s="468">
        <f t="shared" si="2"/>
        <v>0</v>
      </c>
      <c r="V35" s="448"/>
      <c r="W35" s="1317"/>
      <c r="X35" s="1317"/>
      <c r="Y35" s="1317"/>
      <c r="Z35" s="1317"/>
      <c r="AA35" s="1317"/>
      <c r="AB35" s="1317"/>
      <c r="AC35" s="1317"/>
      <c r="AD35" s="1317"/>
      <c r="AE35" s="1317"/>
      <c r="AF35" s="1317"/>
      <c r="AG35" s="448"/>
      <c r="AH35" s="448"/>
      <c r="AI35" s="448"/>
      <c r="AJ35" s="448"/>
      <c r="AK35" s="448"/>
      <c r="AL35" s="448"/>
      <c r="AM35" s="448"/>
      <c r="AN35" s="448"/>
      <c r="AO35" s="448"/>
      <c r="AP35" s="448"/>
      <c r="AQ35" s="448"/>
      <c r="AR35" s="448"/>
      <c r="AS35" s="448"/>
      <c r="AT35" s="448"/>
      <c r="AU35" s="448"/>
      <c r="AV35" s="448"/>
      <c r="AW35" s="448"/>
      <c r="AX35" s="448"/>
      <c r="AY35" s="448"/>
      <c r="AZ35" s="448"/>
      <c r="BA35" s="448"/>
    </row>
    <row r="36" spans="1:53" ht="12.75" customHeight="1" x14ac:dyDescent="0.2">
      <c r="A36" s="484" t="str">
        <f>'Kalkulation Herstellungskosten'!B94</f>
        <v>Schnittassistenz</v>
      </c>
      <c r="B36" s="456">
        <f>'Kalkulation Herstellungskosten'!C94+'Kalkulation Herstellungskosten'!C95</f>
        <v>0</v>
      </c>
      <c r="C36" s="456">
        <f>'Kalkulation Herstellungskosten'!F94</f>
        <v>0</v>
      </c>
      <c r="D36" s="448"/>
      <c r="E36" s="76"/>
      <c r="F36" s="76"/>
      <c r="G36" s="76"/>
      <c r="H36" s="471">
        <f t="shared" si="0"/>
        <v>0</v>
      </c>
      <c r="I36" s="76"/>
      <c r="J36" s="76"/>
      <c r="K36" s="471">
        <f t="shared" si="1"/>
        <v>0</v>
      </c>
      <c r="L36" s="76"/>
      <c r="M36" s="76"/>
      <c r="N36" s="76"/>
      <c r="O36" s="76"/>
      <c r="P36" s="76"/>
      <c r="Q36" s="76"/>
      <c r="R36" s="76"/>
      <c r="S36" s="76"/>
      <c r="T36" s="76"/>
      <c r="U36" s="468">
        <f t="shared" si="2"/>
        <v>0</v>
      </c>
      <c r="V36" s="448"/>
      <c r="W36" s="1317"/>
      <c r="X36" s="1317"/>
      <c r="Y36" s="1317"/>
      <c r="Z36" s="1317"/>
      <c r="AA36" s="1317"/>
      <c r="AB36" s="1317"/>
      <c r="AC36" s="1317"/>
      <c r="AD36" s="1317"/>
      <c r="AE36" s="1317"/>
      <c r="AF36" s="1317"/>
      <c r="AG36" s="448"/>
      <c r="AH36" s="448"/>
      <c r="AI36" s="448"/>
      <c r="AJ36" s="448"/>
      <c r="AK36" s="448"/>
      <c r="AL36" s="448"/>
      <c r="AM36" s="448"/>
      <c r="AN36" s="448"/>
      <c r="AO36" s="448"/>
      <c r="AP36" s="448"/>
      <c r="AQ36" s="448"/>
      <c r="AR36" s="448"/>
      <c r="AS36" s="448"/>
      <c r="AT36" s="448"/>
      <c r="AU36" s="448"/>
      <c r="AV36" s="448"/>
      <c r="AW36" s="448"/>
      <c r="AX36" s="448"/>
      <c r="AY36" s="448"/>
      <c r="AZ36" s="448"/>
      <c r="BA36" s="448"/>
    </row>
    <row r="37" spans="1:53" ht="12.75" customHeight="1" x14ac:dyDescent="0.2">
      <c r="A37" s="484" t="str">
        <f>'Kalkulation Herstellungskosten'!B96</f>
        <v>Sound Design</v>
      </c>
      <c r="B37" s="456">
        <f>'Kalkulation Herstellungskosten'!C96+'Kalkulation Herstellungskosten'!C97</f>
        <v>0</v>
      </c>
      <c r="C37" s="456">
        <f>'Kalkulation Herstellungskosten'!F96</f>
        <v>0</v>
      </c>
      <c r="D37" s="448"/>
      <c r="E37" s="76"/>
      <c r="F37" s="76"/>
      <c r="G37" s="76"/>
      <c r="H37" s="471">
        <f t="shared" si="0"/>
        <v>0</v>
      </c>
      <c r="I37" s="76"/>
      <c r="J37" s="76"/>
      <c r="K37" s="471">
        <f t="shared" si="1"/>
        <v>0</v>
      </c>
      <c r="L37" s="76"/>
      <c r="M37" s="76"/>
      <c r="N37" s="76"/>
      <c r="O37" s="76"/>
      <c r="P37" s="76"/>
      <c r="Q37" s="76"/>
      <c r="R37" s="76"/>
      <c r="S37" s="76"/>
      <c r="T37" s="76"/>
      <c r="U37" s="468">
        <f t="shared" si="2"/>
        <v>0</v>
      </c>
      <c r="V37" s="448"/>
      <c r="W37" s="1317"/>
      <c r="X37" s="1317"/>
      <c r="Y37" s="1317"/>
      <c r="Z37" s="1317"/>
      <c r="AA37" s="1317"/>
      <c r="AB37" s="1317"/>
      <c r="AC37" s="1317"/>
      <c r="AD37" s="1317"/>
      <c r="AE37" s="1317"/>
      <c r="AF37" s="1317"/>
      <c r="AG37" s="448"/>
      <c r="AH37" s="448"/>
      <c r="AI37" s="448"/>
      <c r="AJ37" s="448"/>
      <c r="AK37" s="448"/>
      <c r="AL37" s="448"/>
      <c r="AM37" s="448"/>
      <c r="AN37" s="448"/>
      <c r="AO37" s="448"/>
      <c r="AP37" s="448"/>
      <c r="AQ37" s="448"/>
      <c r="AR37" s="448"/>
      <c r="AS37" s="448"/>
      <c r="AT37" s="448"/>
      <c r="AU37" s="448"/>
      <c r="AV37" s="448"/>
      <c r="AW37" s="448"/>
      <c r="AX37" s="448"/>
      <c r="AY37" s="448"/>
      <c r="AZ37" s="448"/>
      <c r="BA37" s="448"/>
    </row>
    <row r="38" spans="1:53" ht="12.75" customHeight="1" x14ac:dyDescent="0.2">
      <c r="A38" s="484" t="str">
        <f>'Kalkulation Herstellungskosten'!B98</f>
        <v>Tonschnitt</v>
      </c>
      <c r="B38" s="456">
        <f>'Kalkulation Herstellungskosten'!C98+'Kalkulation Herstellungskosten'!C99</f>
        <v>0</v>
      </c>
      <c r="C38" s="456">
        <f>'Kalkulation Herstellungskosten'!F98</f>
        <v>0</v>
      </c>
      <c r="D38" s="448"/>
      <c r="E38" s="76"/>
      <c r="F38" s="76"/>
      <c r="G38" s="76"/>
      <c r="H38" s="471">
        <f t="shared" si="0"/>
        <v>0</v>
      </c>
      <c r="I38" s="76"/>
      <c r="J38" s="76"/>
      <c r="K38" s="471">
        <f t="shared" si="1"/>
        <v>0</v>
      </c>
      <c r="L38" s="76"/>
      <c r="M38" s="76"/>
      <c r="N38" s="76"/>
      <c r="O38" s="76"/>
      <c r="P38" s="76"/>
      <c r="Q38" s="76"/>
      <c r="R38" s="76"/>
      <c r="S38" s="76"/>
      <c r="T38" s="76"/>
      <c r="U38" s="468">
        <f t="shared" si="2"/>
        <v>0</v>
      </c>
      <c r="V38" s="448"/>
      <c r="W38" s="1317"/>
      <c r="X38" s="1317"/>
      <c r="Y38" s="1317"/>
      <c r="Z38" s="1317"/>
      <c r="AA38" s="1317"/>
      <c r="AB38" s="1317"/>
      <c r="AC38" s="1317"/>
      <c r="AD38" s="1317"/>
      <c r="AE38" s="1317"/>
      <c r="AF38" s="1317"/>
      <c r="AG38" s="448"/>
      <c r="AH38" s="448"/>
      <c r="AI38" s="448"/>
      <c r="AJ38" s="448"/>
      <c r="AK38" s="448"/>
      <c r="AL38" s="448"/>
      <c r="AM38" s="448"/>
      <c r="AN38" s="448"/>
      <c r="AO38" s="448"/>
      <c r="AP38" s="448"/>
      <c r="AQ38" s="448"/>
      <c r="AR38" s="448"/>
      <c r="AS38" s="448"/>
      <c r="AT38" s="448"/>
      <c r="AU38" s="448"/>
      <c r="AV38" s="448"/>
      <c r="AW38" s="448"/>
      <c r="AX38" s="448"/>
      <c r="AY38" s="448"/>
      <c r="AZ38" s="448"/>
      <c r="BA38" s="448"/>
    </row>
    <row r="39" spans="1:53" ht="12.75" customHeight="1" x14ac:dyDescent="0.2">
      <c r="A39" s="484" t="str">
        <f>'Kalkulation Herstellungskosten'!B100</f>
        <v>Kostümbild</v>
      </c>
      <c r="B39" s="456">
        <f>'Kalkulation Herstellungskosten'!C100+'Kalkulation Herstellungskosten'!C101</f>
        <v>0</v>
      </c>
      <c r="C39" s="456">
        <f>'Kalkulation Herstellungskosten'!F100</f>
        <v>0</v>
      </c>
      <c r="D39" s="448"/>
      <c r="E39" s="76"/>
      <c r="F39" s="76"/>
      <c r="G39" s="76"/>
      <c r="H39" s="471">
        <f t="shared" si="0"/>
        <v>0</v>
      </c>
      <c r="I39" s="76"/>
      <c r="J39" s="76"/>
      <c r="K39" s="471">
        <f t="shared" si="1"/>
        <v>0</v>
      </c>
      <c r="L39" s="76"/>
      <c r="M39" s="76"/>
      <c r="N39" s="76"/>
      <c r="O39" s="76"/>
      <c r="P39" s="76"/>
      <c r="Q39" s="76"/>
      <c r="R39" s="76"/>
      <c r="S39" s="76"/>
      <c r="T39" s="76"/>
      <c r="U39" s="468">
        <f t="shared" si="2"/>
        <v>0</v>
      </c>
      <c r="V39" s="448"/>
      <c r="W39" s="1317"/>
      <c r="X39" s="1317"/>
      <c r="Y39" s="1317"/>
      <c r="Z39" s="1317"/>
      <c r="AA39" s="1317"/>
      <c r="AB39" s="1317"/>
      <c r="AC39" s="1317"/>
      <c r="AD39" s="1317"/>
      <c r="AE39" s="1317"/>
      <c r="AF39" s="1317"/>
      <c r="AG39" s="448"/>
      <c r="AH39" s="448"/>
      <c r="AI39" s="448"/>
      <c r="AJ39" s="448"/>
      <c r="AK39" s="448"/>
      <c r="AL39" s="448"/>
      <c r="AM39" s="448"/>
      <c r="AN39" s="448"/>
      <c r="AO39" s="448"/>
      <c r="AP39" s="448"/>
      <c r="AQ39" s="448"/>
      <c r="AR39" s="448"/>
      <c r="AS39" s="448"/>
      <c r="AT39" s="448"/>
      <c r="AU39" s="448"/>
      <c r="AV39" s="448"/>
      <c r="AW39" s="448"/>
      <c r="AX39" s="448"/>
      <c r="AY39" s="448"/>
      <c r="AZ39" s="448"/>
      <c r="BA39" s="448"/>
    </row>
    <row r="40" spans="1:53" ht="12.75" customHeight="1" x14ac:dyDescent="0.2">
      <c r="A40" s="484" t="str">
        <f>'Kalkulation Herstellungskosten'!B102</f>
        <v>Kostümbildassistenz</v>
      </c>
      <c r="B40" s="456">
        <f>'Kalkulation Herstellungskosten'!C102+'Kalkulation Herstellungskosten'!C103</f>
        <v>0</v>
      </c>
      <c r="C40" s="456">
        <f>'Kalkulation Herstellungskosten'!F102</f>
        <v>0</v>
      </c>
      <c r="D40" s="448"/>
      <c r="E40" s="76"/>
      <c r="F40" s="76"/>
      <c r="G40" s="76"/>
      <c r="H40" s="471">
        <f t="shared" si="0"/>
        <v>0</v>
      </c>
      <c r="I40" s="76"/>
      <c r="J40" s="76"/>
      <c r="K40" s="471">
        <f t="shared" si="1"/>
        <v>0</v>
      </c>
      <c r="L40" s="76"/>
      <c r="M40" s="76"/>
      <c r="N40" s="76"/>
      <c r="O40" s="76"/>
      <c r="P40" s="76"/>
      <c r="Q40" s="76"/>
      <c r="R40" s="76"/>
      <c r="S40" s="76"/>
      <c r="T40" s="76"/>
      <c r="U40" s="468">
        <f t="shared" si="2"/>
        <v>0</v>
      </c>
      <c r="V40" s="448"/>
      <c r="W40" s="1317"/>
      <c r="X40" s="1317"/>
      <c r="Y40" s="1317"/>
      <c r="Z40" s="1317"/>
      <c r="AA40" s="1317"/>
      <c r="AB40" s="1317"/>
      <c r="AC40" s="1317"/>
      <c r="AD40" s="1317"/>
      <c r="AE40" s="1317"/>
      <c r="AF40" s="1317"/>
      <c r="AG40" s="448"/>
      <c r="AH40" s="448"/>
      <c r="AI40" s="448"/>
      <c r="AJ40" s="448"/>
      <c r="AK40" s="448"/>
      <c r="AL40" s="448"/>
      <c r="AM40" s="448"/>
      <c r="AN40" s="448"/>
      <c r="AO40" s="448"/>
      <c r="AP40" s="448"/>
      <c r="AQ40" s="448"/>
      <c r="AR40" s="448"/>
      <c r="AS40" s="448"/>
      <c r="AT40" s="448"/>
      <c r="AU40" s="448"/>
      <c r="AV40" s="448"/>
      <c r="AW40" s="448"/>
      <c r="AX40" s="448"/>
      <c r="AY40" s="448"/>
      <c r="AZ40" s="448"/>
      <c r="BA40" s="448"/>
    </row>
    <row r="41" spans="1:53" ht="12.75" customHeight="1" x14ac:dyDescent="0.2">
      <c r="A41" s="484" t="str">
        <f>'Kalkulation Herstellungskosten'!B104</f>
        <v>Set-Kostüm Assistenz</v>
      </c>
      <c r="B41" s="456">
        <f>'Kalkulation Herstellungskosten'!C104+'Kalkulation Herstellungskosten'!C105</f>
        <v>0</v>
      </c>
      <c r="C41" s="456">
        <f>'Kalkulation Herstellungskosten'!F104</f>
        <v>0</v>
      </c>
      <c r="D41" s="448"/>
      <c r="E41" s="76"/>
      <c r="F41" s="76"/>
      <c r="G41" s="76"/>
      <c r="H41" s="471">
        <f t="shared" si="0"/>
        <v>0</v>
      </c>
      <c r="I41" s="76"/>
      <c r="J41" s="76"/>
      <c r="K41" s="471">
        <f t="shared" si="1"/>
        <v>0</v>
      </c>
      <c r="L41" s="76"/>
      <c r="M41" s="76"/>
      <c r="N41" s="76"/>
      <c r="O41" s="76"/>
      <c r="P41" s="76"/>
      <c r="Q41" s="76"/>
      <c r="R41" s="76"/>
      <c r="S41" s="76"/>
      <c r="T41" s="76"/>
      <c r="U41" s="468">
        <f t="shared" si="2"/>
        <v>0</v>
      </c>
      <c r="V41" s="448"/>
      <c r="W41" s="1317"/>
      <c r="X41" s="1317"/>
      <c r="Y41" s="1317"/>
      <c r="Z41" s="1317"/>
      <c r="AA41" s="1317"/>
      <c r="AB41" s="1317"/>
      <c r="AC41" s="1317"/>
      <c r="AD41" s="1317"/>
      <c r="AE41" s="1317"/>
      <c r="AF41" s="1317"/>
      <c r="AG41" s="448"/>
      <c r="AH41" s="448"/>
      <c r="AI41" s="448"/>
      <c r="AJ41" s="448"/>
      <c r="AK41" s="448"/>
      <c r="AL41" s="448"/>
      <c r="AM41" s="448"/>
      <c r="AN41" s="448"/>
      <c r="AO41" s="448"/>
      <c r="AP41" s="448"/>
      <c r="AQ41" s="448"/>
      <c r="AR41" s="448"/>
      <c r="AS41" s="448"/>
      <c r="AT41" s="448"/>
      <c r="AU41" s="448"/>
      <c r="AV41" s="448"/>
      <c r="AW41" s="448"/>
      <c r="AX41" s="448"/>
      <c r="AY41" s="448"/>
      <c r="AZ41" s="448"/>
      <c r="BA41" s="448"/>
    </row>
    <row r="42" spans="1:53" ht="12.75" customHeight="1" x14ac:dyDescent="0.2">
      <c r="A42" s="484" t="str">
        <f>'Kalkulation Herstellungskosten'!B106</f>
        <v>Garderobe</v>
      </c>
      <c r="B42" s="456">
        <f>'Kalkulation Herstellungskosten'!C106+'Kalkulation Herstellungskosten'!C107</f>
        <v>0</v>
      </c>
      <c r="C42" s="456">
        <f>'Kalkulation Herstellungskosten'!F106</f>
        <v>0</v>
      </c>
      <c r="D42" s="448"/>
      <c r="E42" s="76"/>
      <c r="F42" s="76"/>
      <c r="G42" s="76"/>
      <c r="H42" s="471">
        <f t="shared" si="0"/>
        <v>0</v>
      </c>
      <c r="I42" s="76"/>
      <c r="J42" s="76"/>
      <c r="K42" s="471">
        <f t="shared" si="1"/>
        <v>0</v>
      </c>
      <c r="L42" s="76"/>
      <c r="M42" s="76"/>
      <c r="N42" s="76"/>
      <c r="O42" s="76"/>
      <c r="P42" s="76"/>
      <c r="Q42" s="76"/>
      <c r="R42" s="76"/>
      <c r="S42" s="76"/>
      <c r="T42" s="76"/>
      <c r="U42" s="468">
        <f t="shared" si="2"/>
        <v>0</v>
      </c>
      <c r="V42" s="448"/>
      <c r="W42" s="1317"/>
      <c r="X42" s="1317"/>
      <c r="Y42" s="1317"/>
      <c r="Z42" s="1317"/>
      <c r="AA42" s="1317"/>
      <c r="AB42" s="1317"/>
      <c r="AC42" s="1317"/>
      <c r="AD42" s="1317"/>
      <c r="AE42" s="1317"/>
      <c r="AF42" s="1317"/>
      <c r="AG42" s="448"/>
      <c r="AH42" s="448"/>
      <c r="AI42" s="448"/>
      <c r="AJ42" s="448"/>
      <c r="AK42" s="448"/>
      <c r="AL42" s="448"/>
      <c r="AM42" s="448"/>
      <c r="AN42" s="448"/>
      <c r="AO42" s="448"/>
      <c r="AP42" s="448"/>
      <c r="AQ42" s="448"/>
      <c r="AR42" s="448"/>
      <c r="AS42" s="448"/>
      <c r="AT42" s="448"/>
      <c r="AU42" s="448"/>
      <c r="AV42" s="448"/>
      <c r="AW42" s="448"/>
      <c r="AX42" s="448"/>
      <c r="AY42" s="448"/>
      <c r="AZ42" s="448"/>
      <c r="BA42" s="448"/>
    </row>
    <row r="43" spans="1:53" ht="12.75" customHeight="1" x14ac:dyDescent="0.2">
      <c r="A43" s="484" t="str">
        <f>'Kalkulation Herstellungskosten'!B108</f>
        <v>Garderobe</v>
      </c>
      <c r="B43" s="456">
        <f>'Kalkulation Herstellungskosten'!C108+'Kalkulation Herstellungskosten'!C109</f>
        <v>0</v>
      </c>
      <c r="C43" s="456">
        <f>'Kalkulation Herstellungskosten'!F108</f>
        <v>0</v>
      </c>
      <c r="D43" s="448"/>
      <c r="E43" s="76"/>
      <c r="F43" s="76"/>
      <c r="G43" s="76"/>
      <c r="H43" s="471">
        <f t="shared" si="0"/>
        <v>0</v>
      </c>
      <c r="I43" s="76"/>
      <c r="J43" s="76"/>
      <c r="K43" s="471">
        <f t="shared" si="1"/>
        <v>0</v>
      </c>
      <c r="L43" s="76"/>
      <c r="M43" s="76"/>
      <c r="N43" s="76"/>
      <c r="O43" s="76"/>
      <c r="P43" s="76"/>
      <c r="Q43" s="76"/>
      <c r="R43" s="76"/>
      <c r="S43" s="76"/>
      <c r="T43" s="76"/>
      <c r="U43" s="468">
        <f t="shared" si="2"/>
        <v>0</v>
      </c>
      <c r="V43" s="448"/>
      <c r="W43" s="1317"/>
      <c r="X43" s="1317"/>
      <c r="Y43" s="1317"/>
      <c r="Z43" s="1317"/>
      <c r="AA43" s="1317"/>
      <c r="AB43" s="1317"/>
      <c r="AC43" s="1317"/>
      <c r="AD43" s="1317"/>
      <c r="AE43" s="1317"/>
      <c r="AF43" s="1317"/>
      <c r="AG43" s="448"/>
      <c r="AH43" s="448"/>
      <c r="AI43" s="448"/>
      <c r="AJ43" s="448"/>
      <c r="AK43" s="448"/>
      <c r="AL43" s="448"/>
      <c r="AM43" s="448"/>
      <c r="AN43" s="448"/>
      <c r="AO43" s="448"/>
      <c r="AP43" s="448"/>
      <c r="AQ43" s="448"/>
      <c r="AR43" s="448"/>
      <c r="AS43" s="448"/>
      <c r="AT43" s="448"/>
      <c r="AU43" s="448"/>
      <c r="AV43" s="448"/>
      <c r="AW43" s="448"/>
      <c r="AX43" s="448"/>
      <c r="AY43" s="448"/>
      <c r="AZ43" s="448"/>
      <c r="BA43" s="448"/>
    </row>
    <row r="44" spans="1:53" ht="12.75" customHeight="1" x14ac:dyDescent="0.2">
      <c r="A44" s="484" t="str">
        <f>'Kalkulation Herstellungskosten'!B110</f>
        <v>Garderobenhilfe</v>
      </c>
      <c r="B44" s="456">
        <f>'Kalkulation Herstellungskosten'!C110+'Kalkulation Herstellungskosten'!C111</f>
        <v>0</v>
      </c>
      <c r="C44" s="456">
        <f>'Kalkulation Herstellungskosten'!F110</f>
        <v>0</v>
      </c>
      <c r="D44" s="448"/>
      <c r="E44" s="76"/>
      <c r="F44" s="76"/>
      <c r="G44" s="76"/>
      <c r="H44" s="471">
        <f t="shared" si="0"/>
        <v>0</v>
      </c>
      <c r="I44" s="76"/>
      <c r="J44" s="76"/>
      <c r="K44" s="471">
        <f t="shared" si="1"/>
        <v>0</v>
      </c>
      <c r="L44" s="76"/>
      <c r="M44" s="76"/>
      <c r="N44" s="76"/>
      <c r="O44" s="76"/>
      <c r="P44" s="76"/>
      <c r="Q44" s="76"/>
      <c r="R44" s="76"/>
      <c r="S44" s="76"/>
      <c r="T44" s="76"/>
      <c r="U44" s="468">
        <f t="shared" si="2"/>
        <v>0</v>
      </c>
      <c r="V44" s="448"/>
      <c r="W44" s="1317"/>
      <c r="X44" s="1317"/>
      <c r="Y44" s="1317"/>
      <c r="Z44" s="1317"/>
      <c r="AA44" s="1317"/>
      <c r="AB44" s="1317"/>
      <c r="AC44" s="1317"/>
      <c r="AD44" s="1317"/>
      <c r="AE44" s="1317"/>
      <c r="AF44" s="1317"/>
      <c r="AG44" s="448"/>
      <c r="AH44" s="448"/>
      <c r="AI44" s="448"/>
      <c r="AJ44" s="448"/>
      <c r="AK44" s="448"/>
      <c r="AL44" s="448"/>
      <c r="AM44" s="448"/>
      <c r="AN44" s="448"/>
      <c r="AO44" s="448"/>
      <c r="AP44" s="448"/>
      <c r="AQ44" s="448"/>
      <c r="AR44" s="448"/>
      <c r="AS44" s="448"/>
      <c r="AT44" s="448"/>
      <c r="AU44" s="448"/>
      <c r="AV44" s="448"/>
      <c r="AW44" s="448"/>
      <c r="AX44" s="448"/>
      <c r="AY44" s="448"/>
      <c r="AZ44" s="448"/>
      <c r="BA44" s="448"/>
    </row>
    <row r="45" spans="1:53" ht="12.75" customHeight="1" x14ac:dyDescent="0.2">
      <c r="A45" s="484" t="str">
        <f>'Kalkulation Herstellungskosten'!B112</f>
        <v>Außenrequisite</v>
      </c>
      <c r="B45" s="456">
        <f>'Kalkulation Herstellungskosten'!C112+'Kalkulation Herstellungskosten'!C113</f>
        <v>0</v>
      </c>
      <c r="C45" s="456">
        <f>'Kalkulation Herstellungskosten'!F112</f>
        <v>0</v>
      </c>
      <c r="D45" s="448"/>
      <c r="E45" s="76"/>
      <c r="F45" s="76"/>
      <c r="G45" s="76"/>
      <c r="H45" s="471">
        <f t="shared" si="0"/>
        <v>0</v>
      </c>
      <c r="I45" s="76"/>
      <c r="J45" s="76"/>
      <c r="K45" s="471">
        <f t="shared" si="1"/>
        <v>0</v>
      </c>
      <c r="L45" s="76"/>
      <c r="M45" s="76"/>
      <c r="N45" s="76"/>
      <c r="O45" s="76"/>
      <c r="P45" s="76"/>
      <c r="Q45" s="76"/>
      <c r="R45" s="76"/>
      <c r="S45" s="76"/>
      <c r="T45" s="76"/>
      <c r="U45" s="468">
        <f t="shared" si="2"/>
        <v>0</v>
      </c>
      <c r="V45" s="448"/>
      <c r="W45" s="1317"/>
      <c r="X45" s="1317"/>
      <c r="Y45" s="1317"/>
      <c r="Z45" s="1317"/>
      <c r="AA45" s="1317"/>
      <c r="AB45" s="1317"/>
      <c r="AC45" s="1317"/>
      <c r="AD45" s="1317"/>
      <c r="AE45" s="1317"/>
      <c r="AF45" s="1317"/>
      <c r="AG45" s="448"/>
      <c r="AH45" s="448"/>
      <c r="AI45" s="448"/>
      <c r="AJ45" s="448"/>
      <c r="AK45" s="448"/>
      <c r="AL45" s="448"/>
      <c r="AM45" s="448"/>
      <c r="AN45" s="448"/>
      <c r="AO45" s="448"/>
      <c r="AP45" s="448"/>
      <c r="AQ45" s="448"/>
      <c r="AR45" s="448"/>
      <c r="AS45" s="448"/>
      <c r="AT45" s="448"/>
      <c r="AU45" s="448"/>
      <c r="AV45" s="448"/>
      <c r="AW45" s="448"/>
      <c r="AX45" s="448"/>
      <c r="AY45" s="448"/>
      <c r="AZ45" s="448"/>
      <c r="BA45" s="448"/>
    </row>
    <row r="46" spans="1:53" ht="12.75" customHeight="1" x14ac:dyDescent="0.2">
      <c r="A46" s="484" t="str">
        <f>'Kalkulation Herstellungskosten'!B114</f>
        <v>Innenrequisite</v>
      </c>
      <c r="B46" s="456">
        <f>'Kalkulation Herstellungskosten'!C114+'Kalkulation Herstellungskosten'!C115</f>
        <v>0</v>
      </c>
      <c r="C46" s="456">
        <f>'Kalkulation Herstellungskosten'!F114</f>
        <v>0</v>
      </c>
      <c r="D46" s="448"/>
      <c r="E46" s="76"/>
      <c r="F46" s="76"/>
      <c r="G46" s="76"/>
      <c r="H46" s="471">
        <f t="shared" si="0"/>
        <v>0</v>
      </c>
      <c r="I46" s="76"/>
      <c r="J46" s="76"/>
      <c r="K46" s="471">
        <f t="shared" si="1"/>
        <v>0</v>
      </c>
      <c r="L46" s="76"/>
      <c r="M46" s="76"/>
      <c r="N46" s="76"/>
      <c r="O46" s="76"/>
      <c r="P46" s="76"/>
      <c r="Q46" s="76"/>
      <c r="R46" s="76"/>
      <c r="S46" s="76"/>
      <c r="T46" s="76"/>
      <c r="U46" s="468">
        <f t="shared" si="2"/>
        <v>0</v>
      </c>
      <c r="V46" s="448"/>
      <c r="W46" s="1317"/>
      <c r="X46" s="1317"/>
      <c r="Y46" s="1317"/>
      <c r="Z46" s="1317"/>
      <c r="AA46" s="1317"/>
      <c r="AB46" s="1317"/>
      <c r="AC46" s="1317"/>
      <c r="AD46" s="1317"/>
      <c r="AE46" s="1317"/>
      <c r="AF46" s="1317"/>
      <c r="AG46" s="448"/>
      <c r="AH46" s="448"/>
      <c r="AI46" s="448"/>
      <c r="AJ46" s="448"/>
      <c r="AK46" s="448"/>
      <c r="AL46" s="448"/>
      <c r="AM46" s="448"/>
      <c r="AN46" s="448"/>
      <c r="AO46" s="448"/>
      <c r="AP46" s="448"/>
      <c r="AQ46" s="448"/>
      <c r="AR46" s="448"/>
      <c r="AS46" s="448"/>
      <c r="AT46" s="448"/>
      <c r="AU46" s="448"/>
      <c r="AV46" s="448"/>
      <c r="AW46" s="448"/>
      <c r="AX46" s="448"/>
      <c r="AY46" s="448"/>
      <c r="AZ46" s="448"/>
      <c r="BA46" s="448"/>
    </row>
    <row r="47" spans="1:53" ht="12.75" customHeight="1" x14ac:dyDescent="0.2">
      <c r="A47" s="484" t="str">
        <f>'Kalkulation Herstellungskosten'!B116</f>
        <v>Set Requisite Assistenz</v>
      </c>
      <c r="B47" s="456">
        <f>'Kalkulation Herstellungskosten'!C116+'Kalkulation Herstellungskosten'!C117</f>
        <v>0</v>
      </c>
      <c r="C47" s="456">
        <f>'Kalkulation Herstellungskosten'!F116</f>
        <v>0</v>
      </c>
      <c r="D47" s="448"/>
      <c r="E47" s="76"/>
      <c r="F47" s="76"/>
      <c r="G47" s="76"/>
      <c r="H47" s="471">
        <f t="shared" si="0"/>
        <v>0</v>
      </c>
      <c r="I47" s="76"/>
      <c r="J47" s="76"/>
      <c r="K47" s="471">
        <f t="shared" si="1"/>
        <v>0</v>
      </c>
      <c r="L47" s="76"/>
      <c r="M47" s="76"/>
      <c r="N47" s="76"/>
      <c r="O47" s="76"/>
      <c r="P47" s="76"/>
      <c r="Q47" s="76"/>
      <c r="R47" s="76"/>
      <c r="S47" s="76"/>
      <c r="T47" s="76"/>
      <c r="U47" s="468">
        <f t="shared" si="2"/>
        <v>0</v>
      </c>
      <c r="V47" s="448"/>
      <c r="W47" s="1317"/>
      <c r="X47" s="1317"/>
      <c r="Y47" s="1317"/>
      <c r="Z47" s="1317"/>
      <c r="AA47" s="1317"/>
      <c r="AB47" s="1317"/>
      <c r="AC47" s="1317"/>
      <c r="AD47" s="1317"/>
      <c r="AE47" s="1317"/>
      <c r="AF47" s="1317"/>
      <c r="AG47" s="448"/>
      <c r="AH47" s="448"/>
      <c r="AI47" s="448"/>
      <c r="AJ47" s="448"/>
      <c r="AK47" s="448"/>
      <c r="AL47" s="448"/>
      <c r="AM47" s="448"/>
      <c r="AN47" s="448"/>
      <c r="AO47" s="448"/>
      <c r="AP47" s="448"/>
      <c r="AQ47" s="448"/>
      <c r="AR47" s="448"/>
      <c r="AS47" s="448"/>
      <c r="AT47" s="448"/>
      <c r="AU47" s="448"/>
      <c r="AV47" s="448"/>
      <c r="AW47" s="448"/>
      <c r="AX47" s="448"/>
      <c r="AY47" s="448"/>
      <c r="AZ47" s="448"/>
      <c r="BA47" s="448"/>
    </row>
    <row r="48" spans="1:53" ht="12.75" customHeight="1" x14ac:dyDescent="0.2">
      <c r="A48" s="484" t="str">
        <f>'Kalkulation Herstellungskosten'!B118</f>
        <v>Requisitenhilfe</v>
      </c>
      <c r="B48" s="456">
        <f>'Kalkulation Herstellungskosten'!C118+'Kalkulation Herstellungskosten'!C119</f>
        <v>0</v>
      </c>
      <c r="C48" s="456">
        <f>'Kalkulation Herstellungskosten'!F118</f>
        <v>0</v>
      </c>
      <c r="D48" s="448"/>
      <c r="E48" s="76"/>
      <c r="F48" s="76"/>
      <c r="G48" s="76"/>
      <c r="H48" s="471">
        <f t="shared" si="0"/>
        <v>0</v>
      </c>
      <c r="I48" s="76"/>
      <c r="J48" s="76"/>
      <c r="K48" s="471">
        <f t="shared" si="1"/>
        <v>0</v>
      </c>
      <c r="L48" s="76"/>
      <c r="M48" s="76"/>
      <c r="N48" s="76"/>
      <c r="O48" s="76"/>
      <c r="P48" s="76"/>
      <c r="Q48" s="76"/>
      <c r="R48" s="76"/>
      <c r="S48" s="76"/>
      <c r="T48" s="76"/>
      <c r="U48" s="468">
        <f t="shared" si="2"/>
        <v>0</v>
      </c>
      <c r="V48" s="448"/>
      <c r="W48" s="1317"/>
      <c r="X48" s="1317"/>
      <c r="Y48" s="1317"/>
      <c r="Z48" s="1317"/>
      <c r="AA48" s="1317"/>
      <c r="AB48" s="1317"/>
      <c r="AC48" s="1317"/>
      <c r="AD48" s="1317"/>
      <c r="AE48" s="1317"/>
      <c r="AF48" s="1317"/>
      <c r="AG48" s="448"/>
      <c r="AH48" s="448"/>
      <c r="AI48" s="448"/>
      <c r="AJ48" s="448"/>
      <c r="AK48" s="448"/>
      <c r="AL48" s="448"/>
      <c r="AM48" s="448"/>
      <c r="AN48" s="448"/>
      <c r="AO48" s="448"/>
      <c r="AP48" s="448"/>
      <c r="AQ48" s="448"/>
      <c r="AR48" s="448"/>
      <c r="AS48" s="448"/>
      <c r="AT48" s="448"/>
      <c r="AU48" s="448"/>
      <c r="AV48" s="448"/>
      <c r="AW48" s="448"/>
      <c r="AX48" s="448"/>
      <c r="AY48" s="448"/>
      <c r="AZ48" s="448"/>
      <c r="BA48" s="448"/>
    </row>
    <row r="49" spans="1:53" ht="12.75" customHeight="1" x14ac:dyDescent="0.2">
      <c r="A49" s="484" t="str">
        <f>'Kalkulation Herstellungskosten'!B120</f>
        <v>Szenenbild (Filmarchitektur)</v>
      </c>
      <c r="B49" s="456">
        <f>'Kalkulation Herstellungskosten'!C120+'Kalkulation Herstellungskosten'!C121</f>
        <v>0</v>
      </c>
      <c r="C49" s="456">
        <f>'Kalkulation Herstellungskosten'!F120</f>
        <v>0</v>
      </c>
      <c r="D49" s="448"/>
      <c r="E49" s="76"/>
      <c r="F49" s="76"/>
      <c r="G49" s="76"/>
      <c r="H49" s="471">
        <f t="shared" si="0"/>
        <v>0</v>
      </c>
      <c r="I49" s="76"/>
      <c r="J49" s="76"/>
      <c r="K49" s="471">
        <f t="shared" si="1"/>
        <v>0</v>
      </c>
      <c r="L49" s="76"/>
      <c r="M49" s="76"/>
      <c r="N49" s="76"/>
      <c r="O49" s="76"/>
      <c r="P49" s="76"/>
      <c r="Q49" s="76"/>
      <c r="R49" s="76"/>
      <c r="S49" s="76"/>
      <c r="T49" s="76"/>
      <c r="U49" s="468">
        <f t="shared" si="2"/>
        <v>0</v>
      </c>
      <c r="V49" s="448"/>
      <c r="W49" s="1317"/>
      <c r="X49" s="1317"/>
      <c r="Y49" s="1317"/>
      <c r="Z49" s="1317"/>
      <c r="AA49" s="1317"/>
      <c r="AB49" s="1317"/>
      <c r="AC49" s="1317"/>
      <c r="AD49" s="1317"/>
      <c r="AE49" s="1317"/>
      <c r="AF49" s="1317"/>
      <c r="AG49" s="448"/>
      <c r="AH49" s="448"/>
      <c r="AI49" s="448"/>
      <c r="AJ49" s="448"/>
      <c r="AK49" s="448"/>
      <c r="AL49" s="448"/>
      <c r="AM49" s="448"/>
      <c r="AN49" s="448"/>
      <c r="AO49" s="448"/>
      <c r="AP49" s="448"/>
      <c r="AQ49" s="448"/>
      <c r="AR49" s="448"/>
      <c r="AS49" s="448"/>
      <c r="AT49" s="448"/>
      <c r="AU49" s="448"/>
      <c r="AV49" s="448"/>
      <c r="AW49" s="448"/>
      <c r="AX49" s="448"/>
      <c r="AY49" s="448"/>
      <c r="AZ49" s="448"/>
      <c r="BA49" s="448"/>
    </row>
    <row r="50" spans="1:53" ht="12.75" customHeight="1" x14ac:dyDescent="0.2">
      <c r="A50" s="484" t="str">
        <f>'Kalkulation Herstellungskosten'!B122</f>
        <v>Szenenbildassistenz</v>
      </c>
      <c r="B50" s="456">
        <f>'Kalkulation Herstellungskosten'!C122+'Kalkulation Herstellungskosten'!C123</f>
        <v>0</v>
      </c>
      <c r="C50" s="456">
        <f>'Kalkulation Herstellungskosten'!F122</f>
        <v>0</v>
      </c>
      <c r="D50" s="448"/>
      <c r="E50" s="76"/>
      <c r="F50" s="76"/>
      <c r="G50" s="76"/>
      <c r="H50" s="471">
        <f t="shared" si="0"/>
        <v>0</v>
      </c>
      <c r="I50" s="76"/>
      <c r="J50" s="76"/>
      <c r="K50" s="471">
        <f t="shared" si="1"/>
        <v>0</v>
      </c>
      <c r="L50" s="76"/>
      <c r="M50" s="76"/>
      <c r="N50" s="76"/>
      <c r="O50" s="76"/>
      <c r="P50" s="76"/>
      <c r="Q50" s="76"/>
      <c r="R50" s="76"/>
      <c r="S50" s="76"/>
      <c r="T50" s="76"/>
      <c r="U50" s="468">
        <f t="shared" si="2"/>
        <v>0</v>
      </c>
      <c r="V50" s="448"/>
      <c r="W50" s="1317"/>
      <c r="X50" s="1317"/>
      <c r="Y50" s="1317"/>
      <c r="Z50" s="1317"/>
      <c r="AA50" s="1317"/>
      <c r="AB50" s="1317"/>
      <c r="AC50" s="1317"/>
      <c r="AD50" s="1317"/>
      <c r="AE50" s="1317"/>
      <c r="AF50" s="1317"/>
      <c r="AG50" s="448"/>
      <c r="AH50" s="448"/>
      <c r="AI50" s="448"/>
      <c r="AJ50" s="448"/>
      <c r="AK50" s="448"/>
      <c r="AL50" s="448"/>
      <c r="AM50" s="448"/>
      <c r="AN50" s="448"/>
      <c r="AO50" s="448"/>
      <c r="AP50" s="448"/>
      <c r="AQ50" s="448"/>
      <c r="AR50" s="448"/>
      <c r="AS50" s="448"/>
      <c r="AT50" s="448"/>
      <c r="AU50" s="448"/>
      <c r="AV50" s="448"/>
      <c r="AW50" s="448"/>
      <c r="AX50" s="448"/>
      <c r="AY50" s="448"/>
      <c r="AZ50" s="448"/>
      <c r="BA50" s="448"/>
    </row>
    <row r="51" spans="1:53" ht="12.75" customHeight="1" x14ac:dyDescent="0.2">
      <c r="A51" s="484" t="str">
        <f>'Kalkulation Herstellungskosten'!B124</f>
        <v>Chefmaskenbildner*in</v>
      </c>
      <c r="B51" s="456">
        <f>'Kalkulation Herstellungskosten'!C124+'Kalkulation Herstellungskosten'!C125</f>
        <v>0</v>
      </c>
      <c r="C51" s="456">
        <f>'Kalkulation Herstellungskosten'!F124</f>
        <v>0</v>
      </c>
      <c r="D51" s="448"/>
      <c r="E51" s="76"/>
      <c r="F51" s="76"/>
      <c r="G51" s="76"/>
      <c r="H51" s="471">
        <f t="shared" si="0"/>
        <v>0</v>
      </c>
      <c r="I51" s="76"/>
      <c r="J51" s="76"/>
      <c r="K51" s="471">
        <f t="shared" si="1"/>
        <v>0</v>
      </c>
      <c r="L51" s="76"/>
      <c r="M51" s="76"/>
      <c r="N51" s="76"/>
      <c r="O51" s="76"/>
      <c r="P51" s="76"/>
      <c r="Q51" s="76"/>
      <c r="R51" s="76"/>
      <c r="S51" s="76"/>
      <c r="T51" s="76"/>
      <c r="U51" s="468">
        <f t="shared" si="2"/>
        <v>0</v>
      </c>
      <c r="V51" s="448"/>
      <c r="W51" s="1317"/>
      <c r="X51" s="1317"/>
      <c r="Y51" s="1317"/>
      <c r="Z51" s="1317"/>
      <c r="AA51" s="1317"/>
      <c r="AB51" s="1317"/>
      <c r="AC51" s="1317"/>
      <c r="AD51" s="1317"/>
      <c r="AE51" s="1317"/>
      <c r="AF51" s="1317"/>
      <c r="AG51" s="448"/>
      <c r="AH51" s="448"/>
      <c r="AI51" s="448"/>
      <c r="AJ51" s="448"/>
      <c r="AK51" s="448"/>
      <c r="AL51" s="448"/>
      <c r="AM51" s="448"/>
      <c r="AN51" s="448"/>
      <c r="AO51" s="448"/>
      <c r="AP51" s="448"/>
      <c r="AQ51" s="448"/>
      <c r="AR51" s="448"/>
      <c r="AS51" s="448"/>
      <c r="AT51" s="448"/>
      <c r="AU51" s="448"/>
      <c r="AV51" s="448"/>
      <c r="AW51" s="448"/>
      <c r="AX51" s="448"/>
      <c r="AY51" s="448"/>
      <c r="AZ51" s="448"/>
      <c r="BA51" s="448"/>
    </row>
    <row r="52" spans="1:53" ht="12.75" customHeight="1" x14ac:dyDescent="0.2">
      <c r="A52" s="484" t="str">
        <f>'Kalkulation Herstellungskosten'!B126</f>
        <v>Maskenbildner*in</v>
      </c>
      <c r="B52" s="456">
        <f>'Kalkulation Herstellungskosten'!C126+'Kalkulation Herstellungskosten'!C127</f>
        <v>0</v>
      </c>
      <c r="C52" s="456">
        <f>'Kalkulation Herstellungskosten'!F126</f>
        <v>0</v>
      </c>
      <c r="D52" s="448"/>
      <c r="E52" s="76"/>
      <c r="F52" s="76"/>
      <c r="G52" s="76"/>
      <c r="H52" s="471">
        <f t="shared" si="0"/>
        <v>0</v>
      </c>
      <c r="I52" s="76"/>
      <c r="J52" s="76"/>
      <c r="K52" s="471">
        <f t="shared" si="1"/>
        <v>0</v>
      </c>
      <c r="L52" s="76"/>
      <c r="M52" s="76"/>
      <c r="N52" s="76"/>
      <c r="O52" s="76"/>
      <c r="P52" s="76"/>
      <c r="Q52" s="76"/>
      <c r="R52" s="76"/>
      <c r="S52" s="76"/>
      <c r="T52" s="76"/>
      <c r="U52" s="468">
        <f t="shared" si="2"/>
        <v>0</v>
      </c>
      <c r="V52" s="448"/>
      <c r="W52" s="1317"/>
      <c r="X52" s="1317"/>
      <c r="Y52" s="1317"/>
      <c r="Z52" s="1317"/>
      <c r="AA52" s="1317"/>
      <c r="AB52" s="1317"/>
      <c r="AC52" s="1317"/>
      <c r="AD52" s="1317"/>
      <c r="AE52" s="1317"/>
      <c r="AF52" s="1317"/>
      <c r="AG52" s="448"/>
      <c r="AH52" s="448"/>
      <c r="AI52" s="448"/>
      <c r="AJ52" s="448"/>
      <c r="AK52" s="448"/>
      <c r="AL52" s="448"/>
      <c r="AM52" s="448"/>
      <c r="AN52" s="448"/>
      <c r="AO52" s="448"/>
      <c r="AP52" s="448"/>
      <c r="AQ52" s="448"/>
      <c r="AR52" s="448"/>
      <c r="AS52" s="448"/>
      <c r="AT52" s="448"/>
      <c r="AU52" s="448"/>
      <c r="AV52" s="448"/>
      <c r="AW52" s="448"/>
      <c r="AX52" s="448"/>
      <c r="AY52" s="448"/>
      <c r="AZ52" s="448"/>
      <c r="BA52" s="448"/>
    </row>
    <row r="53" spans="1:53" ht="12.75" customHeight="1" x14ac:dyDescent="0.2">
      <c r="A53" s="484" t="str">
        <f>'Kalkulation Herstellungskosten'!B128</f>
        <v>Maskenbildner*in</v>
      </c>
      <c r="B53" s="456">
        <f>'Kalkulation Herstellungskosten'!C128+'Kalkulation Herstellungskosten'!C129</f>
        <v>0</v>
      </c>
      <c r="C53" s="456">
        <f>'Kalkulation Herstellungskosten'!F128</f>
        <v>0</v>
      </c>
      <c r="D53" s="448"/>
      <c r="E53" s="76"/>
      <c r="F53" s="76"/>
      <c r="G53" s="76"/>
      <c r="H53" s="471">
        <f t="shared" si="0"/>
        <v>0</v>
      </c>
      <c r="I53" s="76"/>
      <c r="J53" s="76"/>
      <c r="K53" s="471">
        <f t="shared" si="1"/>
        <v>0</v>
      </c>
      <c r="L53" s="76"/>
      <c r="M53" s="76"/>
      <c r="N53" s="76"/>
      <c r="O53" s="76"/>
      <c r="P53" s="76"/>
      <c r="Q53" s="76"/>
      <c r="R53" s="76"/>
      <c r="S53" s="76"/>
      <c r="T53" s="76"/>
      <c r="U53" s="468">
        <f t="shared" si="2"/>
        <v>0</v>
      </c>
      <c r="V53" s="448"/>
      <c r="W53" s="1317"/>
      <c r="X53" s="1317"/>
      <c r="Y53" s="1317"/>
      <c r="Z53" s="1317"/>
      <c r="AA53" s="1317"/>
      <c r="AB53" s="1317"/>
      <c r="AC53" s="1317"/>
      <c r="AD53" s="1317"/>
      <c r="AE53" s="1317"/>
      <c r="AF53" s="1317"/>
      <c r="AG53" s="448"/>
      <c r="AH53" s="448"/>
      <c r="AI53" s="448"/>
      <c r="AJ53" s="448"/>
      <c r="AK53" s="448"/>
      <c r="AL53" s="448"/>
      <c r="AM53" s="448"/>
      <c r="AN53" s="448"/>
      <c r="AO53" s="448"/>
      <c r="AP53" s="448"/>
      <c r="AQ53" s="448"/>
      <c r="AR53" s="448"/>
      <c r="AS53" s="448"/>
      <c r="AT53" s="448"/>
      <c r="AU53" s="448"/>
      <c r="AV53" s="448"/>
      <c r="AW53" s="448"/>
      <c r="AX53" s="448"/>
      <c r="AY53" s="448"/>
      <c r="AZ53" s="448"/>
      <c r="BA53" s="448"/>
    </row>
    <row r="54" spans="1:53" ht="12.75" customHeight="1" x14ac:dyDescent="0.2">
      <c r="A54" s="484" t="str">
        <f>'Kalkulation Herstellungskosten'!B130</f>
        <v>Junior Maskenbild</v>
      </c>
      <c r="B54" s="456">
        <f>'Kalkulation Herstellungskosten'!C130+'Kalkulation Herstellungskosten'!C131</f>
        <v>0</v>
      </c>
      <c r="C54" s="456">
        <f>'Kalkulation Herstellungskosten'!F130</f>
        <v>0</v>
      </c>
      <c r="D54" s="448"/>
      <c r="E54" s="76"/>
      <c r="F54" s="76"/>
      <c r="G54" s="76"/>
      <c r="H54" s="471">
        <f t="shared" si="0"/>
        <v>0</v>
      </c>
      <c r="I54" s="76"/>
      <c r="J54" s="76"/>
      <c r="K54" s="471">
        <f t="shared" si="1"/>
        <v>0</v>
      </c>
      <c r="L54" s="76"/>
      <c r="M54" s="76"/>
      <c r="N54" s="76"/>
      <c r="O54" s="76"/>
      <c r="P54" s="76"/>
      <c r="Q54" s="76"/>
      <c r="R54" s="76"/>
      <c r="S54" s="76"/>
      <c r="T54" s="76"/>
      <c r="U54" s="468">
        <f t="shared" si="2"/>
        <v>0</v>
      </c>
      <c r="V54" s="448"/>
      <c r="W54" s="1317"/>
      <c r="X54" s="1317"/>
      <c r="Y54" s="1317"/>
      <c r="Z54" s="1317"/>
      <c r="AA54" s="1317"/>
      <c r="AB54" s="1317"/>
      <c r="AC54" s="1317"/>
      <c r="AD54" s="1317"/>
      <c r="AE54" s="1317"/>
      <c r="AF54" s="1317"/>
      <c r="AG54" s="448"/>
      <c r="AH54" s="448"/>
      <c r="AI54" s="448"/>
      <c r="AJ54" s="448"/>
      <c r="AK54" s="448"/>
      <c r="AL54" s="448"/>
      <c r="AM54" s="448"/>
      <c r="AN54" s="448"/>
      <c r="AO54" s="448"/>
      <c r="AP54" s="448"/>
      <c r="AQ54" s="448"/>
      <c r="AR54" s="448"/>
      <c r="AS54" s="448"/>
      <c r="AT54" s="448"/>
      <c r="AU54" s="448"/>
      <c r="AV54" s="448"/>
      <c r="AW54" s="448"/>
      <c r="AX54" s="448"/>
      <c r="AY54" s="448"/>
      <c r="AZ54" s="448"/>
      <c r="BA54" s="448"/>
    </row>
    <row r="55" spans="1:53" ht="12.75" customHeight="1" x14ac:dyDescent="0.2">
      <c r="A55" s="484" t="str">
        <f>'Kalkulation Herstellungskosten'!B132</f>
        <v>Maskenbildhilfe</v>
      </c>
      <c r="B55" s="456">
        <f>'Kalkulation Herstellungskosten'!C132+'Kalkulation Herstellungskosten'!C133</f>
        <v>0</v>
      </c>
      <c r="C55" s="456">
        <f>'Kalkulation Herstellungskosten'!F132</f>
        <v>0</v>
      </c>
      <c r="D55" s="448"/>
      <c r="E55" s="76"/>
      <c r="F55" s="76"/>
      <c r="G55" s="76"/>
      <c r="H55" s="471">
        <f t="shared" si="0"/>
        <v>0</v>
      </c>
      <c r="I55" s="76"/>
      <c r="J55" s="76"/>
      <c r="K55" s="471">
        <f t="shared" si="1"/>
        <v>0</v>
      </c>
      <c r="L55" s="76"/>
      <c r="M55" s="76"/>
      <c r="N55" s="76"/>
      <c r="O55" s="76"/>
      <c r="P55" s="76"/>
      <c r="Q55" s="76"/>
      <c r="R55" s="76"/>
      <c r="S55" s="76"/>
      <c r="T55" s="76"/>
      <c r="U55" s="468">
        <f t="shared" si="2"/>
        <v>0</v>
      </c>
      <c r="V55" s="448"/>
      <c r="W55" s="1317"/>
      <c r="X55" s="1317"/>
      <c r="Y55" s="1317"/>
      <c r="Z55" s="1317"/>
      <c r="AA55" s="1317"/>
      <c r="AB55" s="1317"/>
      <c r="AC55" s="1317"/>
      <c r="AD55" s="1317"/>
      <c r="AE55" s="1317"/>
      <c r="AF55" s="1317"/>
      <c r="AG55" s="448"/>
      <c r="AH55" s="448"/>
      <c r="AI55" s="448"/>
      <c r="AJ55" s="448"/>
      <c r="AK55" s="448"/>
      <c r="AL55" s="448"/>
      <c r="AM55" s="448"/>
      <c r="AN55" s="448"/>
      <c r="AO55" s="448"/>
      <c r="AP55" s="448"/>
      <c r="AQ55" s="448"/>
      <c r="AR55" s="448"/>
      <c r="AS55" s="448"/>
      <c r="AT55" s="448"/>
      <c r="AU55" s="448"/>
      <c r="AV55" s="448"/>
      <c r="AW55" s="448"/>
      <c r="AX55" s="448"/>
      <c r="AY55" s="448"/>
      <c r="AZ55" s="448"/>
      <c r="BA55" s="448"/>
    </row>
    <row r="56" spans="1:53" ht="12.75" customHeight="1" x14ac:dyDescent="0.2">
      <c r="A56" s="484" t="str">
        <f>'Kalkulation Herstellungskosten'!B134</f>
        <v>Frisur</v>
      </c>
      <c r="B56" s="456">
        <f>'Kalkulation Herstellungskosten'!C134+'Kalkulation Herstellungskosten'!C135</f>
        <v>0</v>
      </c>
      <c r="C56" s="456">
        <f>'Kalkulation Herstellungskosten'!F134</f>
        <v>0</v>
      </c>
      <c r="D56" s="448"/>
      <c r="E56" s="76"/>
      <c r="F56" s="76"/>
      <c r="G56" s="76"/>
      <c r="H56" s="471">
        <f t="shared" si="0"/>
        <v>0</v>
      </c>
      <c r="I56" s="76"/>
      <c r="J56" s="76"/>
      <c r="K56" s="471">
        <f t="shared" si="1"/>
        <v>0</v>
      </c>
      <c r="L56" s="76"/>
      <c r="M56" s="76"/>
      <c r="N56" s="76"/>
      <c r="O56" s="76"/>
      <c r="P56" s="76"/>
      <c r="Q56" s="76"/>
      <c r="R56" s="76"/>
      <c r="S56" s="76"/>
      <c r="T56" s="76"/>
      <c r="U56" s="468">
        <f t="shared" si="2"/>
        <v>0</v>
      </c>
      <c r="V56" s="448"/>
      <c r="W56" s="1317"/>
      <c r="X56" s="1317"/>
      <c r="Y56" s="1317"/>
      <c r="Z56" s="1317"/>
      <c r="AA56" s="1317"/>
      <c r="AB56" s="1317"/>
      <c r="AC56" s="1317"/>
      <c r="AD56" s="1317"/>
      <c r="AE56" s="1317"/>
      <c r="AF56" s="1317"/>
      <c r="AG56" s="448"/>
      <c r="AH56" s="448"/>
      <c r="AI56" s="448"/>
      <c r="AJ56" s="448"/>
      <c r="AK56" s="448"/>
      <c r="AL56" s="448"/>
      <c r="AM56" s="448"/>
      <c r="AN56" s="448"/>
      <c r="AO56" s="448"/>
      <c r="AP56" s="448"/>
      <c r="AQ56" s="448"/>
      <c r="AR56" s="448"/>
      <c r="AS56" s="448"/>
      <c r="AT56" s="448"/>
      <c r="AU56" s="448"/>
      <c r="AV56" s="448"/>
      <c r="AW56" s="448"/>
      <c r="AX56" s="448"/>
      <c r="AY56" s="448"/>
      <c r="AZ56" s="448"/>
      <c r="BA56" s="448"/>
    </row>
    <row r="57" spans="1:53" ht="12.75" customHeight="1" x14ac:dyDescent="0.2">
      <c r="A57" s="484" t="str">
        <f>'Kalkulation Herstellungskosten'!B136</f>
        <v>Produktionsfahrer*in</v>
      </c>
      <c r="B57" s="456">
        <f>'Kalkulation Herstellungskosten'!C136+'Kalkulation Herstellungskosten'!C137</f>
        <v>0</v>
      </c>
      <c r="C57" s="456">
        <f>'Kalkulation Herstellungskosten'!F136</f>
        <v>0</v>
      </c>
      <c r="D57" s="448"/>
      <c r="E57" s="76"/>
      <c r="F57" s="76"/>
      <c r="G57" s="76"/>
      <c r="H57" s="471">
        <f t="shared" si="0"/>
        <v>0</v>
      </c>
      <c r="I57" s="76"/>
      <c r="J57" s="76"/>
      <c r="K57" s="471">
        <f t="shared" si="1"/>
        <v>0</v>
      </c>
      <c r="L57" s="76"/>
      <c r="M57" s="76"/>
      <c r="N57" s="76"/>
      <c r="O57" s="76"/>
      <c r="P57" s="76"/>
      <c r="Q57" s="76"/>
      <c r="R57" s="76"/>
      <c r="S57" s="76"/>
      <c r="T57" s="76"/>
      <c r="U57" s="468">
        <f t="shared" si="2"/>
        <v>0</v>
      </c>
      <c r="V57" s="448"/>
      <c r="W57" s="1317"/>
      <c r="X57" s="1317"/>
      <c r="Y57" s="1317"/>
      <c r="Z57" s="1317"/>
      <c r="AA57" s="1317"/>
      <c r="AB57" s="1317"/>
      <c r="AC57" s="1317"/>
      <c r="AD57" s="1317"/>
      <c r="AE57" s="1317"/>
      <c r="AF57" s="1317"/>
      <c r="AG57" s="448"/>
      <c r="AH57" s="448"/>
      <c r="AI57" s="448"/>
      <c r="AJ57" s="448"/>
      <c r="AK57" s="448"/>
      <c r="AL57" s="448"/>
      <c r="AM57" s="448"/>
      <c r="AN57" s="448"/>
      <c r="AO57" s="448"/>
      <c r="AP57" s="448"/>
      <c r="AQ57" s="448"/>
      <c r="AR57" s="448"/>
      <c r="AS57" s="448"/>
      <c r="AT57" s="448"/>
      <c r="AU57" s="448"/>
      <c r="AV57" s="448"/>
      <c r="AW57" s="448"/>
      <c r="AX57" s="448"/>
      <c r="AY57" s="448"/>
      <c r="AZ57" s="448"/>
      <c r="BA57" s="448"/>
    </row>
    <row r="58" spans="1:53" ht="12.75" customHeight="1" x14ac:dyDescent="0.2">
      <c r="A58" s="484" t="str">
        <f>'Kalkulation Herstellungskosten'!B138</f>
        <v>Produktionsfahrer*in</v>
      </c>
      <c r="B58" s="456">
        <f>'Kalkulation Herstellungskosten'!C138+'Kalkulation Herstellungskosten'!C139</f>
        <v>0</v>
      </c>
      <c r="C58" s="456">
        <f>'Kalkulation Herstellungskosten'!F138</f>
        <v>0</v>
      </c>
      <c r="D58" s="448"/>
      <c r="E58" s="76"/>
      <c r="F58" s="76"/>
      <c r="G58" s="76"/>
      <c r="H58" s="471">
        <f t="shared" si="0"/>
        <v>0</v>
      </c>
      <c r="I58" s="76"/>
      <c r="J58" s="76"/>
      <c r="K58" s="471">
        <f t="shared" si="1"/>
        <v>0</v>
      </c>
      <c r="L58" s="76"/>
      <c r="M58" s="76"/>
      <c r="N58" s="76"/>
      <c r="O58" s="76"/>
      <c r="P58" s="76"/>
      <c r="Q58" s="76"/>
      <c r="R58" s="76"/>
      <c r="S58" s="76"/>
      <c r="T58" s="76"/>
      <c r="U58" s="468">
        <f t="shared" si="2"/>
        <v>0</v>
      </c>
      <c r="V58" s="448"/>
      <c r="W58" s="1317"/>
      <c r="X58" s="1317"/>
      <c r="Y58" s="1317"/>
      <c r="Z58" s="1317"/>
      <c r="AA58" s="1317"/>
      <c r="AB58" s="1317"/>
      <c r="AC58" s="1317"/>
      <c r="AD58" s="1317"/>
      <c r="AE58" s="1317"/>
      <c r="AF58" s="1317"/>
      <c r="AG58" s="448"/>
      <c r="AH58" s="448"/>
      <c r="AI58" s="448"/>
      <c r="AJ58" s="448"/>
      <c r="AK58" s="448"/>
      <c r="AL58" s="448"/>
      <c r="AM58" s="448"/>
      <c r="AN58" s="448"/>
      <c r="AO58" s="448"/>
      <c r="AP58" s="448"/>
      <c r="AQ58" s="448"/>
      <c r="AR58" s="448"/>
      <c r="AS58" s="448"/>
      <c r="AT58" s="448"/>
      <c r="AU58" s="448"/>
      <c r="AV58" s="448"/>
      <c r="AW58" s="448"/>
      <c r="AX58" s="448"/>
      <c r="AY58" s="448"/>
      <c r="AZ58" s="448"/>
      <c r="BA58" s="448"/>
    </row>
    <row r="59" spans="1:53" ht="12.75" customHeight="1" x14ac:dyDescent="0.2">
      <c r="A59" s="484" t="str">
        <f>'Kalkulation Herstellungskosten'!B140</f>
        <v>Produktionsfahrer*in</v>
      </c>
      <c r="B59" s="456">
        <f>'Kalkulation Herstellungskosten'!C140+'Kalkulation Herstellungskosten'!C141</f>
        <v>0</v>
      </c>
      <c r="C59" s="456">
        <f>'Kalkulation Herstellungskosten'!F140</f>
        <v>0</v>
      </c>
      <c r="D59" s="448"/>
      <c r="E59" s="76"/>
      <c r="F59" s="76"/>
      <c r="G59" s="76"/>
      <c r="H59" s="471">
        <f t="shared" si="0"/>
        <v>0</v>
      </c>
      <c r="I59" s="76"/>
      <c r="J59" s="76"/>
      <c r="K59" s="471">
        <f t="shared" si="1"/>
        <v>0</v>
      </c>
      <c r="L59" s="76"/>
      <c r="M59" s="76"/>
      <c r="N59" s="76"/>
      <c r="O59" s="76"/>
      <c r="P59" s="76"/>
      <c r="Q59" s="76"/>
      <c r="R59" s="76"/>
      <c r="S59" s="76"/>
      <c r="T59" s="76"/>
      <c r="U59" s="468">
        <f t="shared" si="2"/>
        <v>0</v>
      </c>
      <c r="V59" s="448"/>
      <c r="W59" s="1317"/>
      <c r="X59" s="1317"/>
      <c r="Y59" s="1317"/>
      <c r="Z59" s="1317"/>
      <c r="AA59" s="1317"/>
      <c r="AB59" s="1317"/>
      <c r="AC59" s="1317"/>
      <c r="AD59" s="1317"/>
      <c r="AE59" s="1317"/>
      <c r="AF59" s="1317"/>
      <c r="AG59" s="448"/>
      <c r="AH59" s="448"/>
      <c r="AI59" s="448"/>
      <c r="AJ59" s="448"/>
      <c r="AK59" s="448"/>
      <c r="AL59" s="448"/>
      <c r="AM59" s="448"/>
      <c r="AN59" s="448"/>
      <c r="AO59" s="448"/>
      <c r="AP59" s="448"/>
      <c r="AQ59" s="448"/>
      <c r="AR59" s="448"/>
      <c r="AS59" s="448"/>
      <c r="AT59" s="448"/>
      <c r="AU59" s="448"/>
      <c r="AV59" s="448"/>
      <c r="AW59" s="448"/>
      <c r="AX59" s="448"/>
      <c r="AY59" s="448"/>
      <c r="AZ59" s="448"/>
      <c r="BA59" s="448"/>
    </row>
    <row r="60" spans="1:53" ht="12.75" customHeight="1" x14ac:dyDescent="0.2">
      <c r="A60" s="484" t="str">
        <f>'Kalkulation Herstellungskosten'!B142</f>
        <v>Requisitenfahrer*in</v>
      </c>
      <c r="B60" s="456">
        <f>'Kalkulation Herstellungskosten'!C142+'Kalkulation Herstellungskosten'!C143</f>
        <v>0</v>
      </c>
      <c r="C60" s="456">
        <f>'Kalkulation Herstellungskosten'!F142</f>
        <v>0</v>
      </c>
      <c r="D60" s="448"/>
      <c r="E60" s="76"/>
      <c r="F60" s="76"/>
      <c r="G60" s="76"/>
      <c r="H60" s="471">
        <f t="shared" si="0"/>
        <v>0</v>
      </c>
      <c r="I60" s="76"/>
      <c r="J60" s="76"/>
      <c r="K60" s="471">
        <f t="shared" si="1"/>
        <v>0</v>
      </c>
      <c r="L60" s="76"/>
      <c r="M60" s="76"/>
      <c r="N60" s="76"/>
      <c r="O60" s="76"/>
      <c r="P60" s="76"/>
      <c r="Q60" s="76"/>
      <c r="R60" s="76"/>
      <c r="S60" s="76"/>
      <c r="T60" s="76"/>
      <c r="U60" s="468">
        <f t="shared" si="2"/>
        <v>0</v>
      </c>
      <c r="V60" s="448"/>
      <c r="W60" s="1317"/>
      <c r="X60" s="1317"/>
      <c r="Y60" s="1317"/>
      <c r="Z60" s="1317"/>
      <c r="AA60" s="1317"/>
      <c r="AB60" s="1317"/>
      <c r="AC60" s="1317"/>
      <c r="AD60" s="1317"/>
      <c r="AE60" s="1317"/>
      <c r="AF60" s="1317"/>
      <c r="AG60" s="448"/>
      <c r="AH60" s="448"/>
      <c r="AI60" s="448"/>
      <c r="AJ60" s="448"/>
      <c r="AK60" s="448"/>
      <c r="AL60" s="448"/>
      <c r="AM60" s="448"/>
      <c r="AN60" s="448"/>
      <c r="AO60" s="448"/>
      <c r="AP60" s="448"/>
      <c r="AQ60" s="448"/>
      <c r="AR60" s="448"/>
      <c r="AS60" s="448"/>
      <c r="AT60" s="448"/>
      <c r="AU60" s="448"/>
      <c r="AV60" s="448"/>
      <c r="AW60" s="448"/>
      <c r="AX60" s="448"/>
      <c r="AY60" s="448"/>
      <c r="AZ60" s="448"/>
      <c r="BA60" s="448"/>
    </row>
    <row r="61" spans="1:53" ht="12.75" customHeight="1" x14ac:dyDescent="0.2">
      <c r="A61" s="484" t="str">
        <f>'Kalkulation Herstellungskosten'!B144</f>
        <v>Oberbeleuchter*in</v>
      </c>
      <c r="B61" s="456">
        <f>'Kalkulation Herstellungskosten'!C144+'Kalkulation Herstellungskosten'!C145</f>
        <v>0</v>
      </c>
      <c r="C61" s="456">
        <f>'Kalkulation Herstellungskosten'!F144</f>
        <v>0</v>
      </c>
      <c r="D61" s="448"/>
      <c r="E61" s="76"/>
      <c r="F61" s="76"/>
      <c r="G61" s="76"/>
      <c r="H61" s="471">
        <f t="shared" si="0"/>
        <v>0</v>
      </c>
      <c r="I61" s="76"/>
      <c r="J61" s="76"/>
      <c r="K61" s="471">
        <f t="shared" si="1"/>
        <v>0</v>
      </c>
      <c r="L61" s="76"/>
      <c r="M61" s="76"/>
      <c r="N61" s="76"/>
      <c r="O61" s="76"/>
      <c r="P61" s="76"/>
      <c r="Q61" s="76"/>
      <c r="R61" s="76"/>
      <c r="S61" s="76"/>
      <c r="T61" s="76"/>
      <c r="U61" s="468">
        <f t="shared" si="2"/>
        <v>0</v>
      </c>
      <c r="V61" s="448"/>
      <c r="W61" s="1317"/>
      <c r="X61" s="1317"/>
      <c r="Y61" s="1317"/>
      <c r="Z61" s="1317"/>
      <c r="AA61" s="1317"/>
      <c r="AB61" s="1317"/>
      <c r="AC61" s="1317"/>
      <c r="AD61" s="1317"/>
      <c r="AE61" s="1317"/>
      <c r="AF61" s="1317"/>
      <c r="AG61" s="448"/>
      <c r="AH61" s="448"/>
      <c r="AI61" s="448"/>
      <c r="AJ61" s="448"/>
      <c r="AK61" s="448"/>
      <c r="AL61" s="448"/>
      <c r="AM61" s="448"/>
      <c r="AN61" s="448"/>
      <c r="AO61" s="448"/>
      <c r="AP61" s="448"/>
      <c r="AQ61" s="448"/>
      <c r="AR61" s="448"/>
      <c r="AS61" s="448"/>
      <c r="AT61" s="448"/>
      <c r="AU61" s="448"/>
      <c r="AV61" s="448"/>
      <c r="AW61" s="448"/>
      <c r="AX61" s="448"/>
      <c r="AY61" s="448"/>
      <c r="AZ61" s="448"/>
      <c r="BA61" s="448"/>
    </row>
    <row r="62" spans="1:53" ht="12.75" customHeight="1" x14ac:dyDescent="0.2">
      <c r="A62" s="484" t="str">
        <f>'Kalkulation Herstellungskosten'!B146</f>
        <v>Best Boy/Girl</v>
      </c>
      <c r="B62" s="456">
        <f>'Kalkulation Herstellungskosten'!C146+'Kalkulation Herstellungskosten'!C147</f>
        <v>0</v>
      </c>
      <c r="C62" s="456">
        <f>'Kalkulation Herstellungskosten'!F146</f>
        <v>0</v>
      </c>
      <c r="D62" s="448"/>
      <c r="E62" s="76"/>
      <c r="F62" s="76"/>
      <c r="G62" s="76"/>
      <c r="H62" s="471">
        <f t="shared" si="0"/>
        <v>0</v>
      </c>
      <c r="I62" s="76"/>
      <c r="J62" s="76"/>
      <c r="K62" s="471">
        <f t="shared" si="1"/>
        <v>0</v>
      </c>
      <c r="L62" s="76"/>
      <c r="M62" s="76"/>
      <c r="N62" s="76"/>
      <c r="O62" s="76"/>
      <c r="P62" s="76"/>
      <c r="Q62" s="76"/>
      <c r="R62" s="76"/>
      <c r="S62" s="76"/>
      <c r="T62" s="76"/>
      <c r="U62" s="468">
        <f t="shared" si="2"/>
        <v>0</v>
      </c>
      <c r="V62" s="448"/>
      <c r="W62" s="1317"/>
      <c r="X62" s="1317"/>
      <c r="Y62" s="1317"/>
      <c r="Z62" s="1317"/>
      <c r="AA62" s="1317"/>
      <c r="AB62" s="1317"/>
      <c r="AC62" s="1317"/>
      <c r="AD62" s="1317"/>
      <c r="AE62" s="1317"/>
      <c r="AF62" s="1317"/>
      <c r="AG62" s="448"/>
      <c r="AH62" s="448"/>
      <c r="AI62" s="448"/>
      <c r="AJ62" s="448"/>
      <c r="AK62" s="448"/>
      <c r="AL62" s="448"/>
      <c r="AM62" s="448"/>
      <c r="AN62" s="448"/>
      <c r="AO62" s="448"/>
      <c r="AP62" s="448"/>
      <c r="AQ62" s="448"/>
      <c r="AR62" s="448"/>
      <c r="AS62" s="448"/>
      <c r="AT62" s="448"/>
      <c r="AU62" s="448"/>
      <c r="AV62" s="448"/>
      <c r="AW62" s="448"/>
      <c r="AX62" s="448"/>
      <c r="AY62" s="448"/>
      <c r="AZ62" s="448"/>
      <c r="BA62" s="448"/>
    </row>
    <row r="63" spans="1:53" ht="12.75" customHeight="1" x14ac:dyDescent="0.2">
      <c r="A63" s="484" t="str">
        <f>'Kalkulation Herstellungskosten'!B148</f>
        <v>Beleuchter*in</v>
      </c>
      <c r="B63" s="456">
        <f>'Kalkulation Herstellungskosten'!C148+'Kalkulation Herstellungskosten'!C149</f>
        <v>0</v>
      </c>
      <c r="C63" s="456">
        <f>'Kalkulation Herstellungskosten'!F148</f>
        <v>0</v>
      </c>
      <c r="D63" s="448"/>
      <c r="E63" s="76"/>
      <c r="F63" s="76"/>
      <c r="G63" s="76"/>
      <c r="H63" s="471">
        <f t="shared" si="0"/>
        <v>0</v>
      </c>
      <c r="I63" s="76"/>
      <c r="J63" s="76"/>
      <c r="K63" s="471">
        <f t="shared" si="1"/>
        <v>0</v>
      </c>
      <c r="L63" s="76"/>
      <c r="M63" s="76"/>
      <c r="N63" s="76"/>
      <c r="O63" s="76"/>
      <c r="P63" s="76"/>
      <c r="Q63" s="76"/>
      <c r="R63" s="76"/>
      <c r="S63" s="76"/>
      <c r="T63" s="76"/>
      <c r="U63" s="468">
        <f t="shared" si="2"/>
        <v>0</v>
      </c>
      <c r="V63" s="448"/>
      <c r="W63" s="1317"/>
      <c r="X63" s="1317"/>
      <c r="Y63" s="1317"/>
      <c r="Z63" s="1317"/>
      <c r="AA63" s="1317"/>
      <c r="AB63" s="1317"/>
      <c r="AC63" s="1317"/>
      <c r="AD63" s="1317"/>
      <c r="AE63" s="1317"/>
      <c r="AF63" s="1317"/>
      <c r="AG63" s="448"/>
      <c r="AH63" s="448"/>
      <c r="AI63" s="448"/>
      <c r="AJ63" s="448"/>
      <c r="AK63" s="448"/>
      <c r="AL63" s="448"/>
      <c r="AM63" s="448"/>
      <c r="AN63" s="448"/>
      <c r="AO63" s="448"/>
      <c r="AP63" s="448"/>
      <c r="AQ63" s="448"/>
      <c r="AR63" s="448"/>
      <c r="AS63" s="448"/>
      <c r="AT63" s="448"/>
      <c r="AU63" s="448"/>
      <c r="AV63" s="448"/>
      <c r="AW63" s="448"/>
      <c r="AX63" s="448"/>
      <c r="AY63" s="448"/>
      <c r="AZ63" s="448"/>
      <c r="BA63" s="448"/>
    </row>
    <row r="64" spans="1:53" ht="12.75" customHeight="1" x14ac:dyDescent="0.2">
      <c r="A64" s="484" t="str">
        <f>'Kalkulation Herstellungskosten'!B150</f>
        <v>Beleuchter*in</v>
      </c>
      <c r="B64" s="456">
        <f>'Kalkulation Herstellungskosten'!C150+'Kalkulation Herstellungskosten'!C151</f>
        <v>0</v>
      </c>
      <c r="C64" s="456">
        <f>'Kalkulation Herstellungskosten'!F150</f>
        <v>0</v>
      </c>
      <c r="D64" s="448"/>
      <c r="E64" s="76"/>
      <c r="F64" s="76"/>
      <c r="G64" s="76"/>
      <c r="H64" s="471">
        <f t="shared" si="0"/>
        <v>0</v>
      </c>
      <c r="I64" s="76"/>
      <c r="J64" s="76"/>
      <c r="K64" s="471">
        <f t="shared" si="1"/>
        <v>0</v>
      </c>
      <c r="L64" s="76"/>
      <c r="M64" s="76"/>
      <c r="N64" s="76"/>
      <c r="O64" s="76"/>
      <c r="P64" s="76"/>
      <c r="Q64" s="76"/>
      <c r="R64" s="76"/>
      <c r="S64" s="76"/>
      <c r="T64" s="76"/>
      <c r="U64" s="468">
        <f t="shared" si="2"/>
        <v>0</v>
      </c>
      <c r="V64" s="448"/>
      <c r="W64" s="1317"/>
      <c r="X64" s="1317"/>
      <c r="Y64" s="1317"/>
      <c r="Z64" s="1317"/>
      <c r="AA64" s="1317"/>
      <c r="AB64" s="1317"/>
      <c r="AC64" s="1317"/>
      <c r="AD64" s="1317"/>
      <c r="AE64" s="1317"/>
      <c r="AF64" s="1317"/>
      <c r="AG64" s="448"/>
      <c r="AH64" s="448"/>
      <c r="AI64" s="448"/>
      <c r="AJ64" s="448"/>
      <c r="AK64" s="448"/>
      <c r="AL64" s="448"/>
      <c r="AM64" s="448"/>
      <c r="AN64" s="448"/>
      <c r="AO64" s="448"/>
      <c r="AP64" s="448"/>
      <c r="AQ64" s="448"/>
      <c r="AR64" s="448"/>
      <c r="AS64" s="448"/>
      <c r="AT64" s="448"/>
      <c r="AU64" s="448"/>
      <c r="AV64" s="448"/>
      <c r="AW64" s="448"/>
      <c r="AX64" s="448"/>
      <c r="AY64" s="448"/>
      <c r="AZ64" s="448"/>
      <c r="BA64" s="448"/>
    </row>
    <row r="65" spans="1:53" ht="12.75" customHeight="1" x14ac:dyDescent="0.2">
      <c r="A65" s="484" t="str">
        <f>'Kalkulation Herstellungskosten'!B152</f>
        <v>Beleuchter*in</v>
      </c>
      <c r="B65" s="456">
        <f>'Kalkulation Herstellungskosten'!C152+'Kalkulation Herstellungskosten'!C153</f>
        <v>0</v>
      </c>
      <c r="C65" s="456">
        <f>'Kalkulation Herstellungskosten'!F152</f>
        <v>0</v>
      </c>
      <c r="D65" s="448"/>
      <c r="E65" s="76"/>
      <c r="F65" s="76"/>
      <c r="G65" s="76"/>
      <c r="H65" s="471">
        <f t="shared" si="0"/>
        <v>0</v>
      </c>
      <c r="I65" s="76"/>
      <c r="J65" s="76"/>
      <c r="K65" s="471">
        <f t="shared" si="1"/>
        <v>0</v>
      </c>
      <c r="L65" s="76"/>
      <c r="M65" s="76"/>
      <c r="N65" s="76"/>
      <c r="O65" s="76"/>
      <c r="P65" s="76"/>
      <c r="Q65" s="76"/>
      <c r="R65" s="76"/>
      <c r="S65" s="76"/>
      <c r="T65" s="76"/>
      <c r="U65" s="468">
        <f t="shared" si="2"/>
        <v>0</v>
      </c>
      <c r="V65" s="448"/>
      <c r="W65" s="1317"/>
      <c r="X65" s="1317"/>
      <c r="Y65" s="1317"/>
      <c r="Z65" s="1317"/>
      <c r="AA65" s="1317"/>
      <c r="AB65" s="1317"/>
      <c r="AC65" s="1317"/>
      <c r="AD65" s="1317"/>
      <c r="AE65" s="1317"/>
      <c r="AF65" s="1317"/>
      <c r="AG65" s="448"/>
      <c r="AH65" s="448"/>
      <c r="AI65" s="448"/>
      <c r="AJ65" s="448"/>
      <c r="AK65" s="448"/>
      <c r="AL65" s="448"/>
      <c r="AM65" s="448"/>
      <c r="AN65" s="448"/>
      <c r="AO65" s="448"/>
      <c r="AP65" s="448"/>
      <c r="AQ65" s="448"/>
      <c r="AR65" s="448"/>
      <c r="AS65" s="448"/>
      <c r="AT65" s="448"/>
      <c r="AU65" s="448"/>
      <c r="AV65" s="448"/>
      <c r="AW65" s="448"/>
      <c r="AX65" s="448"/>
      <c r="AY65" s="448"/>
      <c r="AZ65" s="448"/>
      <c r="BA65" s="448"/>
    </row>
    <row r="66" spans="1:53" ht="12.75" customHeight="1" x14ac:dyDescent="0.2">
      <c r="A66" s="484" t="str">
        <f>'Kalkulation Herstellungskosten'!B154</f>
        <v>Jungbeleuchter*in</v>
      </c>
      <c r="B66" s="456">
        <f>'Kalkulation Herstellungskosten'!C154+'Kalkulation Herstellungskosten'!C155</f>
        <v>0</v>
      </c>
      <c r="C66" s="456">
        <f>'Kalkulation Herstellungskosten'!F154</f>
        <v>0</v>
      </c>
      <c r="D66" s="448"/>
      <c r="E66" s="76"/>
      <c r="F66" s="76"/>
      <c r="G66" s="76"/>
      <c r="H66" s="471">
        <f t="shared" si="0"/>
        <v>0</v>
      </c>
      <c r="I66" s="76"/>
      <c r="J66" s="76"/>
      <c r="K66" s="471">
        <f t="shared" si="1"/>
        <v>0</v>
      </c>
      <c r="L66" s="76"/>
      <c r="M66" s="76"/>
      <c r="N66" s="76"/>
      <c r="O66" s="76"/>
      <c r="P66" s="76"/>
      <c r="Q66" s="76"/>
      <c r="R66" s="76"/>
      <c r="S66" s="76"/>
      <c r="T66" s="76"/>
      <c r="U66" s="468">
        <f t="shared" si="2"/>
        <v>0</v>
      </c>
      <c r="V66" s="448"/>
      <c r="W66" s="1317"/>
      <c r="X66" s="1317"/>
      <c r="Y66" s="1317"/>
      <c r="Z66" s="1317"/>
      <c r="AA66" s="1317"/>
      <c r="AB66" s="1317"/>
      <c r="AC66" s="1317"/>
      <c r="AD66" s="1317"/>
      <c r="AE66" s="1317"/>
      <c r="AF66" s="1317"/>
      <c r="AG66" s="448"/>
      <c r="AH66" s="448"/>
      <c r="AI66" s="448"/>
      <c r="AJ66" s="448"/>
      <c r="AK66" s="448"/>
      <c r="AL66" s="448"/>
      <c r="AM66" s="448"/>
      <c r="AN66" s="448"/>
      <c r="AO66" s="448"/>
      <c r="AP66" s="448"/>
      <c r="AQ66" s="448"/>
      <c r="AR66" s="448"/>
      <c r="AS66" s="448"/>
      <c r="AT66" s="448"/>
      <c r="AU66" s="448"/>
      <c r="AV66" s="448"/>
      <c r="AW66" s="448"/>
      <c r="AX66" s="448"/>
      <c r="AY66" s="448"/>
      <c r="AZ66" s="448"/>
      <c r="BA66" s="448"/>
    </row>
    <row r="67" spans="1:53" ht="12.75" customHeight="1" x14ac:dyDescent="0.2">
      <c r="A67" s="484" t="str">
        <f>'Kalkulation Herstellungskosten'!B156</f>
        <v>Bühnenmeister*in</v>
      </c>
      <c r="B67" s="456">
        <f>'Kalkulation Herstellungskosten'!C156+'Kalkulation Herstellungskosten'!C157</f>
        <v>0</v>
      </c>
      <c r="C67" s="456">
        <f>'Kalkulation Herstellungskosten'!F156</f>
        <v>0</v>
      </c>
      <c r="D67" s="448"/>
      <c r="E67" s="76"/>
      <c r="F67" s="76"/>
      <c r="G67" s="76"/>
      <c r="H67" s="471">
        <f t="shared" si="0"/>
        <v>0</v>
      </c>
      <c r="I67" s="76"/>
      <c r="J67" s="76"/>
      <c r="K67" s="471">
        <f t="shared" si="1"/>
        <v>0</v>
      </c>
      <c r="L67" s="76"/>
      <c r="M67" s="76"/>
      <c r="N67" s="76"/>
      <c r="O67" s="76"/>
      <c r="P67" s="76"/>
      <c r="Q67" s="76"/>
      <c r="R67" s="76"/>
      <c r="S67" s="76"/>
      <c r="T67" s="76"/>
      <c r="U67" s="468">
        <f t="shared" si="2"/>
        <v>0</v>
      </c>
      <c r="V67" s="448"/>
      <c r="W67" s="1317"/>
      <c r="X67" s="1317"/>
      <c r="Y67" s="1317"/>
      <c r="Z67" s="1317"/>
      <c r="AA67" s="1317"/>
      <c r="AB67" s="1317"/>
      <c r="AC67" s="1317"/>
      <c r="AD67" s="1317"/>
      <c r="AE67" s="1317"/>
      <c r="AF67" s="1317"/>
      <c r="AG67" s="448"/>
      <c r="AH67" s="448"/>
      <c r="AI67" s="448"/>
      <c r="AJ67" s="448"/>
      <c r="AK67" s="448"/>
      <c r="AL67" s="448"/>
      <c r="AM67" s="448"/>
      <c r="AN67" s="448"/>
      <c r="AO67" s="448"/>
      <c r="AP67" s="448"/>
      <c r="AQ67" s="448"/>
      <c r="AR67" s="448"/>
      <c r="AS67" s="448"/>
      <c r="AT67" s="448"/>
      <c r="AU67" s="448"/>
      <c r="AV67" s="448"/>
      <c r="AW67" s="448"/>
      <c r="AX67" s="448"/>
      <c r="AY67" s="448"/>
      <c r="AZ67" s="448"/>
      <c r="BA67" s="448"/>
    </row>
    <row r="68" spans="1:53" ht="12.75" customHeight="1" x14ac:dyDescent="0.2">
      <c r="A68" s="484" t="str">
        <f>'Kalkulation Herstellungskosten'!B158</f>
        <v>Bühne</v>
      </c>
      <c r="B68" s="456">
        <f>'Kalkulation Herstellungskosten'!C158+'Kalkulation Herstellungskosten'!C159</f>
        <v>0</v>
      </c>
      <c r="C68" s="456">
        <f>'Kalkulation Herstellungskosten'!F158</f>
        <v>0</v>
      </c>
      <c r="D68" s="448"/>
      <c r="E68" s="76"/>
      <c r="F68" s="76"/>
      <c r="G68" s="76"/>
      <c r="H68" s="471">
        <f t="shared" si="0"/>
        <v>0</v>
      </c>
      <c r="I68" s="76"/>
      <c r="J68" s="76"/>
      <c r="K68" s="471">
        <f t="shared" si="1"/>
        <v>0</v>
      </c>
      <c r="L68" s="76"/>
      <c r="M68" s="76"/>
      <c r="N68" s="76"/>
      <c r="O68" s="76"/>
      <c r="P68" s="76"/>
      <c r="Q68" s="76"/>
      <c r="R68" s="76"/>
      <c r="S68" s="76"/>
      <c r="T68" s="76"/>
      <c r="U68" s="468">
        <f t="shared" si="2"/>
        <v>0</v>
      </c>
      <c r="V68" s="448"/>
      <c r="W68" s="1317"/>
      <c r="X68" s="1317"/>
      <c r="Y68" s="1317"/>
      <c r="Z68" s="1317"/>
      <c r="AA68" s="1317"/>
      <c r="AB68" s="1317"/>
      <c r="AC68" s="1317"/>
      <c r="AD68" s="1317"/>
      <c r="AE68" s="1317"/>
      <c r="AF68" s="1317"/>
      <c r="AG68" s="448"/>
      <c r="AH68" s="448"/>
      <c r="AI68" s="448"/>
      <c r="AJ68" s="448"/>
      <c r="AK68" s="448"/>
      <c r="AL68" s="448"/>
      <c r="AM68" s="448"/>
      <c r="AN68" s="448"/>
      <c r="AO68" s="448"/>
      <c r="AP68" s="448"/>
      <c r="AQ68" s="448"/>
      <c r="AR68" s="448"/>
      <c r="AS68" s="448"/>
      <c r="AT68" s="448"/>
      <c r="AU68" s="448"/>
      <c r="AV68" s="448"/>
      <c r="AW68" s="448"/>
      <c r="AX68" s="448"/>
      <c r="AY68" s="448"/>
      <c r="AZ68" s="448"/>
      <c r="BA68" s="448"/>
    </row>
    <row r="69" spans="1:53" ht="12.75" customHeight="1" x14ac:dyDescent="0.2">
      <c r="A69" s="484" t="str">
        <f>'Kalkulation Herstellungskosten'!B160</f>
        <v>Bühne</v>
      </c>
      <c r="B69" s="456">
        <f>'Kalkulation Herstellungskosten'!C160+'Kalkulation Herstellungskosten'!C161</f>
        <v>0</v>
      </c>
      <c r="C69" s="456">
        <f>'Kalkulation Herstellungskosten'!F160</f>
        <v>0</v>
      </c>
      <c r="D69" s="448"/>
      <c r="E69" s="76"/>
      <c r="F69" s="76"/>
      <c r="G69" s="76"/>
      <c r="H69" s="471">
        <f t="shared" si="0"/>
        <v>0</v>
      </c>
      <c r="I69" s="76"/>
      <c r="J69" s="76"/>
      <c r="K69" s="471">
        <f t="shared" si="1"/>
        <v>0</v>
      </c>
      <c r="L69" s="76"/>
      <c r="M69" s="76"/>
      <c r="N69" s="76"/>
      <c r="O69" s="76"/>
      <c r="P69" s="76"/>
      <c r="Q69" s="76"/>
      <c r="R69" s="76"/>
      <c r="S69" s="76"/>
      <c r="T69" s="76"/>
      <c r="U69" s="468">
        <f t="shared" si="2"/>
        <v>0</v>
      </c>
      <c r="V69" s="448"/>
      <c r="W69" s="1317"/>
      <c r="X69" s="1317"/>
      <c r="Y69" s="1317"/>
      <c r="Z69" s="1317"/>
      <c r="AA69" s="1317"/>
      <c r="AB69" s="1317"/>
      <c r="AC69" s="1317"/>
      <c r="AD69" s="1317"/>
      <c r="AE69" s="1317"/>
      <c r="AF69" s="1317"/>
      <c r="AG69" s="448"/>
      <c r="AH69" s="448"/>
      <c r="AI69" s="448"/>
      <c r="AJ69" s="448"/>
      <c r="AK69" s="448"/>
      <c r="AL69" s="448"/>
      <c r="AM69" s="448"/>
      <c r="AN69" s="448"/>
      <c r="AO69" s="448"/>
      <c r="AP69" s="448"/>
      <c r="AQ69" s="448"/>
      <c r="AR69" s="448"/>
      <c r="AS69" s="448"/>
      <c r="AT69" s="448"/>
      <c r="AU69" s="448"/>
      <c r="AV69" s="448"/>
      <c r="AW69" s="448"/>
      <c r="AX69" s="448"/>
      <c r="AY69" s="448"/>
      <c r="AZ69" s="448"/>
      <c r="BA69" s="448"/>
    </row>
    <row r="70" spans="1:53" ht="12.75" customHeight="1" x14ac:dyDescent="0.2">
      <c r="A70" s="484" t="str">
        <f>'Kalkulation Herstellungskosten'!B162</f>
        <v>Bühne</v>
      </c>
      <c r="B70" s="456">
        <f>'Kalkulation Herstellungskosten'!C162+'Kalkulation Herstellungskosten'!C163</f>
        <v>0</v>
      </c>
      <c r="C70" s="456">
        <f>'Kalkulation Herstellungskosten'!F162</f>
        <v>0</v>
      </c>
      <c r="D70" s="448"/>
      <c r="E70" s="76"/>
      <c r="F70" s="76"/>
      <c r="G70" s="76"/>
      <c r="H70" s="471">
        <f t="shared" ref="H70:H72" si="3">F70*G70</f>
        <v>0</v>
      </c>
      <c r="I70" s="76"/>
      <c r="J70" s="76"/>
      <c r="K70" s="471">
        <f t="shared" ref="K70:K72" si="4">I70*J70</f>
        <v>0</v>
      </c>
      <c r="L70" s="76"/>
      <c r="M70" s="76"/>
      <c r="N70" s="76"/>
      <c r="O70" s="76"/>
      <c r="P70" s="76"/>
      <c r="Q70" s="76"/>
      <c r="R70" s="76"/>
      <c r="S70" s="76"/>
      <c r="T70" s="76"/>
      <c r="U70" s="468">
        <f t="shared" ref="U70:U72" si="5">S70*T70</f>
        <v>0</v>
      </c>
      <c r="V70" s="448"/>
      <c r="W70" s="1317"/>
      <c r="X70" s="1317"/>
      <c r="Y70" s="1317"/>
      <c r="Z70" s="1317"/>
      <c r="AA70" s="1317"/>
      <c r="AB70" s="1317"/>
      <c r="AC70" s="1317"/>
      <c r="AD70" s="1317"/>
      <c r="AE70" s="1317"/>
      <c r="AF70" s="1317"/>
      <c r="AG70" s="448"/>
      <c r="AH70" s="448"/>
      <c r="AI70" s="448"/>
      <c r="AJ70" s="448"/>
      <c r="AK70" s="448"/>
      <c r="AL70" s="448"/>
      <c r="AM70" s="448"/>
      <c r="AN70" s="448"/>
      <c r="AO70" s="448"/>
      <c r="AP70" s="448"/>
      <c r="AQ70" s="448"/>
      <c r="AR70" s="448"/>
      <c r="AS70" s="448"/>
      <c r="AT70" s="448"/>
      <c r="AU70" s="448"/>
      <c r="AV70" s="448"/>
      <c r="AW70" s="448"/>
      <c r="AX70" s="448"/>
      <c r="AY70" s="448"/>
      <c r="AZ70" s="448"/>
      <c r="BA70" s="448"/>
    </row>
    <row r="71" spans="1:53" ht="12.75" customHeight="1" x14ac:dyDescent="0.2">
      <c r="A71" s="484" t="str">
        <f>'Kalkulation Herstellungskosten'!B164</f>
        <v>Musikaufnahmeleiter*in</v>
      </c>
      <c r="B71" s="456">
        <f>'Kalkulation Herstellungskosten'!C164+'Kalkulation Herstellungskosten'!C165</f>
        <v>0</v>
      </c>
      <c r="C71" s="456">
        <f>'Kalkulation Herstellungskosten'!F164</f>
        <v>0</v>
      </c>
      <c r="D71" s="448"/>
      <c r="E71" s="76"/>
      <c r="F71" s="76"/>
      <c r="G71" s="76"/>
      <c r="H71" s="471">
        <f t="shared" si="3"/>
        <v>0</v>
      </c>
      <c r="I71" s="76"/>
      <c r="J71" s="76"/>
      <c r="K71" s="471">
        <f t="shared" si="4"/>
        <v>0</v>
      </c>
      <c r="L71" s="76"/>
      <c r="M71" s="76"/>
      <c r="N71" s="76"/>
      <c r="O71" s="76"/>
      <c r="P71" s="76"/>
      <c r="Q71" s="76"/>
      <c r="R71" s="76"/>
      <c r="S71" s="76"/>
      <c r="T71" s="76"/>
      <c r="U71" s="468">
        <f t="shared" si="5"/>
        <v>0</v>
      </c>
      <c r="V71" s="448"/>
      <c r="W71" s="1317"/>
      <c r="X71" s="1317"/>
      <c r="Y71" s="1317"/>
      <c r="Z71" s="1317"/>
      <c r="AA71" s="1317"/>
      <c r="AB71" s="1317"/>
      <c r="AC71" s="1317"/>
      <c r="AD71" s="1317"/>
      <c r="AE71" s="1317"/>
      <c r="AF71" s="1317"/>
      <c r="AG71" s="448"/>
      <c r="AH71" s="448"/>
      <c r="AI71" s="448"/>
      <c r="AJ71" s="448"/>
      <c r="AK71" s="448"/>
      <c r="AL71" s="448"/>
      <c r="AM71" s="448"/>
      <c r="AN71" s="448"/>
      <c r="AO71" s="448"/>
      <c r="AP71" s="448"/>
      <c r="AQ71" s="448"/>
      <c r="AR71" s="448"/>
      <c r="AS71" s="448"/>
      <c r="AT71" s="448"/>
      <c r="AU71" s="448"/>
      <c r="AV71" s="448"/>
      <c r="AW71" s="448"/>
      <c r="AX71" s="448"/>
      <c r="AY71" s="448"/>
      <c r="AZ71" s="448"/>
      <c r="BA71" s="448"/>
    </row>
    <row r="72" spans="1:53" ht="12.75" customHeight="1" x14ac:dyDescent="0.2">
      <c r="A72" s="484" t="str">
        <f>'Kalkulation Herstellungskosten'!B166</f>
        <v>Synchronregie</v>
      </c>
      <c r="B72" s="456">
        <f>'Kalkulation Herstellungskosten'!C166+'Kalkulation Herstellungskosten'!C167</f>
        <v>0</v>
      </c>
      <c r="C72" s="456">
        <f>'Kalkulation Herstellungskosten'!F166</f>
        <v>0</v>
      </c>
      <c r="D72" s="448"/>
      <c r="E72" s="76"/>
      <c r="F72" s="76"/>
      <c r="G72" s="76"/>
      <c r="H72" s="471">
        <f t="shared" si="3"/>
        <v>0</v>
      </c>
      <c r="I72" s="76"/>
      <c r="J72" s="76"/>
      <c r="K72" s="471">
        <f t="shared" si="4"/>
        <v>0</v>
      </c>
      <c r="L72" s="76"/>
      <c r="M72" s="76"/>
      <c r="N72" s="76"/>
      <c r="O72" s="76"/>
      <c r="P72" s="76"/>
      <c r="Q72" s="76"/>
      <c r="R72" s="76"/>
      <c r="S72" s="76"/>
      <c r="T72" s="76"/>
      <c r="U72" s="468">
        <f t="shared" si="5"/>
        <v>0</v>
      </c>
      <c r="V72" s="448"/>
      <c r="W72" s="1317"/>
      <c r="X72" s="1317"/>
      <c r="Y72" s="1317"/>
      <c r="Z72" s="1317"/>
      <c r="AA72" s="1317"/>
      <c r="AB72" s="1317"/>
      <c r="AC72" s="1317"/>
      <c r="AD72" s="1317"/>
      <c r="AE72" s="1317"/>
      <c r="AF72" s="1317"/>
      <c r="AG72" s="448"/>
      <c r="AH72" s="448"/>
      <c r="AI72" s="448"/>
      <c r="AJ72" s="448"/>
      <c r="AK72" s="448"/>
      <c r="AL72" s="448"/>
      <c r="AM72" s="448"/>
      <c r="AN72" s="448"/>
      <c r="AO72" s="448"/>
      <c r="AP72" s="448"/>
      <c r="AQ72" s="448"/>
      <c r="AR72" s="448"/>
      <c r="AS72" s="448"/>
      <c r="AT72" s="448"/>
      <c r="AU72" s="448"/>
      <c r="AV72" s="448"/>
      <c r="AW72" s="448"/>
      <c r="AX72" s="448"/>
      <c r="AY72" s="448"/>
      <c r="AZ72" s="448"/>
      <c r="BA72" s="448"/>
    </row>
    <row r="73" spans="1:53" ht="12.75" customHeight="1" x14ac:dyDescent="0.2">
      <c r="A73" s="450"/>
      <c r="B73" s="448"/>
      <c r="C73" s="212"/>
      <c r="D73" s="448"/>
      <c r="E73" s="459"/>
      <c r="F73" s="460"/>
      <c r="G73" s="461"/>
      <c r="H73" s="461"/>
      <c r="I73" s="460"/>
      <c r="J73" s="460"/>
      <c r="K73" s="460"/>
      <c r="L73" s="460"/>
      <c r="M73" s="460"/>
      <c r="N73" s="462"/>
      <c r="O73" s="462"/>
      <c r="P73" s="448"/>
      <c r="Q73" s="448"/>
      <c r="R73" s="448"/>
      <c r="S73" s="448"/>
      <c r="T73" s="448"/>
      <c r="U73" s="460"/>
      <c r="V73" s="448"/>
      <c r="W73" s="1317"/>
      <c r="X73" s="1317"/>
      <c r="Y73" s="1317"/>
      <c r="Z73" s="1317"/>
      <c r="AA73" s="1317"/>
      <c r="AB73" s="1317"/>
      <c r="AC73" s="1317"/>
      <c r="AD73" s="1317"/>
      <c r="AE73" s="1317"/>
      <c r="AF73" s="1317"/>
      <c r="AG73" s="448"/>
      <c r="AH73" s="448"/>
      <c r="AI73" s="448"/>
      <c r="AJ73" s="448"/>
      <c r="AK73" s="448"/>
      <c r="AL73" s="448"/>
      <c r="AM73" s="448"/>
      <c r="AN73" s="448"/>
      <c r="AO73" s="448"/>
      <c r="AP73" s="448"/>
      <c r="AQ73" s="448"/>
      <c r="AR73" s="448"/>
      <c r="AS73" s="448"/>
      <c r="AT73" s="448"/>
      <c r="AU73" s="448"/>
      <c r="AV73" s="448"/>
      <c r="AW73" s="448"/>
      <c r="AX73" s="448"/>
      <c r="AY73" s="448"/>
      <c r="AZ73" s="448"/>
      <c r="BA73" s="448"/>
    </row>
    <row r="74" spans="1:53" ht="12.75" customHeight="1" x14ac:dyDescent="0.2">
      <c r="A74" s="485" t="str">
        <f>'Kalkulation Herstellungskosten'!B170</f>
        <v>Sonstige MitarbeiterInnen</v>
      </c>
      <c r="B74" s="488"/>
      <c r="C74" s="458"/>
      <c r="D74" s="448"/>
      <c r="E74" s="459"/>
      <c r="F74" s="460"/>
      <c r="G74" s="461"/>
      <c r="H74" s="461"/>
      <c r="I74" s="460"/>
      <c r="J74" s="460"/>
      <c r="K74" s="460"/>
      <c r="L74" s="460"/>
      <c r="M74" s="460"/>
      <c r="N74" s="462"/>
      <c r="O74" s="462"/>
      <c r="P74" s="448"/>
      <c r="Q74" s="448"/>
      <c r="R74" s="448"/>
      <c r="S74" s="448"/>
      <c r="T74" s="448"/>
      <c r="U74" s="460"/>
      <c r="V74" s="448"/>
      <c r="W74" s="1317"/>
      <c r="X74" s="1317"/>
      <c r="Y74" s="1317"/>
      <c r="Z74" s="1317"/>
      <c r="AA74" s="1317"/>
      <c r="AB74" s="1317"/>
      <c r="AC74" s="1317"/>
      <c r="AD74" s="1317"/>
      <c r="AE74" s="1317"/>
      <c r="AF74" s="1317"/>
      <c r="AG74" s="448"/>
      <c r="AH74" s="448"/>
      <c r="AI74" s="448"/>
      <c r="AJ74" s="448"/>
      <c r="AK74" s="448"/>
      <c r="AL74" s="448"/>
      <c r="AM74" s="448"/>
      <c r="AN74" s="448"/>
      <c r="AO74" s="448"/>
      <c r="AP74" s="448"/>
      <c r="AQ74" s="448"/>
      <c r="AR74" s="448"/>
      <c r="AS74" s="448"/>
      <c r="AT74" s="448"/>
      <c r="AU74" s="448"/>
      <c r="AV74" s="448"/>
      <c r="AW74" s="448"/>
      <c r="AX74" s="448"/>
      <c r="AY74" s="448"/>
      <c r="AZ74" s="448"/>
      <c r="BA74" s="448"/>
    </row>
    <row r="75" spans="1:53" ht="12.75" customHeight="1" x14ac:dyDescent="0.2">
      <c r="A75" s="484" t="str">
        <f>'Kalkulation Herstellungskosten'!B171</f>
        <v>Green Film Consultant</v>
      </c>
      <c r="B75" s="456">
        <f>'Kalkulation Herstellungskosten'!C171</f>
        <v>0</v>
      </c>
      <c r="C75" s="456">
        <f>'Kalkulation Herstellungskosten'!F171</f>
        <v>0</v>
      </c>
      <c r="D75" s="448"/>
      <c r="E75" s="76"/>
      <c r="F75" s="76"/>
      <c r="G75" s="76"/>
      <c r="H75" s="468">
        <f>F75*G75</f>
        <v>0</v>
      </c>
      <c r="I75" s="76"/>
      <c r="J75" s="76"/>
      <c r="K75" s="468">
        <f>I75*J75</f>
        <v>0</v>
      </c>
      <c r="L75" s="76"/>
      <c r="M75" s="76"/>
      <c r="N75" s="76"/>
      <c r="O75" s="76"/>
      <c r="P75" s="76"/>
      <c r="Q75" s="76"/>
      <c r="R75" s="76"/>
      <c r="S75" s="76"/>
      <c r="T75" s="76"/>
      <c r="U75" s="468">
        <f>S75*T75</f>
        <v>0</v>
      </c>
      <c r="V75" s="448"/>
      <c r="W75" s="1317"/>
      <c r="X75" s="1317"/>
      <c r="Y75" s="1317"/>
      <c r="Z75" s="1317"/>
      <c r="AA75" s="1317"/>
      <c r="AB75" s="1317"/>
      <c r="AC75" s="1317"/>
      <c r="AD75" s="1317"/>
      <c r="AE75" s="1317"/>
      <c r="AF75" s="1317"/>
      <c r="AG75" s="448"/>
      <c r="AH75" s="448"/>
      <c r="AI75" s="448"/>
      <c r="AJ75" s="448"/>
      <c r="AK75" s="448"/>
      <c r="AL75" s="448"/>
      <c r="AM75" s="448"/>
      <c r="AN75" s="448"/>
      <c r="AO75" s="448"/>
      <c r="AP75" s="448"/>
      <c r="AQ75" s="448"/>
      <c r="AR75" s="448"/>
      <c r="AS75" s="448"/>
      <c r="AT75" s="448"/>
      <c r="AU75" s="448"/>
      <c r="AV75" s="448"/>
      <c r="AW75" s="448"/>
      <c r="AX75" s="448"/>
      <c r="AY75" s="448"/>
      <c r="AZ75" s="448"/>
      <c r="BA75" s="448"/>
    </row>
    <row r="76" spans="1:53" ht="12.75" customHeight="1" x14ac:dyDescent="0.2">
      <c r="A76" s="484" t="str">
        <f>'Kalkulation Herstellungskosten'!B172</f>
        <v>Green Runner</v>
      </c>
      <c r="B76" s="456">
        <f>'Kalkulation Herstellungskosten'!C172</f>
        <v>0</v>
      </c>
      <c r="C76" s="456">
        <f>'Kalkulation Herstellungskosten'!F172</f>
        <v>0</v>
      </c>
      <c r="D76" s="448"/>
      <c r="E76" s="76"/>
      <c r="F76" s="76"/>
      <c r="G76" s="76"/>
      <c r="H76" s="468">
        <f t="shared" ref="H76:H81" si="6">F76*G76</f>
        <v>0</v>
      </c>
      <c r="I76" s="76"/>
      <c r="J76" s="76"/>
      <c r="K76" s="468">
        <f t="shared" ref="K76:K81" si="7">I76*J76</f>
        <v>0</v>
      </c>
      <c r="L76" s="76"/>
      <c r="M76" s="76"/>
      <c r="N76" s="76"/>
      <c r="O76" s="76"/>
      <c r="P76" s="76"/>
      <c r="Q76" s="76"/>
      <c r="R76" s="76"/>
      <c r="S76" s="76"/>
      <c r="T76" s="76"/>
      <c r="U76" s="468">
        <f t="shared" ref="U76:U95" si="8">S76*T76</f>
        <v>0</v>
      </c>
      <c r="V76" s="448"/>
      <c r="W76" s="1317"/>
      <c r="X76" s="1317"/>
      <c r="Y76" s="1317"/>
      <c r="Z76" s="1317"/>
      <c r="AA76" s="1317"/>
      <c r="AB76" s="1317"/>
      <c r="AC76" s="1317"/>
      <c r="AD76" s="1317"/>
      <c r="AE76" s="1317"/>
      <c r="AF76" s="1317"/>
      <c r="AG76" s="448"/>
      <c r="AH76" s="448"/>
      <c r="AI76" s="448"/>
      <c r="AJ76" s="448"/>
      <c r="AK76" s="448"/>
      <c r="AL76" s="448"/>
      <c r="AM76" s="448"/>
      <c r="AN76" s="448"/>
      <c r="AO76" s="448"/>
      <c r="AP76" s="448"/>
      <c r="AQ76" s="448"/>
      <c r="AR76" s="448"/>
      <c r="AS76" s="448"/>
      <c r="AT76" s="448"/>
      <c r="AU76" s="448"/>
      <c r="AV76" s="448"/>
      <c r="AW76" s="448"/>
      <c r="AX76" s="448"/>
      <c r="AY76" s="448"/>
      <c r="AZ76" s="448"/>
      <c r="BA76" s="448"/>
    </row>
    <row r="77" spans="1:53" ht="12.75" customHeight="1" x14ac:dyDescent="0.2">
      <c r="A77" s="484">
        <f>'Kalkulation Herstellungskosten'!B173</f>
        <v>0</v>
      </c>
      <c r="B77" s="456">
        <f>'Kalkulation Herstellungskosten'!C173</f>
        <v>0</v>
      </c>
      <c r="C77" s="456">
        <f>'Kalkulation Herstellungskosten'!F173</f>
        <v>0</v>
      </c>
      <c r="D77" s="448"/>
      <c r="E77" s="76"/>
      <c r="F77" s="76"/>
      <c r="G77" s="76"/>
      <c r="H77" s="468">
        <f t="shared" si="6"/>
        <v>0</v>
      </c>
      <c r="I77" s="76"/>
      <c r="J77" s="76"/>
      <c r="K77" s="468">
        <f t="shared" si="7"/>
        <v>0</v>
      </c>
      <c r="L77" s="76"/>
      <c r="M77" s="76"/>
      <c r="N77" s="76"/>
      <c r="O77" s="76"/>
      <c r="P77" s="76"/>
      <c r="Q77" s="76"/>
      <c r="R77" s="76"/>
      <c r="S77" s="76"/>
      <c r="T77" s="76"/>
      <c r="U77" s="468">
        <f t="shared" si="8"/>
        <v>0</v>
      </c>
      <c r="V77" s="448"/>
      <c r="W77" s="1317"/>
      <c r="X77" s="1317"/>
      <c r="Y77" s="1317"/>
      <c r="Z77" s="1317"/>
      <c r="AA77" s="1317"/>
      <c r="AB77" s="1317"/>
      <c r="AC77" s="1317"/>
      <c r="AD77" s="1317"/>
      <c r="AE77" s="1317"/>
      <c r="AF77" s="1317"/>
      <c r="AG77" s="448"/>
      <c r="AH77" s="448"/>
      <c r="AI77" s="448"/>
      <c r="AJ77" s="448"/>
      <c r="AK77" s="448"/>
      <c r="AL77" s="448"/>
      <c r="AM77" s="448"/>
      <c r="AN77" s="448"/>
      <c r="AO77" s="448"/>
      <c r="AP77" s="448"/>
      <c r="AQ77" s="448"/>
      <c r="AR77" s="448"/>
      <c r="AS77" s="448"/>
      <c r="AT77" s="448"/>
      <c r="AU77" s="448"/>
      <c r="AV77" s="448"/>
      <c r="AW77" s="448"/>
      <c r="AX77" s="448"/>
      <c r="AY77" s="448"/>
      <c r="AZ77" s="448"/>
      <c r="BA77" s="448"/>
    </row>
    <row r="78" spans="1:53" ht="12.75" customHeight="1" x14ac:dyDescent="0.2">
      <c r="A78" s="484">
        <f>'Kalkulation Herstellungskosten'!B174</f>
        <v>0</v>
      </c>
      <c r="B78" s="456">
        <f>'Kalkulation Herstellungskosten'!C174</f>
        <v>0</v>
      </c>
      <c r="C78" s="456">
        <f>'Kalkulation Herstellungskosten'!F174</f>
        <v>0</v>
      </c>
      <c r="D78" s="448"/>
      <c r="E78" s="76"/>
      <c r="F78" s="76"/>
      <c r="G78" s="76"/>
      <c r="H78" s="468">
        <f t="shared" si="6"/>
        <v>0</v>
      </c>
      <c r="I78" s="76"/>
      <c r="J78" s="76"/>
      <c r="K78" s="468">
        <f t="shared" si="7"/>
        <v>0</v>
      </c>
      <c r="L78" s="76"/>
      <c r="M78" s="76"/>
      <c r="N78" s="76"/>
      <c r="O78" s="76"/>
      <c r="P78" s="76"/>
      <c r="Q78" s="76"/>
      <c r="R78" s="76"/>
      <c r="S78" s="76"/>
      <c r="T78" s="76"/>
      <c r="U78" s="468">
        <f t="shared" si="8"/>
        <v>0</v>
      </c>
      <c r="V78" s="448"/>
      <c r="W78" s="1317"/>
      <c r="X78" s="1317"/>
      <c r="Y78" s="1317"/>
      <c r="Z78" s="1317"/>
      <c r="AA78" s="1317"/>
      <c r="AB78" s="1317"/>
      <c r="AC78" s="1317"/>
      <c r="AD78" s="1317"/>
      <c r="AE78" s="1317"/>
      <c r="AF78" s="1317"/>
      <c r="AG78" s="448"/>
      <c r="AH78" s="448"/>
      <c r="AI78" s="448"/>
      <c r="AJ78" s="448"/>
      <c r="AK78" s="448"/>
      <c r="AL78" s="448"/>
      <c r="AM78" s="448"/>
      <c r="AN78" s="448"/>
      <c r="AO78" s="448"/>
      <c r="AP78" s="448"/>
      <c r="AQ78" s="448"/>
      <c r="AR78" s="448"/>
      <c r="AS78" s="448"/>
      <c r="AT78" s="448"/>
      <c r="AU78" s="448"/>
      <c r="AV78" s="448"/>
      <c r="AW78" s="448"/>
      <c r="AX78" s="448"/>
      <c r="AY78" s="448"/>
      <c r="AZ78" s="448"/>
      <c r="BA78" s="448"/>
    </row>
    <row r="79" spans="1:53" ht="12.75" customHeight="1" x14ac:dyDescent="0.2">
      <c r="A79" s="484">
        <f>'Kalkulation Herstellungskosten'!B175</f>
        <v>0</v>
      </c>
      <c r="B79" s="456">
        <f>'Kalkulation Herstellungskosten'!C175</f>
        <v>0</v>
      </c>
      <c r="C79" s="456">
        <f>'Kalkulation Herstellungskosten'!F175</f>
        <v>0</v>
      </c>
      <c r="D79" s="448"/>
      <c r="E79" s="76"/>
      <c r="F79" s="76"/>
      <c r="G79" s="76"/>
      <c r="H79" s="468">
        <f t="shared" si="6"/>
        <v>0</v>
      </c>
      <c r="I79" s="76"/>
      <c r="J79" s="76"/>
      <c r="K79" s="468">
        <f t="shared" si="7"/>
        <v>0</v>
      </c>
      <c r="L79" s="76"/>
      <c r="M79" s="76"/>
      <c r="N79" s="76"/>
      <c r="O79" s="76"/>
      <c r="P79" s="76"/>
      <c r="Q79" s="76"/>
      <c r="R79" s="76"/>
      <c r="S79" s="76"/>
      <c r="T79" s="76"/>
      <c r="U79" s="468">
        <f t="shared" si="8"/>
        <v>0</v>
      </c>
      <c r="V79" s="448"/>
      <c r="W79" s="1317"/>
      <c r="X79" s="1317"/>
      <c r="Y79" s="1317"/>
      <c r="Z79" s="1317"/>
      <c r="AA79" s="1317"/>
      <c r="AB79" s="1317"/>
      <c r="AC79" s="1317"/>
      <c r="AD79" s="1317"/>
      <c r="AE79" s="1317"/>
      <c r="AF79" s="1317"/>
      <c r="AG79" s="448"/>
      <c r="AH79" s="448"/>
      <c r="AI79" s="448"/>
      <c r="AJ79" s="448"/>
      <c r="AK79" s="448"/>
      <c r="AL79" s="448"/>
      <c r="AM79" s="448"/>
      <c r="AN79" s="448"/>
      <c r="AO79" s="448"/>
      <c r="AP79" s="448"/>
      <c r="AQ79" s="448"/>
      <c r="AR79" s="448"/>
      <c r="AS79" s="448"/>
      <c r="AT79" s="448"/>
      <c r="AU79" s="448"/>
      <c r="AV79" s="448"/>
      <c r="AW79" s="448"/>
      <c r="AX79" s="448"/>
      <c r="AY79" s="448"/>
      <c r="AZ79" s="448"/>
      <c r="BA79" s="448"/>
    </row>
    <row r="80" spans="1:53" ht="12.75" customHeight="1" x14ac:dyDescent="0.2">
      <c r="A80" s="484">
        <f>'Kalkulation Herstellungskosten'!B176</f>
        <v>0</v>
      </c>
      <c r="B80" s="456">
        <f>'Kalkulation Herstellungskosten'!C176</f>
        <v>0</v>
      </c>
      <c r="C80" s="456">
        <f>'Kalkulation Herstellungskosten'!F176</f>
        <v>0</v>
      </c>
      <c r="D80" s="448"/>
      <c r="E80" s="76"/>
      <c r="F80" s="76"/>
      <c r="G80" s="76"/>
      <c r="H80" s="468">
        <f t="shared" si="6"/>
        <v>0</v>
      </c>
      <c r="I80" s="76"/>
      <c r="J80" s="76"/>
      <c r="K80" s="468">
        <f t="shared" si="7"/>
        <v>0</v>
      </c>
      <c r="L80" s="76"/>
      <c r="M80" s="76"/>
      <c r="N80" s="76"/>
      <c r="O80" s="76"/>
      <c r="P80" s="76"/>
      <c r="Q80" s="76"/>
      <c r="R80" s="76"/>
      <c r="S80" s="76"/>
      <c r="T80" s="76"/>
      <c r="U80" s="468">
        <f t="shared" si="8"/>
        <v>0</v>
      </c>
      <c r="V80" s="448"/>
      <c r="W80" s="1317"/>
      <c r="X80" s="1317"/>
      <c r="Y80" s="1317"/>
      <c r="Z80" s="1317"/>
      <c r="AA80" s="1317"/>
      <c r="AB80" s="1317"/>
      <c r="AC80" s="1317"/>
      <c r="AD80" s="1317"/>
      <c r="AE80" s="1317"/>
      <c r="AF80" s="1317"/>
      <c r="AG80" s="448"/>
      <c r="AH80" s="448"/>
      <c r="AI80" s="448"/>
      <c r="AJ80" s="448"/>
      <c r="AK80" s="448"/>
      <c r="AL80" s="448"/>
      <c r="AM80" s="448"/>
      <c r="AN80" s="448"/>
      <c r="AO80" s="448"/>
      <c r="AP80" s="448"/>
      <c r="AQ80" s="448"/>
      <c r="AR80" s="448"/>
      <c r="AS80" s="448"/>
      <c r="AT80" s="448"/>
      <c r="AU80" s="448"/>
      <c r="AV80" s="448"/>
      <c r="AW80" s="448"/>
      <c r="AX80" s="448"/>
      <c r="AY80" s="448"/>
      <c r="AZ80" s="448"/>
      <c r="BA80" s="448"/>
    </row>
    <row r="81" spans="1:53" ht="12.75" customHeight="1" x14ac:dyDescent="0.2">
      <c r="A81" s="484">
        <f>'Kalkulation Herstellungskosten'!B177</f>
        <v>0</v>
      </c>
      <c r="B81" s="456">
        <f>'Kalkulation Herstellungskosten'!C177</f>
        <v>0</v>
      </c>
      <c r="C81" s="456">
        <f>'Kalkulation Herstellungskosten'!F177</f>
        <v>0</v>
      </c>
      <c r="D81" s="448"/>
      <c r="E81" s="76"/>
      <c r="F81" s="76"/>
      <c r="G81" s="76"/>
      <c r="H81" s="468">
        <f t="shared" si="6"/>
        <v>0</v>
      </c>
      <c r="I81" s="76"/>
      <c r="J81" s="76"/>
      <c r="K81" s="468">
        <f t="shared" si="7"/>
        <v>0</v>
      </c>
      <c r="L81" s="76"/>
      <c r="M81" s="76"/>
      <c r="N81" s="76"/>
      <c r="O81" s="76"/>
      <c r="P81" s="76"/>
      <c r="Q81" s="76"/>
      <c r="R81" s="76"/>
      <c r="S81" s="76"/>
      <c r="T81" s="76"/>
      <c r="U81" s="468">
        <f t="shared" si="8"/>
        <v>0</v>
      </c>
      <c r="V81" s="448"/>
      <c r="W81" s="1317"/>
      <c r="X81" s="1317"/>
      <c r="Y81" s="1317"/>
      <c r="Z81" s="1317"/>
      <c r="AA81" s="1317"/>
      <c r="AB81" s="1317"/>
      <c r="AC81" s="1317"/>
      <c r="AD81" s="1317"/>
      <c r="AE81" s="1317"/>
      <c r="AF81" s="1317"/>
      <c r="AG81" s="448"/>
      <c r="AH81" s="448"/>
      <c r="AI81" s="448"/>
      <c r="AJ81" s="448"/>
      <c r="AK81" s="448"/>
      <c r="AL81" s="448"/>
      <c r="AM81" s="448"/>
      <c r="AN81" s="448"/>
      <c r="AO81" s="448"/>
      <c r="AP81" s="448"/>
      <c r="AQ81" s="448"/>
      <c r="AR81" s="448"/>
      <c r="AS81" s="448"/>
      <c r="AT81" s="448"/>
      <c r="AU81" s="448"/>
      <c r="AV81" s="448"/>
      <c r="AW81" s="448"/>
      <c r="AX81" s="448"/>
      <c r="AY81" s="448"/>
      <c r="AZ81" s="448"/>
      <c r="BA81" s="448"/>
    </row>
    <row r="82" spans="1:53" ht="12.75" customHeight="1" x14ac:dyDescent="0.2">
      <c r="A82" s="484">
        <f>'Kalkulation Herstellungskosten'!B178</f>
        <v>0</v>
      </c>
      <c r="B82" s="456">
        <f>'Kalkulation Herstellungskosten'!C178</f>
        <v>0</v>
      </c>
      <c r="C82" s="456">
        <f>'Kalkulation Herstellungskosten'!F178</f>
        <v>0</v>
      </c>
      <c r="D82" s="448"/>
      <c r="E82" s="76"/>
      <c r="F82" s="76"/>
      <c r="G82" s="76"/>
      <c r="H82" s="468">
        <f>F82*G82</f>
        <v>0</v>
      </c>
      <c r="I82" s="76"/>
      <c r="J82" s="76"/>
      <c r="K82" s="468">
        <f>I82*J82</f>
        <v>0</v>
      </c>
      <c r="L82" s="76"/>
      <c r="M82" s="76"/>
      <c r="N82" s="76"/>
      <c r="O82" s="76"/>
      <c r="P82" s="76"/>
      <c r="Q82" s="76"/>
      <c r="R82" s="76"/>
      <c r="S82" s="76"/>
      <c r="T82" s="76"/>
      <c r="U82" s="468">
        <f t="shared" si="8"/>
        <v>0</v>
      </c>
      <c r="V82" s="448"/>
      <c r="W82" s="1317"/>
      <c r="X82" s="1317"/>
      <c r="Y82" s="1317"/>
      <c r="Z82" s="1317"/>
      <c r="AA82" s="1317"/>
      <c r="AB82" s="1317"/>
      <c r="AC82" s="1317"/>
      <c r="AD82" s="1317"/>
      <c r="AE82" s="1317"/>
      <c r="AF82" s="1317"/>
      <c r="AG82" s="448"/>
      <c r="AH82" s="448"/>
      <c r="AI82" s="448"/>
      <c r="AJ82" s="448"/>
      <c r="AK82" s="448"/>
      <c r="AL82" s="448"/>
      <c r="AM82" s="448"/>
      <c r="AN82" s="448"/>
      <c r="AO82" s="448"/>
      <c r="AP82" s="448"/>
      <c r="AQ82" s="448"/>
      <c r="AR82" s="448"/>
      <c r="AS82" s="448"/>
      <c r="AT82" s="448"/>
      <c r="AU82" s="448"/>
      <c r="AV82" s="448"/>
      <c r="AW82" s="448"/>
      <c r="AX82" s="448"/>
      <c r="AY82" s="448"/>
      <c r="AZ82" s="448"/>
      <c r="BA82" s="448"/>
    </row>
    <row r="83" spans="1:53" ht="12.75" customHeight="1" x14ac:dyDescent="0.2">
      <c r="A83" s="484">
        <f>'Kalkulation Herstellungskosten'!B179</f>
        <v>0</v>
      </c>
      <c r="B83" s="456">
        <f>'Kalkulation Herstellungskosten'!C179</f>
        <v>0</v>
      </c>
      <c r="C83" s="456">
        <f>'Kalkulation Herstellungskosten'!F179</f>
        <v>0</v>
      </c>
      <c r="D83" s="448"/>
      <c r="E83" s="76"/>
      <c r="F83" s="76"/>
      <c r="G83" s="76"/>
      <c r="H83" s="468">
        <f>F83*G83</f>
        <v>0</v>
      </c>
      <c r="I83" s="76"/>
      <c r="J83" s="76"/>
      <c r="K83" s="468">
        <f>I83*J83</f>
        <v>0</v>
      </c>
      <c r="L83" s="76"/>
      <c r="M83" s="76"/>
      <c r="N83" s="76"/>
      <c r="O83" s="76"/>
      <c r="P83" s="76"/>
      <c r="Q83" s="76"/>
      <c r="R83" s="76"/>
      <c r="S83" s="76"/>
      <c r="T83" s="76"/>
      <c r="U83" s="468">
        <f t="shared" si="8"/>
        <v>0</v>
      </c>
      <c r="V83" s="448"/>
      <c r="W83" s="1317"/>
      <c r="X83" s="1317"/>
      <c r="Y83" s="1317"/>
      <c r="Z83" s="1317"/>
      <c r="AA83" s="1317"/>
      <c r="AB83" s="1317"/>
      <c r="AC83" s="1317"/>
      <c r="AD83" s="1317"/>
      <c r="AE83" s="1317"/>
      <c r="AF83" s="1317"/>
      <c r="AG83" s="448"/>
      <c r="AH83" s="448"/>
      <c r="AI83" s="448"/>
      <c r="AJ83" s="448"/>
      <c r="AK83" s="448"/>
      <c r="AL83" s="448"/>
      <c r="AM83" s="448"/>
      <c r="AN83" s="448"/>
      <c r="AO83" s="448"/>
      <c r="AP83" s="448"/>
      <c r="AQ83" s="448"/>
      <c r="AR83" s="448"/>
      <c r="AS83" s="448"/>
      <c r="AT83" s="448"/>
      <c r="AU83" s="448"/>
      <c r="AV83" s="448"/>
      <c r="AW83" s="448"/>
      <c r="AX83" s="448"/>
      <c r="AY83" s="448"/>
      <c r="AZ83" s="448"/>
      <c r="BA83" s="448"/>
    </row>
    <row r="84" spans="1:53" ht="12.75" customHeight="1" x14ac:dyDescent="0.2">
      <c r="A84" s="484">
        <f>'Kalkulation Herstellungskosten'!B180</f>
        <v>0</v>
      </c>
      <c r="B84" s="456">
        <f>'Kalkulation Herstellungskosten'!C180</f>
        <v>0</v>
      </c>
      <c r="C84" s="456">
        <f>'Kalkulation Herstellungskosten'!F180</f>
        <v>0</v>
      </c>
      <c r="D84" s="448"/>
      <c r="E84" s="76"/>
      <c r="F84" s="76"/>
      <c r="G84" s="76"/>
      <c r="H84" s="468">
        <f>F84*G84</f>
        <v>0</v>
      </c>
      <c r="I84" s="76"/>
      <c r="J84" s="76"/>
      <c r="K84" s="468">
        <f>I84*J84</f>
        <v>0</v>
      </c>
      <c r="L84" s="76"/>
      <c r="M84" s="76"/>
      <c r="N84" s="76"/>
      <c r="O84" s="76"/>
      <c r="P84" s="76"/>
      <c r="Q84" s="76"/>
      <c r="R84" s="76"/>
      <c r="S84" s="76"/>
      <c r="T84" s="76"/>
      <c r="U84" s="468">
        <f t="shared" si="8"/>
        <v>0</v>
      </c>
      <c r="V84" s="448"/>
      <c r="W84" s="1317"/>
      <c r="X84" s="1317"/>
      <c r="Y84" s="1317"/>
      <c r="Z84" s="1317"/>
      <c r="AA84" s="1317"/>
      <c r="AB84" s="1317"/>
      <c r="AC84" s="1317"/>
      <c r="AD84" s="1317"/>
      <c r="AE84" s="1317"/>
      <c r="AF84" s="1317"/>
      <c r="AG84" s="448"/>
      <c r="AH84" s="448"/>
      <c r="AI84" s="448"/>
      <c r="AJ84" s="448"/>
      <c r="AK84" s="448"/>
      <c r="AL84" s="448"/>
      <c r="AM84" s="448"/>
      <c r="AN84" s="448"/>
      <c r="AO84" s="448"/>
      <c r="AP84" s="448"/>
      <c r="AQ84" s="448"/>
      <c r="AR84" s="448"/>
      <c r="AS84" s="448"/>
      <c r="AT84" s="448"/>
      <c r="AU84" s="448"/>
      <c r="AV84" s="448"/>
      <c r="AW84" s="448"/>
      <c r="AX84" s="448"/>
      <c r="AY84" s="448"/>
      <c r="AZ84" s="448"/>
      <c r="BA84" s="448"/>
    </row>
    <row r="85" spans="1:53" ht="12.75" customHeight="1" x14ac:dyDescent="0.2">
      <c r="A85" s="484">
        <f>'Kalkulation Herstellungskosten'!B181</f>
        <v>0</v>
      </c>
      <c r="B85" s="456">
        <f>'Kalkulation Herstellungskosten'!C181</f>
        <v>0</v>
      </c>
      <c r="C85" s="456">
        <f>'Kalkulation Herstellungskosten'!F181</f>
        <v>0</v>
      </c>
      <c r="D85" s="448"/>
      <c r="E85" s="76"/>
      <c r="F85" s="76"/>
      <c r="G85" s="76"/>
      <c r="H85" s="468">
        <f t="shared" ref="H85:H95" si="9">F85*G85</f>
        <v>0</v>
      </c>
      <c r="I85" s="76"/>
      <c r="J85" s="76"/>
      <c r="K85" s="468">
        <f t="shared" ref="K85:K95" si="10">I85*J85</f>
        <v>0</v>
      </c>
      <c r="L85" s="76"/>
      <c r="M85" s="76"/>
      <c r="N85" s="76"/>
      <c r="O85" s="76"/>
      <c r="P85" s="76"/>
      <c r="Q85" s="76"/>
      <c r="R85" s="76"/>
      <c r="S85" s="76"/>
      <c r="T85" s="76"/>
      <c r="U85" s="468">
        <f t="shared" si="8"/>
        <v>0</v>
      </c>
      <c r="V85" s="448"/>
      <c r="W85" s="1317"/>
      <c r="X85" s="1317"/>
      <c r="Y85" s="1317"/>
      <c r="Z85" s="1317"/>
      <c r="AA85" s="1317"/>
      <c r="AB85" s="1317"/>
      <c r="AC85" s="1317"/>
      <c r="AD85" s="1317"/>
      <c r="AE85" s="1317"/>
      <c r="AF85" s="1317"/>
      <c r="AG85" s="448"/>
      <c r="AH85" s="448"/>
      <c r="AI85" s="448"/>
      <c r="AJ85" s="448"/>
      <c r="AK85" s="448"/>
      <c r="AL85" s="448"/>
      <c r="AM85" s="448"/>
      <c r="AN85" s="448"/>
      <c r="AO85" s="448"/>
      <c r="AP85" s="448"/>
      <c r="AQ85" s="448"/>
      <c r="AR85" s="448"/>
      <c r="AS85" s="448"/>
      <c r="AT85" s="448"/>
      <c r="AU85" s="448"/>
      <c r="AV85" s="448"/>
      <c r="AW85" s="448"/>
      <c r="AX85" s="448"/>
      <c r="AY85" s="448"/>
      <c r="AZ85" s="448"/>
      <c r="BA85" s="448"/>
    </row>
    <row r="86" spans="1:53" ht="12.75" customHeight="1" x14ac:dyDescent="0.2">
      <c r="A86" s="484">
        <f>'Kalkulation Herstellungskosten'!B182</f>
        <v>0</v>
      </c>
      <c r="B86" s="456">
        <f>'Kalkulation Herstellungskosten'!C182</f>
        <v>0</v>
      </c>
      <c r="C86" s="456">
        <f>'Kalkulation Herstellungskosten'!F182</f>
        <v>0</v>
      </c>
      <c r="D86" s="448"/>
      <c r="E86" s="76"/>
      <c r="F86" s="76"/>
      <c r="G86" s="76"/>
      <c r="H86" s="468">
        <f t="shared" si="9"/>
        <v>0</v>
      </c>
      <c r="I86" s="76"/>
      <c r="J86" s="76"/>
      <c r="K86" s="468">
        <f t="shared" si="10"/>
        <v>0</v>
      </c>
      <c r="L86" s="76"/>
      <c r="M86" s="76"/>
      <c r="N86" s="76"/>
      <c r="O86" s="76"/>
      <c r="P86" s="76"/>
      <c r="Q86" s="76"/>
      <c r="R86" s="76"/>
      <c r="S86" s="76"/>
      <c r="T86" s="76"/>
      <c r="U86" s="468">
        <f t="shared" si="8"/>
        <v>0</v>
      </c>
      <c r="V86" s="448"/>
      <c r="W86" s="1317"/>
      <c r="X86" s="1317"/>
      <c r="Y86" s="1317"/>
      <c r="Z86" s="1317"/>
      <c r="AA86" s="1317"/>
      <c r="AB86" s="1317"/>
      <c r="AC86" s="1317"/>
      <c r="AD86" s="1317"/>
      <c r="AE86" s="1317"/>
      <c r="AF86" s="1317"/>
      <c r="AG86" s="448"/>
      <c r="AH86" s="448"/>
      <c r="AI86" s="448"/>
      <c r="AJ86" s="448"/>
      <c r="AK86" s="448"/>
      <c r="AL86" s="448"/>
      <c r="AM86" s="448"/>
      <c r="AN86" s="448"/>
      <c r="AO86" s="448"/>
      <c r="AP86" s="448"/>
      <c r="AQ86" s="448"/>
      <c r="AR86" s="448"/>
      <c r="AS86" s="448"/>
      <c r="AT86" s="448"/>
      <c r="AU86" s="448"/>
      <c r="AV86" s="448"/>
      <c r="AW86" s="448"/>
      <c r="AX86" s="448"/>
      <c r="AY86" s="448"/>
      <c r="AZ86" s="448"/>
      <c r="BA86" s="448"/>
    </row>
    <row r="87" spans="1:53" ht="12.75" customHeight="1" x14ac:dyDescent="0.2">
      <c r="A87" s="484">
        <f>'Kalkulation Herstellungskosten'!B183</f>
        <v>0</v>
      </c>
      <c r="B87" s="456">
        <f>'Kalkulation Herstellungskosten'!C183</f>
        <v>0</v>
      </c>
      <c r="C87" s="456">
        <f>'Kalkulation Herstellungskosten'!F183</f>
        <v>0</v>
      </c>
      <c r="D87" s="448"/>
      <c r="E87" s="76"/>
      <c r="F87" s="76"/>
      <c r="G87" s="76"/>
      <c r="H87" s="468">
        <f t="shared" si="9"/>
        <v>0</v>
      </c>
      <c r="I87" s="76"/>
      <c r="J87" s="76"/>
      <c r="K87" s="468">
        <f t="shared" si="10"/>
        <v>0</v>
      </c>
      <c r="L87" s="76"/>
      <c r="M87" s="76"/>
      <c r="N87" s="76"/>
      <c r="O87" s="76"/>
      <c r="P87" s="76"/>
      <c r="Q87" s="76"/>
      <c r="R87" s="76"/>
      <c r="S87" s="76"/>
      <c r="T87" s="76"/>
      <c r="U87" s="468">
        <f t="shared" si="8"/>
        <v>0</v>
      </c>
      <c r="V87" s="448"/>
      <c r="W87" s="1317"/>
      <c r="X87" s="1317"/>
      <c r="Y87" s="1317"/>
      <c r="Z87" s="1317"/>
      <c r="AA87" s="1317"/>
      <c r="AB87" s="1317"/>
      <c r="AC87" s="1317"/>
      <c r="AD87" s="1317"/>
      <c r="AE87" s="1317"/>
      <c r="AF87" s="1317"/>
      <c r="AG87" s="448"/>
      <c r="AH87" s="448"/>
      <c r="AI87" s="448"/>
      <c r="AJ87" s="448"/>
      <c r="AK87" s="448"/>
      <c r="AL87" s="448"/>
      <c r="AM87" s="448"/>
      <c r="AN87" s="448"/>
      <c r="AO87" s="448"/>
      <c r="AP87" s="448"/>
      <c r="AQ87" s="448"/>
      <c r="AR87" s="448"/>
      <c r="AS87" s="448"/>
      <c r="AT87" s="448"/>
      <c r="AU87" s="448"/>
      <c r="AV87" s="448"/>
      <c r="AW87" s="448"/>
      <c r="AX87" s="448"/>
      <c r="AY87" s="448"/>
      <c r="AZ87" s="448"/>
      <c r="BA87" s="448"/>
    </row>
    <row r="88" spans="1:53" ht="12.75" customHeight="1" x14ac:dyDescent="0.2">
      <c r="A88" s="484">
        <f>'Kalkulation Herstellungskosten'!B184</f>
        <v>0</v>
      </c>
      <c r="B88" s="456">
        <f>'Kalkulation Herstellungskosten'!C184</f>
        <v>0</v>
      </c>
      <c r="C88" s="456">
        <f>'Kalkulation Herstellungskosten'!F184</f>
        <v>0</v>
      </c>
      <c r="D88" s="448"/>
      <c r="E88" s="76"/>
      <c r="F88" s="76"/>
      <c r="G88" s="76"/>
      <c r="H88" s="468">
        <f t="shared" si="9"/>
        <v>0</v>
      </c>
      <c r="I88" s="76"/>
      <c r="J88" s="76"/>
      <c r="K88" s="468">
        <f t="shared" si="10"/>
        <v>0</v>
      </c>
      <c r="L88" s="76"/>
      <c r="M88" s="76"/>
      <c r="N88" s="76"/>
      <c r="O88" s="76"/>
      <c r="P88" s="76"/>
      <c r="Q88" s="76"/>
      <c r="R88" s="76"/>
      <c r="S88" s="76"/>
      <c r="T88" s="76"/>
      <c r="U88" s="468">
        <f t="shared" si="8"/>
        <v>0</v>
      </c>
      <c r="V88" s="448"/>
      <c r="W88" s="1317"/>
      <c r="X88" s="1317"/>
      <c r="Y88" s="1317"/>
      <c r="Z88" s="1317"/>
      <c r="AA88" s="1317"/>
      <c r="AB88" s="1317"/>
      <c r="AC88" s="1317"/>
      <c r="AD88" s="1317"/>
      <c r="AE88" s="1317"/>
      <c r="AF88" s="1317"/>
      <c r="AG88" s="448"/>
      <c r="AH88" s="448"/>
      <c r="AI88" s="448"/>
      <c r="AJ88" s="448"/>
      <c r="AK88" s="448"/>
      <c r="AL88" s="448"/>
      <c r="AM88" s="448"/>
      <c r="AN88" s="448"/>
      <c r="AO88" s="448"/>
      <c r="AP88" s="448"/>
      <c r="AQ88" s="448"/>
      <c r="AR88" s="448"/>
      <c r="AS88" s="448"/>
      <c r="AT88" s="448"/>
      <c r="AU88" s="448"/>
      <c r="AV88" s="448"/>
      <c r="AW88" s="448"/>
      <c r="AX88" s="448"/>
      <c r="AY88" s="448"/>
      <c r="AZ88" s="448"/>
      <c r="BA88" s="448"/>
    </row>
    <row r="89" spans="1:53" ht="12.75" customHeight="1" x14ac:dyDescent="0.2">
      <c r="A89" s="484">
        <f>'Kalkulation Herstellungskosten'!B185</f>
        <v>0</v>
      </c>
      <c r="B89" s="456">
        <f>'Kalkulation Herstellungskosten'!C185</f>
        <v>0</v>
      </c>
      <c r="C89" s="456">
        <f>'Kalkulation Herstellungskosten'!F185</f>
        <v>0</v>
      </c>
      <c r="D89" s="448"/>
      <c r="E89" s="76"/>
      <c r="F89" s="76"/>
      <c r="G89" s="76"/>
      <c r="H89" s="468">
        <f t="shared" si="9"/>
        <v>0</v>
      </c>
      <c r="I89" s="76"/>
      <c r="J89" s="76"/>
      <c r="K89" s="468">
        <f t="shared" si="10"/>
        <v>0</v>
      </c>
      <c r="L89" s="76"/>
      <c r="M89" s="76"/>
      <c r="N89" s="76"/>
      <c r="O89" s="76"/>
      <c r="P89" s="76"/>
      <c r="Q89" s="76"/>
      <c r="R89" s="76"/>
      <c r="S89" s="76"/>
      <c r="T89" s="76"/>
      <c r="U89" s="468">
        <f t="shared" si="8"/>
        <v>0</v>
      </c>
      <c r="V89" s="448"/>
      <c r="W89" s="1317"/>
      <c r="X89" s="1317"/>
      <c r="Y89" s="1317"/>
      <c r="Z89" s="1317"/>
      <c r="AA89" s="1317"/>
      <c r="AB89" s="1317"/>
      <c r="AC89" s="1317"/>
      <c r="AD89" s="1317"/>
      <c r="AE89" s="1317"/>
      <c r="AF89" s="1317"/>
      <c r="AG89" s="448"/>
      <c r="AH89" s="448"/>
      <c r="AI89" s="448"/>
      <c r="AJ89" s="448"/>
      <c r="AK89" s="448"/>
      <c r="AL89" s="448"/>
      <c r="AM89" s="448"/>
      <c r="AN89" s="448"/>
      <c r="AO89" s="448"/>
      <c r="AP89" s="448"/>
      <c r="AQ89" s="448"/>
      <c r="AR89" s="448"/>
      <c r="AS89" s="448"/>
      <c r="AT89" s="448"/>
      <c r="AU89" s="448"/>
      <c r="AV89" s="448"/>
      <c r="AW89" s="448"/>
      <c r="AX89" s="448"/>
      <c r="AY89" s="448"/>
      <c r="AZ89" s="448"/>
      <c r="BA89" s="448"/>
    </row>
    <row r="90" spans="1:53" ht="12.75" customHeight="1" x14ac:dyDescent="0.2">
      <c r="A90" s="484">
        <f>'Kalkulation Herstellungskosten'!B186</f>
        <v>0</v>
      </c>
      <c r="B90" s="456">
        <f>'Kalkulation Herstellungskosten'!C186</f>
        <v>0</v>
      </c>
      <c r="C90" s="456">
        <f>'Kalkulation Herstellungskosten'!F186</f>
        <v>0</v>
      </c>
      <c r="D90" s="448"/>
      <c r="E90" s="76"/>
      <c r="F90" s="76"/>
      <c r="G90" s="76"/>
      <c r="H90" s="468">
        <f t="shared" si="9"/>
        <v>0</v>
      </c>
      <c r="I90" s="76"/>
      <c r="J90" s="76"/>
      <c r="K90" s="468">
        <f t="shared" si="10"/>
        <v>0</v>
      </c>
      <c r="L90" s="76"/>
      <c r="M90" s="76"/>
      <c r="N90" s="76"/>
      <c r="O90" s="76"/>
      <c r="P90" s="76"/>
      <c r="Q90" s="76"/>
      <c r="R90" s="76"/>
      <c r="S90" s="76"/>
      <c r="T90" s="76"/>
      <c r="U90" s="468">
        <f t="shared" si="8"/>
        <v>0</v>
      </c>
      <c r="V90" s="448"/>
      <c r="W90" s="1317"/>
      <c r="X90" s="1317"/>
      <c r="Y90" s="1317"/>
      <c r="Z90" s="1317"/>
      <c r="AA90" s="1317"/>
      <c r="AB90" s="1317"/>
      <c r="AC90" s="1317"/>
      <c r="AD90" s="1317"/>
      <c r="AE90" s="1317"/>
      <c r="AF90" s="1317"/>
      <c r="AG90" s="448"/>
      <c r="AH90" s="448"/>
      <c r="AI90" s="448"/>
      <c r="AJ90" s="448"/>
      <c r="AK90" s="448"/>
      <c r="AL90" s="448"/>
      <c r="AM90" s="448"/>
      <c r="AN90" s="448"/>
      <c r="AO90" s="448"/>
      <c r="AP90" s="448"/>
      <c r="AQ90" s="448"/>
      <c r="AR90" s="448"/>
      <c r="AS90" s="448"/>
      <c r="AT90" s="448"/>
      <c r="AU90" s="448"/>
      <c r="AV90" s="448"/>
      <c r="AW90" s="448"/>
      <c r="AX90" s="448"/>
      <c r="AY90" s="448"/>
      <c r="AZ90" s="448"/>
      <c r="BA90" s="448"/>
    </row>
    <row r="91" spans="1:53" ht="12.75" customHeight="1" x14ac:dyDescent="0.2">
      <c r="A91" s="484">
        <f>'Kalkulation Herstellungskosten'!B187</f>
        <v>0</v>
      </c>
      <c r="B91" s="456">
        <f>'Kalkulation Herstellungskosten'!C187</f>
        <v>0</v>
      </c>
      <c r="C91" s="456">
        <f>'Kalkulation Herstellungskosten'!F187</f>
        <v>0</v>
      </c>
      <c r="D91" s="448"/>
      <c r="E91" s="76"/>
      <c r="F91" s="76"/>
      <c r="G91" s="76"/>
      <c r="H91" s="468">
        <f t="shared" si="9"/>
        <v>0</v>
      </c>
      <c r="I91" s="76"/>
      <c r="J91" s="76"/>
      <c r="K91" s="468">
        <f t="shared" si="10"/>
        <v>0</v>
      </c>
      <c r="L91" s="76"/>
      <c r="M91" s="76"/>
      <c r="N91" s="76"/>
      <c r="O91" s="76"/>
      <c r="P91" s="76"/>
      <c r="Q91" s="76"/>
      <c r="R91" s="76"/>
      <c r="S91" s="76"/>
      <c r="T91" s="76"/>
      <c r="U91" s="468">
        <f t="shared" si="8"/>
        <v>0</v>
      </c>
      <c r="V91" s="448"/>
      <c r="W91" s="1317"/>
      <c r="X91" s="1317"/>
      <c r="Y91" s="1317"/>
      <c r="Z91" s="1317"/>
      <c r="AA91" s="1317"/>
      <c r="AB91" s="1317"/>
      <c r="AC91" s="1317"/>
      <c r="AD91" s="1317"/>
      <c r="AE91" s="1317"/>
      <c r="AF91" s="1317"/>
      <c r="AG91" s="448"/>
      <c r="AH91" s="448"/>
      <c r="AI91" s="448"/>
      <c r="AJ91" s="448"/>
      <c r="AK91" s="448"/>
      <c r="AL91" s="448"/>
      <c r="AM91" s="448"/>
      <c r="AN91" s="448"/>
      <c r="AO91" s="448"/>
      <c r="AP91" s="448"/>
      <c r="AQ91" s="448"/>
      <c r="AR91" s="448"/>
      <c r="AS91" s="448"/>
      <c r="AT91" s="448"/>
      <c r="AU91" s="448"/>
      <c r="AV91" s="448"/>
      <c r="AW91" s="448"/>
      <c r="AX91" s="448"/>
      <c r="AY91" s="448"/>
      <c r="AZ91" s="448"/>
      <c r="BA91" s="448"/>
    </row>
    <row r="92" spans="1:53" ht="12.75" customHeight="1" x14ac:dyDescent="0.2">
      <c r="A92" s="484">
        <f>'Kalkulation Herstellungskosten'!B188</f>
        <v>0</v>
      </c>
      <c r="B92" s="456">
        <f>'Kalkulation Herstellungskosten'!C188</f>
        <v>0</v>
      </c>
      <c r="C92" s="456">
        <f>'Kalkulation Herstellungskosten'!F188</f>
        <v>0</v>
      </c>
      <c r="D92" s="448"/>
      <c r="E92" s="76"/>
      <c r="F92" s="76"/>
      <c r="G92" s="76"/>
      <c r="H92" s="468">
        <f t="shared" si="9"/>
        <v>0</v>
      </c>
      <c r="I92" s="76"/>
      <c r="J92" s="76"/>
      <c r="K92" s="468">
        <f t="shared" si="10"/>
        <v>0</v>
      </c>
      <c r="L92" s="76"/>
      <c r="M92" s="76"/>
      <c r="N92" s="76"/>
      <c r="O92" s="76"/>
      <c r="P92" s="76"/>
      <c r="Q92" s="76"/>
      <c r="R92" s="76"/>
      <c r="S92" s="76"/>
      <c r="T92" s="76"/>
      <c r="U92" s="468">
        <f t="shared" si="8"/>
        <v>0</v>
      </c>
      <c r="V92" s="448"/>
      <c r="W92" s="1317"/>
      <c r="X92" s="1317"/>
      <c r="Y92" s="1317"/>
      <c r="Z92" s="1317"/>
      <c r="AA92" s="1317"/>
      <c r="AB92" s="1317"/>
      <c r="AC92" s="1317"/>
      <c r="AD92" s="1317"/>
      <c r="AE92" s="1317"/>
      <c r="AF92" s="1317"/>
      <c r="AG92" s="448"/>
      <c r="AH92" s="448"/>
      <c r="AI92" s="448"/>
      <c r="AJ92" s="448"/>
      <c r="AK92" s="448"/>
      <c r="AL92" s="448"/>
      <c r="AM92" s="448"/>
      <c r="AN92" s="448"/>
      <c r="AO92" s="448"/>
      <c r="AP92" s="448"/>
      <c r="AQ92" s="448"/>
      <c r="AR92" s="448"/>
      <c r="AS92" s="448"/>
      <c r="AT92" s="448"/>
      <c r="AU92" s="448"/>
      <c r="AV92" s="448"/>
      <c r="AW92" s="448"/>
      <c r="AX92" s="448"/>
      <c r="AY92" s="448"/>
      <c r="AZ92" s="448"/>
      <c r="BA92" s="448"/>
    </row>
    <row r="93" spans="1:53" ht="12.75" customHeight="1" x14ac:dyDescent="0.2">
      <c r="A93" s="484">
        <f>'Kalkulation Herstellungskosten'!B189</f>
        <v>0</v>
      </c>
      <c r="B93" s="456">
        <f>'Kalkulation Herstellungskosten'!C189</f>
        <v>0</v>
      </c>
      <c r="C93" s="456">
        <f>'Kalkulation Herstellungskosten'!F189</f>
        <v>0</v>
      </c>
      <c r="D93" s="448"/>
      <c r="E93" s="76"/>
      <c r="F93" s="76"/>
      <c r="G93" s="76"/>
      <c r="H93" s="468">
        <f t="shared" si="9"/>
        <v>0</v>
      </c>
      <c r="I93" s="76"/>
      <c r="J93" s="76"/>
      <c r="K93" s="468">
        <f t="shared" si="10"/>
        <v>0</v>
      </c>
      <c r="L93" s="76"/>
      <c r="M93" s="76"/>
      <c r="N93" s="76"/>
      <c r="O93" s="76"/>
      <c r="P93" s="76"/>
      <c r="Q93" s="76"/>
      <c r="R93" s="76"/>
      <c r="S93" s="76"/>
      <c r="T93" s="76"/>
      <c r="U93" s="468">
        <f t="shared" si="8"/>
        <v>0</v>
      </c>
      <c r="V93" s="448"/>
      <c r="W93" s="1317"/>
      <c r="X93" s="1317"/>
      <c r="Y93" s="1317"/>
      <c r="Z93" s="1317"/>
      <c r="AA93" s="1317"/>
      <c r="AB93" s="1317"/>
      <c r="AC93" s="1317"/>
      <c r="AD93" s="1317"/>
      <c r="AE93" s="1317"/>
      <c r="AF93" s="1317"/>
      <c r="AG93" s="448"/>
      <c r="AH93" s="448"/>
      <c r="AI93" s="448"/>
      <c r="AJ93" s="448"/>
      <c r="AK93" s="448"/>
      <c r="AL93" s="448"/>
      <c r="AM93" s="448"/>
      <c r="AN93" s="448"/>
      <c r="AO93" s="448"/>
      <c r="AP93" s="448"/>
      <c r="AQ93" s="448"/>
      <c r="AR93" s="448"/>
      <c r="AS93" s="448"/>
      <c r="AT93" s="448"/>
      <c r="AU93" s="448"/>
      <c r="AV93" s="448"/>
      <c r="AW93" s="448"/>
      <c r="AX93" s="448"/>
      <c r="AY93" s="448"/>
      <c r="AZ93" s="448"/>
      <c r="BA93" s="448"/>
    </row>
    <row r="94" spans="1:53" ht="12.75" customHeight="1" x14ac:dyDescent="0.2">
      <c r="A94" s="484">
        <f>'Kalkulation Herstellungskosten'!B190</f>
        <v>0</v>
      </c>
      <c r="B94" s="456">
        <f>'Kalkulation Herstellungskosten'!C190</f>
        <v>0</v>
      </c>
      <c r="C94" s="456">
        <f>'Kalkulation Herstellungskosten'!F190</f>
        <v>0</v>
      </c>
      <c r="D94" s="448"/>
      <c r="E94" s="76"/>
      <c r="F94" s="76"/>
      <c r="G94" s="76"/>
      <c r="H94" s="468">
        <f t="shared" si="9"/>
        <v>0</v>
      </c>
      <c r="I94" s="76"/>
      <c r="J94" s="76"/>
      <c r="K94" s="468">
        <f t="shared" si="10"/>
        <v>0</v>
      </c>
      <c r="L94" s="76"/>
      <c r="M94" s="76"/>
      <c r="N94" s="76"/>
      <c r="O94" s="76"/>
      <c r="P94" s="76"/>
      <c r="Q94" s="76"/>
      <c r="R94" s="76"/>
      <c r="S94" s="76"/>
      <c r="T94" s="76"/>
      <c r="U94" s="468">
        <f t="shared" si="8"/>
        <v>0</v>
      </c>
      <c r="V94" s="448"/>
      <c r="W94" s="1317"/>
      <c r="X94" s="1317"/>
      <c r="Y94" s="1317"/>
      <c r="Z94" s="1317"/>
      <c r="AA94" s="1317"/>
      <c r="AB94" s="1317"/>
      <c r="AC94" s="1317"/>
      <c r="AD94" s="1317"/>
      <c r="AE94" s="1317"/>
      <c r="AF94" s="1317"/>
      <c r="AG94" s="448"/>
      <c r="AH94" s="448"/>
      <c r="AI94" s="448"/>
      <c r="AJ94" s="448"/>
      <c r="AK94" s="448"/>
      <c r="AL94" s="448"/>
      <c r="AM94" s="448"/>
      <c r="AN94" s="448"/>
      <c r="AO94" s="448"/>
      <c r="AP94" s="448"/>
      <c r="AQ94" s="448"/>
      <c r="AR94" s="448"/>
      <c r="AS94" s="448"/>
      <c r="AT94" s="448"/>
      <c r="AU94" s="448"/>
      <c r="AV94" s="448"/>
      <c r="AW94" s="448"/>
      <c r="AX94" s="448"/>
      <c r="AY94" s="448"/>
      <c r="AZ94" s="448"/>
      <c r="BA94" s="448"/>
    </row>
    <row r="95" spans="1:53" ht="12.75" customHeight="1" x14ac:dyDescent="0.2">
      <c r="A95" s="484">
        <f>'Kalkulation Herstellungskosten'!B191</f>
        <v>0</v>
      </c>
      <c r="B95" s="456">
        <f>'Kalkulation Herstellungskosten'!C191</f>
        <v>0</v>
      </c>
      <c r="C95" s="456">
        <f>'Kalkulation Herstellungskosten'!F191</f>
        <v>0</v>
      </c>
      <c r="D95" s="448"/>
      <c r="E95" s="76"/>
      <c r="F95" s="76"/>
      <c r="G95" s="76"/>
      <c r="H95" s="468">
        <f t="shared" si="9"/>
        <v>0</v>
      </c>
      <c r="I95" s="76"/>
      <c r="J95" s="76"/>
      <c r="K95" s="468">
        <f t="shared" si="10"/>
        <v>0</v>
      </c>
      <c r="L95" s="76"/>
      <c r="M95" s="76"/>
      <c r="N95" s="76"/>
      <c r="O95" s="76"/>
      <c r="P95" s="76"/>
      <c r="Q95" s="76"/>
      <c r="R95" s="76"/>
      <c r="S95" s="76"/>
      <c r="T95" s="76"/>
      <c r="U95" s="468">
        <f t="shared" si="8"/>
        <v>0</v>
      </c>
      <c r="V95" s="448"/>
      <c r="W95" s="1317"/>
      <c r="X95" s="1317"/>
      <c r="Y95" s="1317"/>
      <c r="Z95" s="1317"/>
      <c r="AA95" s="1317"/>
      <c r="AB95" s="1317"/>
      <c r="AC95" s="1317"/>
      <c r="AD95" s="1317"/>
      <c r="AE95" s="1317"/>
      <c r="AF95" s="1317"/>
      <c r="AG95" s="448"/>
      <c r="AH95" s="448"/>
      <c r="AI95" s="448"/>
      <c r="AJ95" s="448"/>
      <c r="AK95" s="448"/>
      <c r="AL95" s="448"/>
      <c r="AM95" s="448"/>
      <c r="AN95" s="448"/>
      <c r="AO95" s="448"/>
      <c r="AP95" s="448"/>
      <c r="AQ95" s="448"/>
      <c r="AR95" s="448"/>
      <c r="AS95" s="448"/>
      <c r="AT95" s="448"/>
      <c r="AU95" s="448"/>
      <c r="AV95" s="448"/>
      <c r="AW95" s="448"/>
      <c r="AX95" s="448"/>
      <c r="AY95" s="448"/>
      <c r="AZ95" s="448"/>
      <c r="BA95" s="448"/>
    </row>
    <row r="96" spans="1:53" ht="12.75" customHeight="1" x14ac:dyDescent="0.2">
      <c r="A96" s="484">
        <f>'Kalkulation Herstellungskosten'!B192</f>
        <v>0</v>
      </c>
      <c r="B96" s="456">
        <f>'Kalkulation Herstellungskosten'!C192</f>
        <v>0</v>
      </c>
      <c r="C96" s="456">
        <f>'Kalkulation Herstellungskosten'!F192</f>
        <v>0</v>
      </c>
      <c r="D96" s="448"/>
      <c r="E96" s="76"/>
      <c r="F96" s="76"/>
      <c r="G96" s="76"/>
      <c r="H96" s="468">
        <f t="shared" ref="H96:H137" si="11">F96*G96</f>
        <v>0</v>
      </c>
      <c r="I96" s="76"/>
      <c r="J96" s="76"/>
      <c r="K96" s="468">
        <f t="shared" ref="K96:K137" si="12">I96*J96</f>
        <v>0</v>
      </c>
      <c r="L96" s="76"/>
      <c r="M96" s="76"/>
      <c r="N96" s="76"/>
      <c r="O96" s="76"/>
      <c r="P96" s="76"/>
      <c r="Q96" s="76"/>
      <c r="R96" s="76"/>
      <c r="S96" s="76"/>
      <c r="T96" s="76"/>
      <c r="U96" s="468">
        <f t="shared" ref="U96:U137" si="13">S96*T96</f>
        <v>0</v>
      </c>
      <c r="V96" s="448"/>
      <c r="W96" s="1317"/>
      <c r="X96" s="1317"/>
      <c r="Y96" s="1317"/>
      <c r="Z96" s="1317"/>
      <c r="AA96" s="1317"/>
      <c r="AB96" s="1317"/>
      <c r="AC96" s="1317"/>
      <c r="AD96" s="1317"/>
      <c r="AE96" s="1317"/>
      <c r="AF96" s="1317"/>
      <c r="AG96" s="448"/>
      <c r="AH96" s="448"/>
      <c r="AI96" s="448"/>
      <c r="AJ96" s="448"/>
      <c r="AK96" s="448"/>
      <c r="AL96" s="448"/>
      <c r="AM96" s="448"/>
      <c r="AN96" s="448"/>
      <c r="AO96" s="448"/>
      <c r="AP96" s="448"/>
      <c r="AQ96" s="448"/>
      <c r="AR96" s="448"/>
      <c r="AS96" s="448"/>
      <c r="AT96" s="448"/>
      <c r="AU96" s="448"/>
      <c r="AV96" s="448"/>
      <c r="AW96" s="448"/>
      <c r="AX96" s="448"/>
      <c r="AY96" s="448"/>
      <c r="AZ96" s="448"/>
      <c r="BA96" s="448"/>
    </row>
    <row r="97" spans="1:53" ht="12.75" customHeight="1" x14ac:dyDescent="0.2">
      <c r="A97" s="484">
        <f>'Kalkulation Herstellungskosten'!B193</f>
        <v>0</v>
      </c>
      <c r="B97" s="456">
        <f>'Kalkulation Herstellungskosten'!C193</f>
        <v>0</v>
      </c>
      <c r="C97" s="456">
        <f>'Kalkulation Herstellungskosten'!F193</f>
        <v>0</v>
      </c>
      <c r="D97" s="448"/>
      <c r="E97" s="76"/>
      <c r="F97" s="76"/>
      <c r="G97" s="76"/>
      <c r="H97" s="468">
        <f t="shared" si="11"/>
        <v>0</v>
      </c>
      <c r="I97" s="76"/>
      <c r="J97" s="76"/>
      <c r="K97" s="468">
        <f t="shared" si="12"/>
        <v>0</v>
      </c>
      <c r="L97" s="76"/>
      <c r="M97" s="76"/>
      <c r="N97" s="76"/>
      <c r="O97" s="76"/>
      <c r="P97" s="76"/>
      <c r="Q97" s="76"/>
      <c r="R97" s="76"/>
      <c r="S97" s="76"/>
      <c r="T97" s="76"/>
      <c r="U97" s="468">
        <f t="shared" si="13"/>
        <v>0</v>
      </c>
      <c r="V97" s="448"/>
      <c r="W97" s="1317"/>
      <c r="X97" s="1317"/>
      <c r="Y97" s="1317"/>
      <c r="Z97" s="1317"/>
      <c r="AA97" s="1317"/>
      <c r="AB97" s="1317"/>
      <c r="AC97" s="1317"/>
      <c r="AD97" s="1317"/>
      <c r="AE97" s="1317"/>
      <c r="AF97" s="1317"/>
      <c r="AG97" s="448"/>
      <c r="AH97" s="448"/>
      <c r="AI97" s="448"/>
      <c r="AJ97" s="448"/>
      <c r="AK97" s="448"/>
      <c r="AL97" s="448"/>
      <c r="AM97" s="448"/>
      <c r="AN97" s="448"/>
      <c r="AO97" s="448"/>
      <c r="AP97" s="448"/>
      <c r="AQ97" s="448"/>
      <c r="AR97" s="448"/>
      <c r="AS97" s="448"/>
      <c r="AT97" s="448"/>
      <c r="AU97" s="448"/>
      <c r="AV97" s="448"/>
      <c r="AW97" s="448"/>
      <c r="AX97" s="448"/>
      <c r="AY97" s="448"/>
      <c r="AZ97" s="448"/>
      <c r="BA97" s="448"/>
    </row>
    <row r="98" spans="1:53" ht="12.75" customHeight="1" x14ac:dyDescent="0.2">
      <c r="A98" s="484">
        <f>'Kalkulation Herstellungskosten'!B194</f>
        <v>0</v>
      </c>
      <c r="B98" s="456">
        <f>'Kalkulation Herstellungskosten'!C194</f>
        <v>0</v>
      </c>
      <c r="C98" s="456">
        <f>'Kalkulation Herstellungskosten'!F194</f>
        <v>0</v>
      </c>
      <c r="D98" s="448"/>
      <c r="E98" s="76"/>
      <c r="F98" s="76"/>
      <c r="G98" s="76"/>
      <c r="H98" s="468">
        <f t="shared" si="11"/>
        <v>0</v>
      </c>
      <c r="I98" s="76"/>
      <c r="J98" s="76"/>
      <c r="K98" s="468">
        <f t="shared" si="12"/>
        <v>0</v>
      </c>
      <c r="L98" s="76"/>
      <c r="M98" s="76"/>
      <c r="N98" s="76"/>
      <c r="O98" s="76"/>
      <c r="P98" s="76"/>
      <c r="Q98" s="76"/>
      <c r="R98" s="76"/>
      <c r="S98" s="76"/>
      <c r="T98" s="76"/>
      <c r="U98" s="468">
        <f t="shared" si="13"/>
        <v>0</v>
      </c>
      <c r="V98" s="448"/>
      <c r="W98" s="1317"/>
      <c r="X98" s="1317"/>
      <c r="Y98" s="1317"/>
      <c r="Z98" s="1317"/>
      <c r="AA98" s="1317"/>
      <c r="AB98" s="1317"/>
      <c r="AC98" s="1317"/>
      <c r="AD98" s="1317"/>
      <c r="AE98" s="1317"/>
      <c r="AF98" s="1317"/>
      <c r="AG98" s="448"/>
      <c r="AH98" s="448"/>
      <c r="AI98" s="448"/>
      <c r="AJ98" s="448"/>
      <c r="AK98" s="448"/>
      <c r="AL98" s="448"/>
      <c r="AM98" s="448"/>
      <c r="AN98" s="448"/>
      <c r="AO98" s="448"/>
      <c r="AP98" s="448"/>
      <c r="AQ98" s="448"/>
      <c r="AR98" s="448"/>
      <c r="AS98" s="448"/>
      <c r="AT98" s="448"/>
      <c r="AU98" s="448"/>
      <c r="AV98" s="448"/>
      <c r="AW98" s="448"/>
      <c r="AX98" s="448"/>
      <c r="AY98" s="448"/>
      <c r="AZ98" s="448"/>
      <c r="BA98" s="448"/>
    </row>
    <row r="99" spans="1:53" ht="12.75" customHeight="1" x14ac:dyDescent="0.2">
      <c r="A99" s="484">
        <f>'Kalkulation Herstellungskosten'!B195</f>
        <v>0</v>
      </c>
      <c r="B99" s="456">
        <f>'Kalkulation Herstellungskosten'!C195</f>
        <v>0</v>
      </c>
      <c r="C99" s="456">
        <f>'Kalkulation Herstellungskosten'!F195</f>
        <v>0</v>
      </c>
      <c r="D99" s="448"/>
      <c r="E99" s="76"/>
      <c r="F99" s="76"/>
      <c r="G99" s="76"/>
      <c r="H99" s="468">
        <f t="shared" si="11"/>
        <v>0</v>
      </c>
      <c r="I99" s="76"/>
      <c r="J99" s="76"/>
      <c r="K99" s="468">
        <f t="shared" si="12"/>
        <v>0</v>
      </c>
      <c r="L99" s="76"/>
      <c r="M99" s="76"/>
      <c r="N99" s="76"/>
      <c r="O99" s="76"/>
      <c r="P99" s="76"/>
      <c r="Q99" s="76"/>
      <c r="R99" s="76"/>
      <c r="S99" s="76"/>
      <c r="T99" s="76"/>
      <c r="U99" s="468">
        <f t="shared" si="13"/>
        <v>0</v>
      </c>
      <c r="V99" s="448"/>
      <c r="W99" s="1317"/>
      <c r="X99" s="1317"/>
      <c r="Y99" s="1317"/>
      <c r="Z99" s="1317"/>
      <c r="AA99" s="1317"/>
      <c r="AB99" s="1317"/>
      <c r="AC99" s="1317"/>
      <c r="AD99" s="1317"/>
      <c r="AE99" s="1317"/>
      <c r="AF99" s="1317"/>
      <c r="AG99" s="448"/>
      <c r="AH99" s="448"/>
      <c r="AI99" s="448"/>
      <c r="AJ99" s="448"/>
      <c r="AK99" s="448"/>
      <c r="AL99" s="448"/>
      <c r="AM99" s="448"/>
      <c r="AN99" s="448"/>
      <c r="AO99" s="448"/>
      <c r="AP99" s="448"/>
      <c r="AQ99" s="448"/>
      <c r="AR99" s="448"/>
      <c r="AS99" s="448"/>
      <c r="AT99" s="448"/>
      <c r="AU99" s="448"/>
      <c r="AV99" s="448"/>
      <c r="AW99" s="448"/>
      <c r="AX99" s="448"/>
      <c r="AY99" s="448"/>
      <c r="AZ99" s="448"/>
      <c r="BA99" s="448"/>
    </row>
    <row r="100" spans="1:53" ht="12.75" customHeight="1" x14ac:dyDescent="0.2">
      <c r="A100" s="484">
        <f>'Kalkulation Herstellungskosten'!B196</f>
        <v>0</v>
      </c>
      <c r="B100" s="456">
        <f>'Kalkulation Herstellungskosten'!C196</f>
        <v>0</v>
      </c>
      <c r="C100" s="456">
        <f>'Kalkulation Herstellungskosten'!F196</f>
        <v>0</v>
      </c>
      <c r="D100" s="448"/>
      <c r="E100" s="76"/>
      <c r="F100" s="76"/>
      <c r="G100" s="76"/>
      <c r="H100" s="468">
        <f t="shared" si="11"/>
        <v>0</v>
      </c>
      <c r="I100" s="76"/>
      <c r="J100" s="76"/>
      <c r="K100" s="468">
        <f t="shared" si="12"/>
        <v>0</v>
      </c>
      <c r="L100" s="76"/>
      <c r="M100" s="76"/>
      <c r="N100" s="76"/>
      <c r="O100" s="76"/>
      <c r="P100" s="76"/>
      <c r="Q100" s="76"/>
      <c r="R100" s="76"/>
      <c r="S100" s="76"/>
      <c r="T100" s="76"/>
      <c r="U100" s="468">
        <f t="shared" si="13"/>
        <v>0</v>
      </c>
      <c r="V100" s="448"/>
      <c r="W100" s="1317"/>
      <c r="X100" s="1317"/>
      <c r="Y100" s="1317"/>
      <c r="Z100" s="1317"/>
      <c r="AA100" s="1317"/>
      <c r="AB100" s="1317"/>
      <c r="AC100" s="1317"/>
      <c r="AD100" s="1317"/>
      <c r="AE100" s="1317"/>
      <c r="AF100" s="1317"/>
      <c r="AG100" s="448"/>
      <c r="AH100" s="448"/>
      <c r="AI100" s="448"/>
      <c r="AJ100" s="448"/>
      <c r="AK100" s="448"/>
      <c r="AL100" s="448"/>
      <c r="AM100" s="448"/>
      <c r="AN100" s="448"/>
      <c r="AO100" s="448"/>
      <c r="AP100" s="448"/>
      <c r="AQ100" s="448"/>
      <c r="AR100" s="448"/>
      <c r="AS100" s="448"/>
      <c r="AT100" s="448"/>
      <c r="AU100" s="448"/>
      <c r="AV100" s="448"/>
      <c r="AW100" s="448"/>
      <c r="AX100" s="448"/>
      <c r="AY100" s="448"/>
      <c r="AZ100" s="448"/>
      <c r="BA100" s="448"/>
    </row>
    <row r="101" spans="1:53" ht="12.75" customHeight="1" x14ac:dyDescent="0.2">
      <c r="A101" s="484">
        <f>'Kalkulation Herstellungskosten'!B197</f>
        <v>0</v>
      </c>
      <c r="B101" s="456">
        <f>'Kalkulation Herstellungskosten'!C197</f>
        <v>0</v>
      </c>
      <c r="C101" s="456">
        <f>'Kalkulation Herstellungskosten'!F197</f>
        <v>0</v>
      </c>
      <c r="D101" s="448"/>
      <c r="E101" s="76"/>
      <c r="F101" s="76"/>
      <c r="G101" s="76"/>
      <c r="H101" s="468">
        <f t="shared" si="11"/>
        <v>0</v>
      </c>
      <c r="I101" s="76"/>
      <c r="J101" s="76"/>
      <c r="K101" s="468">
        <f t="shared" si="12"/>
        <v>0</v>
      </c>
      <c r="L101" s="76"/>
      <c r="M101" s="76"/>
      <c r="N101" s="76"/>
      <c r="O101" s="76"/>
      <c r="P101" s="76"/>
      <c r="Q101" s="76"/>
      <c r="R101" s="76"/>
      <c r="S101" s="76"/>
      <c r="T101" s="76"/>
      <c r="U101" s="468">
        <f t="shared" si="13"/>
        <v>0</v>
      </c>
      <c r="V101" s="448"/>
      <c r="W101" s="1317"/>
      <c r="X101" s="1317"/>
      <c r="Y101" s="1317"/>
      <c r="Z101" s="1317"/>
      <c r="AA101" s="1317"/>
      <c r="AB101" s="1317"/>
      <c r="AC101" s="1317"/>
      <c r="AD101" s="1317"/>
      <c r="AE101" s="1317"/>
      <c r="AF101" s="1317"/>
      <c r="AG101" s="448"/>
      <c r="AH101" s="448"/>
      <c r="AI101" s="448"/>
      <c r="AJ101" s="448"/>
      <c r="AK101" s="448"/>
      <c r="AL101" s="448"/>
      <c r="AM101" s="448"/>
      <c r="AN101" s="448"/>
      <c r="AO101" s="448"/>
      <c r="AP101" s="448"/>
      <c r="AQ101" s="448"/>
      <c r="AR101" s="448"/>
      <c r="AS101" s="448"/>
      <c r="AT101" s="448"/>
      <c r="AU101" s="448"/>
      <c r="AV101" s="448"/>
      <c r="AW101" s="448"/>
      <c r="AX101" s="448"/>
      <c r="AY101" s="448"/>
      <c r="AZ101" s="448"/>
      <c r="BA101" s="448"/>
    </row>
    <row r="102" spans="1:53" ht="12.75" customHeight="1" x14ac:dyDescent="0.2">
      <c r="A102" s="484">
        <f>'Kalkulation Herstellungskosten'!B198</f>
        <v>0</v>
      </c>
      <c r="B102" s="456">
        <f>'Kalkulation Herstellungskosten'!C198</f>
        <v>0</v>
      </c>
      <c r="C102" s="456">
        <f>'Kalkulation Herstellungskosten'!F198</f>
        <v>0</v>
      </c>
      <c r="D102" s="448"/>
      <c r="E102" s="76"/>
      <c r="F102" s="76"/>
      <c r="G102" s="76"/>
      <c r="H102" s="468">
        <f t="shared" si="11"/>
        <v>0</v>
      </c>
      <c r="I102" s="76"/>
      <c r="J102" s="76"/>
      <c r="K102" s="468">
        <f t="shared" si="12"/>
        <v>0</v>
      </c>
      <c r="L102" s="76"/>
      <c r="M102" s="76"/>
      <c r="N102" s="76"/>
      <c r="O102" s="76"/>
      <c r="P102" s="76"/>
      <c r="Q102" s="76"/>
      <c r="R102" s="76"/>
      <c r="S102" s="76"/>
      <c r="T102" s="76"/>
      <c r="U102" s="468">
        <f t="shared" si="13"/>
        <v>0</v>
      </c>
      <c r="V102" s="448"/>
      <c r="W102" s="1317"/>
      <c r="X102" s="1317"/>
      <c r="Y102" s="1317"/>
      <c r="Z102" s="1317"/>
      <c r="AA102" s="1317"/>
      <c r="AB102" s="1317"/>
      <c r="AC102" s="1317"/>
      <c r="AD102" s="1317"/>
      <c r="AE102" s="1317"/>
      <c r="AF102" s="1317"/>
      <c r="AG102" s="448"/>
      <c r="AH102" s="448"/>
      <c r="AI102" s="448"/>
      <c r="AJ102" s="448"/>
      <c r="AK102" s="448"/>
      <c r="AL102" s="448"/>
      <c r="AM102" s="448"/>
      <c r="AN102" s="448"/>
      <c r="AO102" s="448"/>
      <c r="AP102" s="448"/>
      <c r="AQ102" s="448"/>
      <c r="AR102" s="448"/>
      <c r="AS102" s="448"/>
      <c r="AT102" s="448"/>
      <c r="AU102" s="448"/>
      <c r="AV102" s="448"/>
      <c r="AW102" s="448"/>
      <c r="AX102" s="448"/>
      <c r="AY102" s="448"/>
      <c r="AZ102" s="448"/>
      <c r="BA102" s="448"/>
    </row>
    <row r="103" spans="1:53" ht="12.75" customHeight="1" x14ac:dyDescent="0.2">
      <c r="A103" s="484">
        <f>'Kalkulation Herstellungskosten'!B199</f>
        <v>0</v>
      </c>
      <c r="B103" s="456">
        <f>'Kalkulation Herstellungskosten'!C199</f>
        <v>0</v>
      </c>
      <c r="C103" s="456">
        <f>'Kalkulation Herstellungskosten'!F199</f>
        <v>0</v>
      </c>
      <c r="D103" s="448"/>
      <c r="E103" s="76"/>
      <c r="F103" s="76"/>
      <c r="G103" s="76"/>
      <c r="H103" s="468">
        <f t="shared" si="11"/>
        <v>0</v>
      </c>
      <c r="I103" s="76"/>
      <c r="J103" s="76"/>
      <c r="K103" s="468">
        <f t="shared" si="12"/>
        <v>0</v>
      </c>
      <c r="L103" s="76"/>
      <c r="M103" s="76"/>
      <c r="N103" s="76"/>
      <c r="O103" s="76"/>
      <c r="P103" s="76"/>
      <c r="Q103" s="76"/>
      <c r="R103" s="76"/>
      <c r="S103" s="76"/>
      <c r="T103" s="76"/>
      <c r="U103" s="468">
        <f t="shared" si="13"/>
        <v>0</v>
      </c>
      <c r="V103" s="448"/>
      <c r="W103" s="1317"/>
      <c r="X103" s="1317"/>
      <c r="Y103" s="1317"/>
      <c r="Z103" s="1317"/>
      <c r="AA103" s="1317"/>
      <c r="AB103" s="1317"/>
      <c r="AC103" s="1317"/>
      <c r="AD103" s="1317"/>
      <c r="AE103" s="1317"/>
      <c r="AF103" s="1317"/>
      <c r="AG103" s="448"/>
      <c r="AH103" s="448"/>
      <c r="AI103" s="448"/>
      <c r="AJ103" s="448"/>
      <c r="AK103" s="448"/>
      <c r="AL103" s="448"/>
      <c r="AM103" s="448"/>
      <c r="AN103" s="448"/>
      <c r="AO103" s="448"/>
      <c r="AP103" s="448"/>
      <c r="AQ103" s="448"/>
      <c r="AR103" s="448"/>
      <c r="AS103" s="448"/>
      <c r="AT103" s="448"/>
      <c r="AU103" s="448"/>
      <c r="AV103" s="448"/>
      <c r="AW103" s="448"/>
      <c r="AX103" s="448"/>
      <c r="AY103" s="448"/>
      <c r="AZ103" s="448"/>
      <c r="BA103" s="448"/>
    </row>
    <row r="104" spans="1:53" ht="12.75" customHeight="1" x14ac:dyDescent="0.2">
      <c r="A104" s="484">
        <f>'Kalkulation Herstellungskosten'!B200</f>
        <v>0</v>
      </c>
      <c r="B104" s="456">
        <f>'Kalkulation Herstellungskosten'!C200</f>
        <v>0</v>
      </c>
      <c r="C104" s="456">
        <f>'Kalkulation Herstellungskosten'!F200</f>
        <v>0</v>
      </c>
      <c r="D104" s="448"/>
      <c r="E104" s="76"/>
      <c r="F104" s="76"/>
      <c r="G104" s="76"/>
      <c r="H104" s="468">
        <f t="shared" si="11"/>
        <v>0</v>
      </c>
      <c r="I104" s="76"/>
      <c r="J104" s="76"/>
      <c r="K104" s="468">
        <f t="shared" si="12"/>
        <v>0</v>
      </c>
      <c r="L104" s="76"/>
      <c r="M104" s="76"/>
      <c r="N104" s="76"/>
      <c r="O104" s="76"/>
      <c r="P104" s="76"/>
      <c r="Q104" s="76"/>
      <c r="R104" s="76"/>
      <c r="S104" s="76"/>
      <c r="T104" s="76"/>
      <c r="U104" s="468">
        <f t="shared" si="13"/>
        <v>0</v>
      </c>
      <c r="V104" s="448"/>
      <c r="W104" s="1317"/>
      <c r="X104" s="1317"/>
      <c r="Y104" s="1317"/>
      <c r="Z104" s="1317"/>
      <c r="AA104" s="1317"/>
      <c r="AB104" s="1317"/>
      <c r="AC104" s="1317"/>
      <c r="AD104" s="1317"/>
      <c r="AE104" s="1317"/>
      <c r="AF104" s="1317"/>
      <c r="AG104" s="448"/>
      <c r="AH104" s="448"/>
      <c r="AI104" s="448"/>
      <c r="AJ104" s="448"/>
      <c r="AK104" s="448"/>
      <c r="AL104" s="448"/>
      <c r="AM104" s="448"/>
      <c r="AN104" s="448"/>
      <c r="AO104" s="448"/>
      <c r="AP104" s="448"/>
      <c r="AQ104" s="448"/>
      <c r="AR104" s="448"/>
      <c r="AS104" s="448"/>
      <c r="AT104" s="448"/>
      <c r="AU104" s="448"/>
      <c r="AV104" s="448"/>
      <c r="AW104" s="448"/>
      <c r="AX104" s="448"/>
      <c r="AY104" s="448"/>
      <c r="AZ104" s="448"/>
      <c r="BA104" s="448"/>
    </row>
    <row r="105" spans="1:53" ht="12.75" customHeight="1" x14ac:dyDescent="0.2">
      <c r="A105" s="484">
        <f>'Kalkulation Herstellungskosten'!B201</f>
        <v>0</v>
      </c>
      <c r="B105" s="456">
        <f>'Kalkulation Herstellungskosten'!C201</f>
        <v>0</v>
      </c>
      <c r="C105" s="456">
        <f>'Kalkulation Herstellungskosten'!F201</f>
        <v>0</v>
      </c>
      <c r="D105" s="448"/>
      <c r="E105" s="76"/>
      <c r="F105" s="76"/>
      <c r="G105" s="76"/>
      <c r="H105" s="468">
        <f t="shared" si="11"/>
        <v>0</v>
      </c>
      <c r="I105" s="76"/>
      <c r="J105" s="76"/>
      <c r="K105" s="468">
        <f t="shared" si="12"/>
        <v>0</v>
      </c>
      <c r="L105" s="76"/>
      <c r="M105" s="76"/>
      <c r="N105" s="76"/>
      <c r="O105" s="76"/>
      <c r="P105" s="76"/>
      <c r="Q105" s="76"/>
      <c r="R105" s="76"/>
      <c r="S105" s="76"/>
      <c r="T105" s="76"/>
      <c r="U105" s="468">
        <f t="shared" si="13"/>
        <v>0</v>
      </c>
      <c r="V105" s="448"/>
      <c r="W105" s="1317"/>
      <c r="X105" s="1317"/>
      <c r="Y105" s="1317"/>
      <c r="Z105" s="1317"/>
      <c r="AA105" s="1317"/>
      <c r="AB105" s="1317"/>
      <c r="AC105" s="1317"/>
      <c r="AD105" s="1317"/>
      <c r="AE105" s="1317"/>
      <c r="AF105" s="1317"/>
      <c r="AG105" s="448"/>
      <c r="AH105" s="448"/>
      <c r="AI105" s="448"/>
      <c r="AJ105" s="448"/>
      <c r="AK105" s="448"/>
      <c r="AL105" s="448"/>
      <c r="AM105" s="448"/>
      <c r="AN105" s="448"/>
      <c r="AO105" s="448"/>
      <c r="AP105" s="448"/>
      <c r="AQ105" s="448"/>
      <c r="AR105" s="448"/>
      <c r="AS105" s="448"/>
      <c r="AT105" s="448"/>
      <c r="AU105" s="448"/>
      <c r="AV105" s="448"/>
      <c r="AW105" s="448"/>
      <c r="AX105" s="448"/>
      <c r="AY105" s="448"/>
      <c r="AZ105" s="448"/>
      <c r="BA105" s="448"/>
    </row>
    <row r="106" spans="1:53" ht="12.75" customHeight="1" x14ac:dyDescent="0.2">
      <c r="A106" s="484">
        <f>'Kalkulation Herstellungskosten'!B202</f>
        <v>0</v>
      </c>
      <c r="B106" s="456">
        <f>'Kalkulation Herstellungskosten'!C202</f>
        <v>0</v>
      </c>
      <c r="C106" s="456">
        <f>'Kalkulation Herstellungskosten'!F202</f>
        <v>0</v>
      </c>
      <c r="D106" s="448"/>
      <c r="E106" s="76"/>
      <c r="F106" s="76"/>
      <c r="G106" s="76"/>
      <c r="H106" s="468">
        <f t="shared" si="11"/>
        <v>0</v>
      </c>
      <c r="I106" s="76"/>
      <c r="J106" s="76"/>
      <c r="K106" s="468">
        <f t="shared" si="12"/>
        <v>0</v>
      </c>
      <c r="L106" s="76"/>
      <c r="M106" s="76"/>
      <c r="N106" s="76"/>
      <c r="O106" s="76"/>
      <c r="P106" s="76"/>
      <c r="Q106" s="76"/>
      <c r="R106" s="76"/>
      <c r="S106" s="76"/>
      <c r="T106" s="76"/>
      <c r="U106" s="468">
        <f t="shared" si="13"/>
        <v>0</v>
      </c>
      <c r="V106" s="448"/>
      <c r="W106" s="1317"/>
      <c r="X106" s="1317"/>
      <c r="Y106" s="1317"/>
      <c r="Z106" s="1317"/>
      <c r="AA106" s="1317"/>
      <c r="AB106" s="1317"/>
      <c r="AC106" s="1317"/>
      <c r="AD106" s="1317"/>
      <c r="AE106" s="1317"/>
      <c r="AF106" s="1317"/>
      <c r="AG106" s="448"/>
      <c r="AH106" s="448"/>
      <c r="AI106" s="448"/>
      <c r="AJ106" s="448"/>
      <c r="AK106" s="448"/>
      <c r="AL106" s="448"/>
      <c r="AM106" s="448"/>
      <c r="AN106" s="448"/>
      <c r="AO106" s="448"/>
      <c r="AP106" s="448"/>
      <c r="AQ106" s="448"/>
      <c r="AR106" s="448"/>
      <c r="AS106" s="448"/>
      <c r="AT106" s="448"/>
      <c r="AU106" s="448"/>
      <c r="AV106" s="448"/>
      <c r="AW106" s="448"/>
      <c r="AX106" s="448"/>
      <c r="AY106" s="448"/>
      <c r="AZ106" s="448"/>
      <c r="BA106" s="448"/>
    </row>
    <row r="107" spans="1:53" ht="12.75" customHeight="1" x14ac:dyDescent="0.2">
      <c r="A107" s="484">
        <f>'Kalkulation Herstellungskosten'!B203</f>
        <v>0</v>
      </c>
      <c r="B107" s="456">
        <f>'Kalkulation Herstellungskosten'!C203</f>
        <v>0</v>
      </c>
      <c r="C107" s="456">
        <f>'Kalkulation Herstellungskosten'!F203</f>
        <v>0</v>
      </c>
      <c r="D107" s="448"/>
      <c r="E107" s="76"/>
      <c r="F107" s="76"/>
      <c r="G107" s="76"/>
      <c r="H107" s="468">
        <f t="shared" si="11"/>
        <v>0</v>
      </c>
      <c r="I107" s="76"/>
      <c r="J107" s="76"/>
      <c r="K107" s="468">
        <f t="shared" si="12"/>
        <v>0</v>
      </c>
      <c r="L107" s="76"/>
      <c r="M107" s="76"/>
      <c r="N107" s="76"/>
      <c r="O107" s="76"/>
      <c r="P107" s="76"/>
      <c r="Q107" s="76"/>
      <c r="R107" s="76"/>
      <c r="S107" s="76"/>
      <c r="T107" s="76"/>
      <c r="U107" s="468">
        <f t="shared" si="13"/>
        <v>0</v>
      </c>
      <c r="V107" s="448"/>
      <c r="W107" s="1317"/>
      <c r="X107" s="1317"/>
      <c r="Y107" s="1317"/>
      <c r="Z107" s="1317"/>
      <c r="AA107" s="1317"/>
      <c r="AB107" s="1317"/>
      <c r="AC107" s="1317"/>
      <c r="AD107" s="1317"/>
      <c r="AE107" s="1317"/>
      <c r="AF107" s="1317"/>
      <c r="AG107" s="448"/>
      <c r="AH107" s="448"/>
      <c r="AI107" s="448"/>
      <c r="AJ107" s="448"/>
      <c r="AK107" s="448"/>
      <c r="AL107" s="448"/>
      <c r="AM107" s="448"/>
      <c r="AN107" s="448"/>
      <c r="AO107" s="448"/>
      <c r="AP107" s="448"/>
      <c r="AQ107" s="448"/>
      <c r="AR107" s="448"/>
      <c r="AS107" s="448"/>
      <c r="AT107" s="448"/>
      <c r="AU107" s="448"/>
      <c r="AV107" s="448"/>
      <c r="AW107" s="448"/>
      <c r="AX107" s="448"/>
      <c r="AY107" s="448"/>
      <c r="AZ107" s="448"/>
      <c r="BA107" s="448"/>
    </row>
    <row r="108" spans="1:53" ht="12.75" customHeight="1" x14ac:dyDescent="0.2">
      <c r="A108" s="484">
        <f>'Kalkulation Herstellungskosten'!B204</f>
        <v>0</v>
      </c>
      <c r="B108" s="456">
        <f>'Kalkulation Herstellungskosten'!C204</f>
        <v>0</v>
      </c>
      <c r="C108" s="456">
        <f>'Kalkulation Herstellungskosten'!F204</f>
        <v>0</v>
      </c>
      <c r="D108" s="448"/>
      <c r="E108" s="76"/>
      <c r="F108" s="76"/>
      <c r="G108" s="76"/>
      <c r="H108" s="468">
        <f t="shared" si="11"/>
        <v>0</v>
      </c>
      <c r="I108" s="76"/>
      <c r="J108" s="76"/>
      <c r="K108" s="468">
        <f t="shared" si="12"/>
        <v>0</v>
      </c>
      <c r="L108" s="76"/>
      <c r="M108" s="76"/>
      <c r="N108" s="76"/>
      <c r="O108" s="76"/>
      <c r="P108" s="76"/>
      <c r="Q108" s="76"/>
      <c r="R108" s="76"/>
      <c r="S108" s="76"/>
      <c r="T108" s="76"/>
      <c r="U108" s="468">
        <f t="shared" si="13"/>
        <v>0</v>
      </c>
      <c r="V108" s="448"/>
      <c r="W108" s="1317"/>
      <c r="X108" s="1317"/>
      <c r="Y108" s="1317"/>
      <c r="Z108" s="1317"/>
      <c r="AA108" s="1317"/>
      <c r="AB108" s="1317"/>
      <c r="AC108" s="1317"/>
      <c r="AD108" s="1317"/>
      <c r="AE108" s="1317"/>
      <c r="AF108" s="1317"/>
      <c r="AG108" s="448"/>
      <c r="AH108" s="448"/>
      <c r="AI108" s="448"/>
      <c r="AJ108" s="448"/>
      <c r="AK108" s="448"/>
      <c r="AL108" s="448"/>
      <c r="AM108" s="448"/>
      <c r="AN108" s="448"/>
      <c r="AO108" s="448"/>
      <c r="AP108" s="448"/>
      <c r="AQ108" s="448"/>
      <c r="AR108" s="448"/>
      <c r="AS108" s="448"/>
      <c r="AT108" s="448"/>
      <c r="AU108" s="448"/>
      <c r="AV108" s="448"/>
      <c r="AW108" s="448"/>
      <c r="AX108" s="448"/>
      <c r="AY108" s="448"/>
      <c r="AZ108" s="448"/>
      <c r="BA108" s="448"/>
    </row>
    <row r="109" spans="1:53" ht="12.75" customHeight="1" x14ac:dyDescent="0.2">
      <c r="A109" s="484">
        <f>'Kalkulation Herstellungskosten'!B205</f>
        <v>0</v>
      </c>
      <c r="B109" s="456">
        <f>'Kalkulation Herstellungskosten'!C205</f>
        <v>0</v>
      </c>
      <c r="C109" s="456">
        <f>'Kalkulation Herstellungskosten'!F205</f>
        <v>0</v>
      </c>
      <c r="D109" s="448"/>
      <c r="E109" s="76"/>
      <c r="F109" s="76"/>
      <c r="G109" s="76"/>
      <c r="H109" s="468">
        <f t="shared" si="11"/>
        <v>0</v>
      </c>
      <c r="I109" s="76"/>
      <c r="J109" s="76"/>
      <c r="K109" s="468">
        <f t="shared" si="12"/>
        <v>0</v>
      </c>
      <c r="L109" s="76"/>
      <c r="M109" s="76"/>
      <c r="N109" s="76"/>
      <c r="O109" s="76"/>
      <c r="P109" s="76"/>
      <c r="Q109" s="76"/>
      <c r="R109" s="76"/>
      <c r="S109" s="76"/>
      <c r="T109" s="76"/>
      <c r="U109" s="468">
        <f t="shared" si="13"/>
        <v>0</v>
      </c>
      <c r="V109" s="448"/>
      <c r="W109" s="1317"/>
      <c r="X109" s="1317"/>
      <c r="Y109" s="1317"/>
      <c r="Z109" s="1317"/>
      <c r="AA109" s="1317"/>
      <c r="AB109" s="1317"/>
      <c r="AC109" s="1317"/>
      <c r="AD109" s="1317"/>
      <c r="AE109" s="1317"/>
      <c r="AF109" s="1317"/>
      <c r="AG109" s="448"/>
      <c r="AH109" s="448"/>
      <c r="AI109" s="448"/>
      <c r="AJ109" s="448"/>
      <c r="AK109" s="448"/>
      <c r="AL109" s="448"/>
      <c r="AM109" s="448"/>
      <c r="AN109" s="448"/>
      <c r="AO109" s="448"/>
      <c r="AP109" s="448"/>
      <c r="AQ109" s="448"/>
      <c r="AR109" s="448"/>
      <c r="AS109" s="448"/>
      <c r="AT109" s="448"/>
      <c r="AU109" s="448"/>
      <c r="AV109" s="448"/>
      <c r="AW109" s="448"/>
      <c r="AX109" s="448"/>
      <c r="AY109" s="448"/>
      <c r="AZ109" s="448"/>
      <c r="BA109" s="448"/>
    </row>
    <row r="110" spans="1:53" ht="12.75" customHeight="1" x14ac:dyDescent="0.2">
      <c r="A110" s="484">
        <f>'Kalkulation Herstellungskosten'!B206</f>
        <v>0</v>
      </c>
      <c r="B110" s="456">
        <f>'Kalkulation Herstellungskosten'!C206</f>
        <v>0</v>
      </c>
      <c r="C110" s="456">
        <f>'Kalkulation Herstellungskosten'!F206</f>
        <v>0</v>
      </c>
      <c r="D110" s="448"/>
      <c r="E110" s="76"/>
      <c r="F110" s="76"/>
      <c r="G110" s="76"/>
      <c r="H110" s="468">
        <f t="shared" si="11"/>
        <v>0</v>
      </c>
      <c r="I110" s="76"/>
      <c r="J110" s="76"/>
      <c r="K110" s="468">
        <f t="shared" si="12"/>
        <v>0</v>
      </c>
      <c r="L110" s="76"/>
      <c r="M110" s="76"/>
      <c r="N110" s="76"/>
      <c r="O110" s="76"/>
      <c r="P110" s="76"/>
      <c r="Q110" s="76"/>
      <c r="R110" s="76"/>
      <c r="S110" s="76"/>
      <c r="T110" s="76"/>
      <c r="U110" s="468">
        <f t="shared" si="13"/>
        <v>0</v>
      </c>
      <c r="V110" s="448"/>
      <c r="W110" s="1317"/>
      <c r="X110" s="1317"/>
      <c r="Y110" s="1317"/>
      <c r="Z110" s="1317"/>
      <c r="AA110" s="1317"/>
      <c r="AB110" s="1317"/>
      <c r="AC110" s="1317"/>
      <c r="AD110" s="1317"/>
      <c r="AE110" s="1317"/>
      <c r="AF110" s="1317"/>
      <c r="AG110" s="448"/>
      <c r="AH110" s="448"/>
      <c r="AI110" s="448"/>
      <c r="AJ110" s="448"/>
      <c r="AK110" s="448"/>
      <c r="AL110" s="448"/>
      <c r="AM110" s="448"/>
      <c r="AN110" s="448"/>
      <c r="AO110" s="448"/>
      <c r="AP110" s="448"/>
      <c r="AQ110" s="448"/>
      <c r="AR110" s="448"/>
      <c r="AS110" s="448"/>
      <c r="AT110" s="448"/>
      <c r="AU110" s="448"/>
      <c r="AV110" s="448"/>
      <c r="AW110" s="448"/>
      <c r="AX110" s="448"/>
      <c r="AY110" s="448"/>
      <c r="AZ110" s="448"/>
      <c r="BA110" s="448"/>
    </row>
    <row r="111" spans="1:53" ht="12.75" customHeight="1" x14ac:dyDescent="0.2">
      <c r="A111" s="484">
        <f>'Kalkulation Herstellungskosten'!B207</f>
        <v>0</v>
      </c>
      <c r="B111" s="456">
        <f>'Kalkulation Herstellungskosten'!C207</f>
        <v>0</v>
      </c>
      <c r="C111" s="456">
        <f>'Kalkulation Herstellungskosten'!F207</f>
        <v>0</v>
      </c>
      <c r="D111" s="448"/>
      <c r="E111" s="76"/>
      <c r="F111" s="76"/>
      <c r="G111" s="76"/>
      <c r="H111" s="468">
        <f t="shared" si="11"/>
        <v>0</v>
      </c>
      <c r="I111" s="76"/>
      <c r="J111" s="76"/>
      <c r="K111" s="468">
        <f t="shared" si="12"/>
        <v>0</v>
      </c>
      <c r="L111" s="76"/>
      <c r="M111" s="76"/>
      <c r="N111" s="76"/>
      <c r="O111" s="76"/>
      <c r="P111" s="76"/>
      <c r="Q111" s="76"/>
      <c r="R111" s="76"/>
      <c r="S111" s="76"/>
      <c r="T111" s="76"/>
      <c r="U111" s="468">
        <f t="shared" si="13"/>
        <v>0</v>
      </c>
      <c r="V111" s="448"/>
      <c r="W111" s="1317"/>
      <c r="X111" s="1317"/>
      <c r="Y111" s="1317"/>
      <c r="Z111" s="1317"/>
      <c r="AA111" s="1317"/>
      <c r="AB111" s="1317"/>
      <c r="AC111" s="1317"/>
      <c r="AD111" s="1317"/>
      <c r="AE111" s="1317"/>
      <c r="AF111" s="1317"/>
      <c r="AG111" s="448"/>
      <c r="AH111" s="448"/>
      <c r="AI111" s="448"/>
      <c r="AJ111" s="448"/>
      <c r="AK111" s="448"/>
      <c r="AL111" s="448"/>
      <c r="AM111" s="448"/>
      <c r="AN111" s="448"/>
      <c r="AO111" s="448"/>
      <c r="AP111" s="448"/>
      <c r="AQ111" s="448"/>
      <c r="AR111" s="448"/>
      <c r="AS111" s="448"/>
      <c r="AT111" s="448"/>
      <c r="AU111" s="448"/>
      <c r="AV111" s="448"/>
      <c r="AW111" s="448"/>
      <c r="AX111" s="448"/>
      <c r="AY111" s="448"/>
      <c r="AZ111" s="448"/>
      <c r="BA111" s="448"/>
    </row>
    <row r="112" spans="1:53" ht="12.75" customHeight="1" x14ac:dyDescent="0.2">
      <c r="A112" s="484">
        <f>'Kalkulation Herstellungskosten'!B208</f>
        <v>0</v>
      </c>
      <c r="B112" s="456">
        <f>'Kalkulation Herstellungskosten'!C208</f>
        <v>0</v>
      </c>
      <c r="C112" s="456">
        <f>'Kalkulation Herstellungskosten'!F208</f>
        <v>0</v>
      </c>
      <c r="D112" s="448"/>
      <c r="E112" s="76"/>
      <c r="F112" s="76"/>
      <c r="G112" s="76"/>
      <c r="H112" s="468">
        <f t="shared" si="11"/>
        <v>0</v>
      </c>
      <c r="I112" s="76"/>
      <c r="J112" s="76"/>
      <c r="K112" s="468">
        <f t="shared" si="12"/>
        <v>0</v>
      </c>
      <c r="L112" s="76"/>
      <c r="M112" s="76"/>
      <c r="N112" s="76"/>
      <c r="O112" s="76"/>
      <c r="P112" s="76"/>
      <c r="Q112" s="76"/>
      <c r="R112" s="76"/>
      <c r="S112" s="76"/>
      <c r="T112" s="76"/>
      <c r="U112" s="468">
        <f t="shared" si="13"/>
        <v>0</v>
      </c>
      <c r="V112" s="448"/>
      <c r="W112" s="1317"/>
      <c r="X112" s="1317"/>
      <c r="Y112" s="1317"/>
      <c r="Z112" s="1317"/>
      <c r="AA112" s="1317"/>
      <c r="AB112" s="1317"/>
      <c r="AC112" s="1317"/>
      <c r="AD112" s="1317"/>
      <c r="AE112" s="1317"/>
      <c r="AF112" s="1317"/>
      <c r="AG112" s="448"/>
      <c r="AH112" s="448"/>
      <c r="AI112" s="448"/>
      <c r="AJ112" s="448"/>
      <c r="AK112" s="448"/>
      <c r="AL112" s="448"/>
      <c r="AM112" s="448"/>
      <c r="AN112" s="448"/>
      <c r="AO112" s="448"/>
      <c r="AP112" s="448"/>
      <c r="AQ112" s="448"/>
      <c r="AR112" s="448"/>
      <c r="AS112" s="448"/>
      <c r="AT112" s="448"/>
      <c r="AU112" s="448"/>
      <c r="AV112" s="448"/>
      <c r="AW112" s="448"/>
      <c r="AX112" s="448"/>
      <c r="AY112" s="448"/>
      <c r="AZ112" s="448"/>
      <c r="BA112" s="448"/>
    </row>
    <row r="113" spans="1:53" ht="12.75" customHeight="1" x14ac:dyDescent="0.2">
      <c r="A113" s="484">
        <f>'Kalkulation Herstellungskosten'!B209</f>
        <v>0</v>
      </c>
      <c r="B113" s="456">
        <f>'Kalkulation Herstellungskosten'!C209</f>
        <v>0</v>
      </c>
      <c r="C113" s="456">
        <f>'Kalkulation Herstellungskosten'!F209</f>
        <v>0</v>
      </c>
      <c r="D113" s="448"/>
      <c r="E113" s="76"/>
      <c r="F113" s="76"/>
      <c r="G113" s="76"/>
      <c r="H113" s="468">
        <f t="shared" si="11"/>
        <v>0</v>
      </c>
      <c r="I113" s="76"/>
      <c r="J113" s="76"/>
      <c r="K113" s="468">
        <f t="shared" si="12"/>
        <v>0</v>
      </c>
      <c r="L113" s="76"/>
      <c r="M113" s="76"/>
      <c r="N113" s="76"/>
      <c r="O113" s="76"/>
      <c r="P113" s="76"/>
      <c r="Q113" s="76"/>
      <c r="R113" s="76"/>
      <c r="S113" s="76"/>
      <c r="T113" s="76"/>
      <c r="U113" s="468">
        <f t="shared" si="13"/>
        <v>0</v>
      </c>
      <c r="V113" s="448"/>
      <c r="W113" s="1317"/>
      <c r="X113" s="1317"/>
      <c r="Y113" s="1317"/>
      <c r="Z113" s="1317"/>
      <c r="AA113" s="1317"/>
      <c r="AB113" s="1317"/>
      <c r="AC113" s="1317"/>
      <c r="AD113" s="1317"/>
      <c r="AE113" s="1317"/>
      <c r="AF113" s="1317"/>
      <c r="AG113" s="448"/>
      <c r="AH113" s="448"/>
      <c r="AI113" s="448"/>
      <c r="AJ113" s="448"/>
      <c r="AK113" s="448"/>
      <c r="AL113" s="448"/>
      <c r="AM113" s="448"/>
      <c r="AN113" s="448"/>
      <c r="AO113" s="448"/>
      <c r="AP113" s="448"/>
      <c r="AQ113" s="448"/>
      <c r="AR113" s="448"/>
      <c r="AS113" s="448"/>
      <c r="AT113" s="448"/>
      <c r="AU113" s="448"/>
      <c r="AV113" s="448"/>
      <c r="AW113" s="448"/>
      <c r="AX113" s="448"/>
      <c r="AY113" s="448"/>
      <c r="AZ113" s="448"/>
      <c r="BA113" s="448"/>
    </row>
    <row r="114" spans="1:53" ht="12.75" customHeight="1" x14ac:dyDescent="0.2">
      <c r="A114" s="484">
        <f>'Kalkulation Herstellungskosten'!B210</f>
        <v>0</v>
      </c>
      <c r="B114" s="456">
        <f>'Kalkulation Herstellungskosten'!C210</f>
        <v>0</v>
      </c>
      <c r="C114" s="456">
        <f>'Kalkulation Herstellungskosten'!F210</f>
        <v>0</v>
      </c>
      <c r="D114" s="448"/>
      <c r="E114" s="76"/>
      <c r="F114" s="76"/>
      <c r="G114" s="76"/>
      <c r="H114" s="468">
        <f t="shared" si="11"/>
        <v>0</v>
      </c>
      <c r="I114" s="76"/>
      <c r="J114" s="76"/>
      <c r="K114" s="468">
        <f t="shared" si="12"/>
        <v>0</v>
      </c>
      <c r="L114" s="76"/>
      <c r="M114" s="76"/>
      <c r="N114" s="76"/>
      <c r="O114" s="76"/>
      <c r="P114" s="76"/>
      <c r="Q114" s="76"/>
      <c r="R114" s="76"/>
      <c r="S114" s="76"/>
      <c r="T114" s="76"/>
      <c r="U114" s="468">
        <f t="shared" si="13"/>
        <v>0</v>
      </c>
      <c r="V114" s="448"/>
      <c r="W114" s="1317"/>
      <c r="X114" s="1317"/>
      <c r="Y114" s="1317"/>
      <c r="Z114" s="1317"/>
      <c r="AA114" s="1317"/>
      <c r="AB114" s="1317"/>
      <c r="AC114" s="1317"/>
      <c r="AD114" s="1317"/>
      <c r="AE114" s="1317"/>
      <c r="AF114" s="1317"/>
      <c r="AG114" s="448"/>
      <c r="AH114" s="448"/>
      <c r="AI114" s="448"/>
      <c r="AJ114" s="448"/>
      <c r="AK114" s="448"/>
      <c r="AL114" s="448"/>
      <c r="AM114" s="448"/>
      <c r="AN114" s="448"/>
      <c r="AO114" s="448"/>
      <c r="AP114" s="448"/>
      <c r="AQ114" s="448"/>
      <c r="AR114" s="448"/>
      <c r="AS114" s="448"/>
      <c r="AT114" s="448"/>
      <c r="AU114" s="448"/>
      <c r="AV114" s="448"/>
      <c r="AW114" s="448"/>
      <c r="AX114" s="448"/>
      <c r="AY114" s="448"/>
      <c r="AZ114" s="448"/>
      <c r="BA114" s="448"/>
    </row>
    <row r="115" spans="1:53" ht="12.75" customHeight="1" x14ac:dyDescent="0.2">
      <c r="A115" s="484">
        <f>'Kalkulation Herstellungskosten'!B211</f>
        <v>0</v>
      </c>
      <c r="B115" s="456">
        <f>'Kalkulation Herstellungskosten'!C211</f>
        <v>0</v>
      </c>
      <c r="C115" s="456">
        <f>'Kalkulation Herstellungskosten'!F211</f>
        <v>0</v>
      </c>
      <c r="D115" s="448"/>
      <c r="E115" s="76"/>
      <c r="F115" s="76"/>
      <c r="G115" s="76"/>
      <c r="H115" s="468">
        <f t="shared" si="11"/>
        <v>0</v>
      </c>
      <c r="I115" s="76"/>
      <c r="J115" s="76"/>
      <c r="K115" s="468">
        <f t="shared" si="12"/>
        <v>0</v>
      </c>
      <c r="L115" s="76"/>
      <c r="M115" s="76"/>
      <c r="N115" s="76"/>
      <c r="O115" s="76"/>
      <c r="P115" s="76"/>
      <c r="Q115" s="76"/>
      <c r="R115" s="76"/>
      <c r="S115" s="76"/>
      <c r="T115" s="76"/>
      <c r="U115" s="468">
        <f t="shared" si="13"/>
        <v>0</v>
      </c>
      <c r="V115" s="448"/>
      <c r="W115" s="1317"/>
      <c r="X115" s="1317"/>
      <c r="Y115" s="1317"/>
      <c r="Z115" s="1317"/>
      <c r="AA115" s="1317"/>
      <c r="AB115" s="1317"/>
      <c r="AC115" s="1317"/>
      <c r="AD115" s="1317"/>
      <c r="AE115" s="1317"/>
      <c r="AF115" s="1317"/>
      <c r="AG115" s="448"/>
      <c r="AH115" s="448"/>
      <c r="AI115" s="448"/>
      <c r="AJ115" s="448"/>
      <c r="AK115" s="448"/>
      <c r="AL115" s="448"/>
      <c r="AM115" s="448"/>
      <c r="AN115" s="448"/>
      <c r="AO115" s="448"/>
      <c r="AP115" s="448"/>
      <c r="AQ115" s="448"/>
      <c r="AR115" s="448"/>
      <c r="AS115" s="448"/>
      <c r="AT115" s="448"/>
      <c r="AU115" s="448"/>
      <c r="AV115" s="448"/>
      <c r="AW115" s="448"/>
      <c r="AX115" s="448"/>
      <c r="AY115" s="448"/>
      <c r="AZ115" s="448"/>
      <c r="BA115" s="448"/>
    </row>
    <row r="116" spans="1:53" ht="12.75" customHeight="1" x14ac:dyDescent="0.2">
      <c r="A116" s="484">
        <f>'Kalkulation Herstellungskosten'!B212</f>
        <v>0</v>
      </c>
      <c r="B116" s="456">
        <f>'Kalkulation Herstellungskosten'!C212</f>
        <v>0</v>
      </c>
      <c r="C116" s="456">
        <f>'Kalkulation Herstellungskosten'!F212</f>
        <v>0</v>
      </c>
      <c r="D116" s="448"/>
      <c r="E116" s="76"/>
      <c r="F116" s="76"/>
      <c r="G116" s="76"/>
      <c r="H116" s="468">
        <f t="shared" si="11"/>
        <v>0</v>
      </c>
      <c r="I116" s="76"/>
      <c r="J116" s="76"/>
      <c r="K116" s="468">
        <f t="shared" si="12"/>
        <v>0</v>
      </c>
      <c r="L116" s="76"/>
      <c r="M116" s="76"/>
      <c r="N116" s="76"/>
      <c r="O116" s="76"/>
      <c r="P116" s="76"/>
      <c r="Q116" s="76"/>
      <c r="R116" s="76"/>
      <c r="S116" s="76"/>
      <c r="T116" s="76"/>
      <c r="U116" s="468">
        <f t="shared" si="13"/>
        <v>0</v>
      </c>
      <c r="V116" s="448"/>
      <c r="W116" s="1317"/>
      <c r="X116" s="1317"/>
      <c r="Y116" s="1317"/>
      <c r="Z116" s="1317"/>
      <c r="AA116" s="1317"/>
      <c r="AB116" s="1317"/>
      <c r="AC116" s="1317"/>
      <c r="AD116" s="1317"/>
      <c r="AE116" s="1317"/>
      <c r="AF116" s="1317"/>
      <c r="AG116" s="448"/>
      <c r="AH116" s="448"/>
      <c r="AI116" s="448"/>
      <c r="AJ116" s="448"/>
      <c r="AK116" s="448"/>
      <c r="AL116" s="448"/>
      <c r="AM116" s="448"/>
      <c r="AN116" s="448"/>
      <c r="AO116" s="448"/>
      <c r="AP116" s="448"/>
      <c r="AQ116" s="448"/>
      <c r="AR116" s="448"/>
      <c r="AS116" s="448"/>
      <c r="AT116" s="448"/>
      <c r="AU116" s="448"/>
      <c r="AV116" s="448"/>
      <c r="AW116" s="448"/>
      <c r="AX116" s="448"/>
      <c r="AY116" s="448"/>
      <c r="AZ116" s="448"/>
      <c r="BA116" s="448"/>
    </row>
    <row r="117" spans="1:53" ht="12.75" customHeight="1" x14ac:dyDescent="0.2">
      <c r="A117" s="484">
        <f>'Kalkulation Herstellungskosten'!B213</f>
        <v>0</v>
      </c>
      <c r="B117" s="456">
        <f>'Kalkulation Herstellungskosten'!C213</f>
        <v>0</v>
      </c>
      <c r="C117" s="456">
        <f>'Kalkulation Herstellungskosten'!F213</f>
        <v>0</v>
      </c>
      <c r="D117" s="448"/>
      <c r="E117" s="76"/>
      <c r="F117" s="76"/>
      <c r="G117" s="76"/>
      <c r="H117" s="468">
        <f t="shared" si="11"/>
        <v>0</v>
      </c>
      <c r="I117" s="76"/>
      <c r="J117" s="76"/>
      <c r="K117" s="468">
        <f t="shared" si="12"/>
        <v>0</v>
      </c>
      <c r="L117" s="76"/>
      <c r="M117" s="76"/>
      <c r="N117" s="76"/>
      <c r="O117" s="76"/>
      <c r="P117" s="76"/>
      <c r="Q117" s="76"/>
      <c r="R117" s="76"/>
      <c r="S117" s="76"/>
      <c r="T117" s="76"/>
      <c r="U117" s="468">
        <f t="shared" si="13"/>
        <v>0</v>
      </c>
      <c r="V117" s="448"/>
      <c r="W117" s="1317"/>
      <c r="X117" s="1317"/>
      <c r="Y117" s="1317"/>
      <c r="Z117" s="1317"/>
      <c r="AA117" s="1317"/>
      <c r="AB117" s="1317"/>
      <c r="AC117" s="1317"/>
      <c r="AD117" s="1317"/>
      <c r="AE117" s="1317"/>
      <c r="AF117" s="1317"/>
      <c r="AG117" s="448"/>
      <c r="AH117" s="448"/>
      <c r="AI117" s="448"/>
      <c r="AJ117" s="448"/>
      <c r="AK117" s="448"/>
      <c r="AL117" s="448"/>
      <c r="AM117" s="448"/>
      <c r="AN117" s="448"/>
      <c r="AO117" s="448"/>
      <c r="AP117" s="448"/>
      <c r="AQ117" s="448"/>
      <c r="AR117" s="448"/>
      <c r="AS117" s="448"/>
      <c r="AT117" s="448"/>
      <c r="AU117" s="448"/>
      <c r="AV117" s="448"/>
      <c r="AW117" s="448"/>
      <c r="AX117" s="448"/>
      <c r="AY117" s="448"/>
      <c r="AZ117" s="448"/>
      <c r="BA117" s="448"/>
    </row>
    <row r="118" spans="1:53" ht="12.75" customHeight="1" x14ac:dyDescent="0.2">
      <c r="A118" s="484">
        <f>'Kalkulation Herstellungskosten'!B214</f>
        <v>0</v>
      </c>
      <c r="B118" s="456">
        <f>'Kalkulation Herstellungskosten'!C214</f>
        <v>0</v>
      </c>
      <c r="C118" s="456">
        <f>'Kalkulation Herstellungskosten'!F214</f>
        <v>0</v>
      </c>
      <c r="D118" s="448"/>
      <c r="E118" s="76"/>
      <c r="F118" s="76"/>
      <c r="G118" s="76"/>
      <c r="H118" s="468">
        <f t="shared" si="11"/>
        <v>0</v>
      </c>
      <c r="I118" s="76"/>
      <c r="J118" s="76"/>
      <c r="K118" s="468">
        <f t="shared" si="12"/>
        <v>0</v>
      </c>
      <c r="L118" s="76"/>
      <c r="M118" s="76"/>
      <c r="N118" s="76"/>
      <c r="O118" s="76"/>
      <c r="P118" s="76"/>
      <c r="Q118" s="76"/>
      <c r="R118" s="76"/>
      <c r="S118" s="76"/>
      <c r="T118" s="76"/>
      <c r="U118" s="468">
        <f t="shared" si="13"/>
        <v>0</v>
      </c>
      <c r="V118" s="448"/>
      <c r="W118" s="1317"/>
      <c r="X118" s="1317"/>
      <c r="Y118" s="1317"/>
      <c r="Z118" s="1317"/>
      <c r="AA118" s="1317"/>
      <c r="AB118" s="1317"/>
      <c r="AC118" s="1317"/>
      <c r="AD118" s="1317"/>
      <c r="AE118" s="1317"/>
      <c r="AF118" s="1317"/>
      <c r="AG118" s="448"/>
      <c r="AH118" s="448"/>
      <c r="AI118" s="448"/>
      <c r="AJ118" s="448"/>
      <c r="AK118" s="448"/>
      <c r="AL118" s="448"/>
      <c r="AM118" s="448"/>
      <c r="AN118" s="448"/>
      <c r="AO118" s="448"/>
      <c r="AP118" s="448"/>
      <c r="AQ118" s="448"/>
      <c r="AR118" s="448"/>
      <c r="AS118" s="448"/>
      <c r="AT118" s="448"/>
      <c r="AU118" s="448"/>
      <c r="AV118" s="448"/>
      <c r="AW118" s="448"/>
      <c r="AX118" s="448"/>
      <c r="AY118" s="448"/>
      <c r="AZ118" s="448"/>
      <c r="BA118" s="448"/>
    </row>
    <row r="119" spans="1:53" ht="12.75" customHeight="1" x14ac:dyDescent="0.2">
      <c r="A119" s="484">
        <f>'Kalkulation Herstellungskosten'!B215</f>
        <v>0</v>
      </c>
      <c r="B119" s="456">
        <f>'Kalkulation Herstellungskosten'!C215</f>
        <v>0</v>
      </c>
      <c r="C119" s="456">
        <f>'Kalkulation Herstellungskosten'!F215</f>
        <v>0</v>
      </c>
      <c r="D119" s="448"/>
      <c r="E119" s="76"/>
      <c r="F119" s="76"/>
      <c r="G119" s="76"/>
      <c r="H119" s="468">
        <f t="shared" si="11"/>
        <v>0</v>
      </c>
      <c r="I119" s="76"/>
      <c r="J119" s="76"/>
      <c r="K119" s="468">
        <f t="shared" si="12"/>
        <v>0</v>
      </c>
      <c r="L119" s="76"/>
      <c r="M119" s="76"/>
      <c r="N119" s="76"/>
      <c r="O119" s="76"/>
      <c r="P119" s="76"/>
      <c r="Q119" s="76"/>
      <c r="R119" s="76"/>
      <c r="S119" s="76"/>
      <c r="T119" s="76"/>
      <c r="U119" s="468">
        <f t="shared" si="13"/>
        <v>0</v>
      </c>
      <c r="V119" s="448"/>
      <c r="W119" s="1317"/>
      <c r="X119" s="1317"/>
      <c r="Y119" s="1317"/>
      <c r="Z119" s="1317"/>
      <c r="AA119" s="1317"/>
      <c r="AB119" s="1317"/>
      <c r="AC119" s="1317"/>
      <c r="AD119" s="1317"/>
      <c r="AE119" s="1317"/>
      <c r="AF119" s="1317"/>
      <c r="AG119" s="448"/>
      <c r="AH119" s="448"/>
      <c r="AI119" s="448"/>
      <c r="AJ119" s="448"/>
      <c r="AK119" s="448"/>
      <c r="AL119" s="448"/>
      <c r="AM119" s="448"/>
      <c r="AN119" s="448"/>
      <c r="AO119" s="448"/>
      <c r="AP119" s="448"/>
      <c r="AQ119" s="448"/>
      <c r="AR119" s="448"/>
      <c r="AS119" s="448"/>
      <c r="AT119" s="448"/>
      <c r="AU119" s="448"/>
      <c r="AV119" s="448"/>
      <c r="AW119" s="448"/>
      <c r="AX119" s="448"/>
      <c r="AY119" s="448"/>
      <c r="AZ119" s="448"/>
      <c r="BA119" s="448"/>
    </row>
    <row r="120" spans="1:53" ht="12.75" customHeight="1" x14ac:dyDescent="0.2">
      <c r="A120" s="484">
        <f>'Kalkulation Herstellungskosten'!B216</f>
        <v>0</v>
      </c>
      <c r="B120" s="456">
        <f>'Kalkulation Herstellungskosten'!C216</f>
        <v>0</v>
      </c>
      <c r="C120" s="456">
        <f>'Kalkulation Herstellungskosten'!F216</f>
        <v>0</v>
      </c>
      <c r="D120" s="448"/>
      <c r="E120" s="76"/>
      <c r="F120" s="76"/>
      <c r="G120" s="76"/>
      <c r="H120" s="468">
        <f t="shared" si="11"/>
        <v>0</v>
      </c>
      <c r="I120" s="76"/>
      <c r="J120" s="76"/>
      <c r="K120" s="468">
        <f t="shared" si="12"/>
        <v>0</v>
      </c>
      <c r="L120" s="76"/>
      <c r="M120" s="76"/>
      <c r="N120" s="76"/>
      <c r="O120" s="76"/>
      <c r="P120" s="76"/>
      <c r="Q120" s="76"/>
      <c r="R120" s="76"/>
      <c r="S120" s="76"/>
      <c r="T120" s="76"/>
      <c r="U120" s="468">
        <f t="shared" si="13"/>
        <v>0</v>
      </c>
      <c r="V120" s="448"/>
      <c r="W120" s="1317"/>
      <c r="X120" s="1317"/>
      <c r="Y120" s="1317"/>
      <c r="Z120" s="1317"/>
      <c r="AA120" s="1317"/>
      <c r="AB120" s="1317"/>
      <c r="AC120" s="1317"/>
      <c r="AD120" s="1317"/>
      <c r="AE120" s="1317"/>
      <c r="AF120" s="1317"/>
      <c r="AG120" s="448"/>
      <c r="AH120" s="448"/>
      <c r="AI120" s="448"/>
      <c r="AJ120" s="448"/>
      <c r="AK120" s="448"/>
      <c r="AL120" s="448"/>
      <c r="AM120" s="448"/>
      <c r="AN120" s="448"/>
      <c r="AO120" s="448"/>
      <c r="AP120" s="448"/>
      <c r="AQ120" s="448"/>
      <c r="AR120" s="448"/>
      <c r="AS120" s="448"/>
      <c r="AT120" s="448"/>
      <c r="AU120" s="448"/>
      <c r="AV120" s="448"/>
      <c r="AW120" s="448"/>
      <c r="AX120" s="448"/>
      <c r="AY120" s="448"/>
      <c r="AZ120" s="448"/>
      <c r="BA120" s="448"/>
    </row>
    <row r="121" spans="1:53" ht="12.75" customHeight="1" x14ac:dyDescent="0.2">
      <c r="A121" s="484">
        <f>'Kalkulation Herstellungskosten'!B217</f>
        <v>0</v>
      </c>
      <c r="B121" s="456">
        <f>'Kalkulation Herstellungskosten'!C217</f>
        <v>0</v>
      </c>
      <c r="C121" s="456">
        <f>'Kalkulation Herstellungskosten'!F217</f>
        <v>0</v>
      </c>
      <c r="D121" s="448"/>
      <c r="E121" s="76"/>
      <c r="F121" s="76"/>
      <c r="G121" s="76"/>
      <c r="H121" s="468">
        <f t="shared" si="11"/>
        <v>0</v>
      </c>
      <c r="I121" s="76"/>
      <c r="J121" s="76"/>
      <c r="K121" s="468">
        <f t="shared" si="12"/>
        <v>0</v>
      </c>
      <c r="L121" s="76"/>
      <c r="M121" s="76"/>
      <c r="N121" s="76"/>
      <c r="O121" s="76"/>
      <c r="P121" s="76"/>
      <c r="Q121" s="76"/>
      <c r="R121" s="76"/>
      <c r="S121" s="76"/>
      <c r="T121" s="76"/>
      <c r="U121" s="468">
        <f t="shared" si="13"/>
        <v>0</v>
      </c>
      <c r="V121" s="448"/>
      <c r="W121" s="1317"/>
      <c r="X121" s="1317"/>
      <c r="Y121" s="1317"/>
      <c r="Z121" s="1317"/>
      <c r="AA121" s="1317"/>
      <c r="AB121" s="1317"/>
      <c r="AC121" s="1317"/>
      <c r="AD121" s="1317"/>
      <c r="AE121" s="1317"/>
      <c r="AF121" s="1317"/>
      <c r="AG121" s="448"/>
      <c r="AH121" s="448"/>
      <c r="AI121" s="448"/>
      <c r="AJ121" s="448"/>
      <c r="AK121" s="448"/>
      <c r="AL121" s="448"/>
      <c r="AM121" s="448"/>
      <c r="AN121" s="448"/>
      <c r="AO121" s="448"/>
      <c r="AP121" s="448"/>
      <c r="AQ121" s="448"/>
      <c r="AR121" s="448"/>
      <c r="AS121" s="448"/>
      <c r="AT121" s="448"/>
      <c r="AU121" s="448"/>
      <c r="AV121" s="448"/>
      <c r="AW121" s="448"/>
      <c r="AX121" s="448"/>
      <c r="AY121" s="448"/>
      <c r="AZ121" s="448"/>
      <c r="BA121" s="448"/>
    </row>
    <row r="122" spans="1:53" ht="12.75" customHeight="1" x14ac:dyDescent="0.2">
      <c r="A122" s="484">
        <f>'Kalkulation Herstellungskosten'!B218</f>
        <v>0</v>
      </c>
      <c r="B122" s="456">
        <f>'Kalkulation Herstellungskosten'!C218</f>
        <v>0</v>
      </c>
      <c r="C122" s="456">
        <f>'Kalkulation Herstellungskosten'!F218</f>
        <v>0</v>
      </c>
      <c r="D122" s="448"/>
      <c r="E122" s="76"/>
      <c r="F122" s="76"/>
      <c r="G122" s="76"/>
      <c r="H122" s="468">
        <f t="shared" si="11"/>
        <v>0</v>
      </c>
      <c r="I122" s="76"/>
      <c r="J122" s="76"/>
      <c r="K122" s="468">
        <f t="shared" si="12"/>
        <v>0</v>
      </c>
      <c r="L122" s="76"/>
      <c r="M122" s="76"/>
      <c r="N122" s="76"/>
      <c r="O122" s="76"/>
      <c r="P122" s="76"/>
      <c r="Q122" s="76"/>
      <c r="R122" s="76"/>
      <c r="S122" s="76"/>
      <c r="T122" s="76"/>
      <c r="U122" s="468">
        <f t="shared" si="13"/>
        <v>0</v>
      </c>
      <c r="V122" s="448"/>
      <c r="W122" s="1317"/>
      <c r="X122" s="1317"/>
      <c r="Y122" s="1317"/>
      <c r="Z122" s="1317"/>
      <c r="AA122" s="1317"/>
      <c r="AB122" s="1317"/>
      <c r="AC122" s="1317"/>
      <c r="AD122" s="1317"/>
      <c r="AE122" s="1317"/>
      <c r="AF122" s="1317"/>
      <c r="AG122" s="448"/>
      <c r="AH122" s="448"/>
      <c r="AI122" s="448"/>
      <c r="AJ122" s="448"/>
      <c r="AK122" s="448"/>
      <c r="AL122" s="448"/>
      <c r="AM122" s="448"/>
      <c r="AN122" s="448"/>
      <c r="AO122" s="448"/>
      <c r="AP122" s="448"/>
      <c r="AQ122" s="448"/>
      <c r="AR122" s="448"/>
      <c r="AS122" s="448"/>
      <c r="AT122" s="448"/>
      <c r="AU122" s="448"/>
      <c r="AV122" s="448"/>
      <c r="AW122" s="448"/>
      <c r="AX122" s="448"/>
      <c r="AY122" s="448"/>
      <c r="AZ122" s="448"/>
      <c r="BA122" s="448"/>
    </row>
    <row r="123" spans="1:53" ht="12.75" customHeight="1" x14ac:dyDescent="0.2">
      <c r="A123" s="484">
        <f>'Kalkulation Herstellungskosten'!B219</f>
        <v>0</v>
      </c>
      <c r="B123" s="456">
        <f>'Kalkulation Herstellungskosten'!C219</f>
        <v>0</v>
      </c>
      <c r="C123" s="456">
        <f>'Kalkulation Herstellungskosten'!F219</f>
        <v>0</v>
      </c>
      <c r="D123" s="448"/>
      <c r="E123" s="76"/>
      <c r="F123" s="76"/>
      <c r="G123" s="76"/>
      <c r="H123" s="468">
        <f t="shared" si="11"/>
        <v>0</v>
      </c>
      <c r="I123" s="76"/>
      <c r="J123" s="76"/>
      <c r="K123" s="468">
        <f t="shared" si="12"/>
        <v>0</v>
      </c>
      <c r="L123" s="76"/>
      <c r="M123" s="76"/>
      <c r="N123" s="76"/>
      <c r="O123" s="76"/>
      <c r="P123" s="76"/>
      <c r="Q123" s="76"/>
      <c r="R123" s="76"/>
      <c r="S123" s="76"/>
      <c r="T123" s="76"/>
      <c r="U123" s="468">
        <f t="shared" si="13"/>
        <v>0</v>
      </c>
      <c r="V123" s="448"/>
      <c r="W123" s="1317"/>
      <c r="X123" s="1317"/>
      <c r="Y123" s="1317"/>
      <c r="Z123" s="1317"/>
      <c r="AA123" s="1317"/>
      <c r="AB123" s="1317"/>
      <c r="AC123" s="1317"/>
      <c r="AD123" s="1317"/>
      <c r="AE123" s="1317"/>
      <c r="AF123" s="1317"/>
      <c r="AG123" s="448"/>
      <c r="AH123" s="448"/>
      <c r="AI123" s="448"/>
      <c r="AJ123" s="448"/>
      <c r="AK123" s="448"/>
      <c r="AL123" s="448"/>
      <c r="AM123" s="448"/>
      <c r="AN123" s="448"/>
      <c r="AO123" s="448"/>
      <c r="AP123" s="448"/>
      <c r="AQ123" s="448"/>
      <c r="AR123" s="448"/>
      <c r="AS123" s="448"/>
      <c r="AT123" s="448"/>
      <c r="AU123" s="448"/>
      <c r="AV123" s="448"/>
      <c r="AW123" s="448"/>
      <c r="AX123" s="448"/>
      <c r="AY123" s="448"/>
      <c r="AZ123" s="448"/>
      <c r="BA123" s="448"/>
    </row>
    <row r="124" spans="1:53" ht="12.75" customHeight="1" x14ac:dyDescent="0.2">
      <c r="A124" s="484">
        <f>'Kalkulation Herstellungskosten'!B220</f>
        <v>0</v>
      </c>
      <c r="B124" s="456">
        <f>'Kalkulation Herstellungskosten'!C220</f>
        <v>0</v>
      </c>
      <c r="C124" s="456">
        <f>'Kalkulation Herstellungskosten'!F220</f>
        <v>0</v>
      </c>
      <c r="D124" s="448"/>
      <c r="E124" s="76"/>
      <c r="F124" s="76"/>
      <c r="G124" s="76"/>
      <c r="H124" s="468">
        <f t="shared" si="11"/>
        <v>0</v>
      </c>
      <c r="I124" s="76"/>
      <c r="J124" s="76"/>
      <c r="K124" s="468">
        <f t="shared" si="12"/>
        <v>0</v>
      </c>
      <c r="L124" s="76"/>
      <c r="M124" s="76"/>
      <c r="N124" s="76"/>
      <c r="O124" s="76"/>
      <c r="P124" s="76"/>
      <c r="Q124" s="76"/>
      <c r="R124" s="76"/>
      <c r="S124" s="76"/>
      <c r="T124" s="76"/>
      <c r="U124" s="468">
        <f t="shared" si="13"/>
        <v>0</v>
      </c>
      <c r="V124" s="448"/>
      <c r="W124" s="1317"/>
      <c r="X124" s="1317"/>
      <c r="Y124" s="1317"/>
      <c r="Z124" s="1317"/>
      <c r="AA124" s="1317"/>
      <c r="AB124" s="1317"/>
      <c r="AC124" s="1317"/>
      <c r="AD124" s="1317"/>
      <c r="AE124" s="1317"/>
      <c r="AF124" s="1317"/>
      <c r="AG124" s="448"/>
      <c r="AH124" s="448"/>
      <c r="AI124" s="448"/>
      <c r="AJ124" s="448"/>
      <c r="AK124" s="448"/>
      <c r="AL124" s="448"/>
      <c r="AM124" s="448"/>
      <c r="AN124" s="448"/>
      <c r="AO124" s="448"/>
      <c r="AP124" s="448"/>
      <c r="AQ124" s="448"/>
      <c r="AR124" s="448"/>
      <c r="AS124" s="448"/>
      <c r="AT124" s="448"/>
      <c r="AU124" s="448"/>
      <c r="AV124" s="448"/>
      <c r="AW124" s="448"/>
      <c r="AX124" s="448"/>
      <c r="AY124" s="448"/>
      <c r="AZ124" s="448"/>
      <c r="BA124" s="448"/>
    </row>
    <row r="125" spans="1:53" ht="12.75" customHeight="1" x14ac:dyDescent="0.2">
      <c r="A125" s="484">
        <f>'Kalkulation Herstellungskosten'!B221</f>
        <v>0</v>
      </c>
      <c r="B125" s="456">
        <f>'Kalkulation Herstellungskosten'!C221</f>
        <v>0</v>
      </c>
      <c r="C125" s="456">
        <f>'Kalkulation Herstellungskosten'!F221</f>
        <v>0</v>
      </c>
      <c r="D125" s="448"/>
      <c r="E125" s="76"/>
      <c r="F125" s="76"/>
      <c r="G125" s="76"/>
      <c r="H125" s="468">
        <f t="shared" si="11"/>
        <v>0</v>
      </c>
      <c r="I125" s="76"/>
      <c r="J125" s="76"/>
      <c r="K125" s="468">
        <f t="shared" si="12"/>
        <v>0</v>
      </c>
      <c r="L125" s="76"/>
      <c r="M125" s="76"/>
      <c r="N125" s="76"/>
      <c r="O125" s="76"/>
      <c r="P125" s="76"/>
      <c r="Q125" s="76"/>
      <c r="R125" s="76"/>
      <c r="S125" s="76"/>
      <c r="T125" s="76"/>
      <c r="U125" s="468">
        <f t="shared" si="13"/>
        <v>0</v>
      </c>
      <c r="V125" s="448"/>
      <c r="W125" s="1317"/>
      <c r="X125" s="1317"/>
      <c r="Y125" s="1317"/>
      <c r="Z125" s="1317"/>
      <c r="AA125" s="1317"/>
      <c r="AB125" s="1317"/>
      <c r="AC125" s="1317"/>
      <c r="AD125" s="1317"/>
      <c r="AE125" s="1317"/>
      <c r="AF125" s="1317"/>
      <c r="AG125" s="448"/>
      <c r="AH125" s="448"/>
      <c r="AI125" s="448"/>
      <c r="AJ125" s="448"/>
      <c r="AK125" s="448"/>
      <c r="AL125" s="448"/>
      <c r="AM125" s="448"/>
      <c r="AN125" s="448"/>
      <c r="AO125" s="448"/>
      <c r="AP125" s="448"/>
      <c r="AQ125" s="448"/>
      <c r="AR125" s="448"/>
      <c r="AS125" s="448"/>
      <c r="AT125" s="448"/>
      <c r="AU125" s="448"/>
      <c r="AV125" s="448"/>
      <c r="AW125" s="448"/>
      <c r="AX125" s="448"/>
      <c r="AY125" s="448"/>
      <c r="AZ125" s="448"/>
      <c r="BA125" s="448"/>
    </row>
    <row r="126" spans="1:53" ht="12.75" customHeight="1" x14ac:dyDescent="0.2">
      <c r="A126" s="484">
        <f>'Kalkulation Herstellungskosten'!B222</f>
        <v>0</v>
      </c>
      <c r="B126" s="456">
        <f>'Kalkulation Herstellungskosten'!C222</f>
        <v>0</v>
      </c>
      <c r="C126" s="456">
        <f>'Kalkulation Herstellungskosten'!F222</f>
        <v>0</v>
      </c>
      <c r="D126" s="448"/>
      <c r="E126" s="76"/>
      <c r="F126" s="76"/>
      <c r="G126" s="76"/>
      <c r="H126" s="468">
        <f t="shared" si="11"/>
        <v>0</v>
      </c>
      <c r="I126" s="76"/>
      <c r="J126" s="76"/>
      <c r="K126" s="468">
        <f t="shared" si="12"/>
        <v>0</v>
      </c>
      <c r="L126" s="76"/>
      <c r="M126" s="76"/>
      <c r="N126" s="76"/>
      <c r="O126" s="76"/>
      <c r="P126" s="76"/>
      <c r="Q126" s="76"/>
      <c r="R126" s="76"/>
      <c r="S126" s="76"/>
      <c r="T126" s="76"/>
      <c r="U126" s="468">
        <f t="shared" si="13"/>
        <v>0</v>
      </c>
      <c r="V126" s="448"/>
      <c r="W126" s="1317"/>
      <c r="X126" s="1317"/>
      <c r="Y126" s="1317"/>
      <c r="Z126" s="1317"/>
      <c r="AA126" s="1317"/>
      <c r="AB126" s="1317"/>
      <c r="AC126" s="1317"/>
      <c r="AD126" s="1317"/>
      <c r="AE126" s="1317"/>
      <c r="AF126" s="1317"/>
      <c r="AG126" s="448"/>
      <c r="AH126" s="448"/>
      <c r="AI126" s="448"/>
      <c r="AJ126" s="448"/>
      <c r="AK126" s="448"/>
      <c r="AL126" s="448"/>
      <c r="AM126" s="448"/>
      <c r="AN126" s="448"/>
      <c r="AO126" s="448"/>
      <c r="AP126" s="448"/>
      <c r="AQ126" s="448"/>
      <c r="AR126" s="448"/>
      <c r="AS126" s="448"/>
      <c r="AT126" s="448"/>
      <c r="AU126" s="448"/>
      <c r="AV126" s="448"/>
      <c r="AW126" s="448"/>
      <c r="AX126" s="448"/>
      <c r="AY126" s="448"/>
      <c r="AZ126" s="448"/>
      <c r="BA126" s="448"/>
    </row>
    <row r="127" spans="1:53" ht="12.75" customHeight="1" x14ac:dyDescent="0.2">
      <c r="A127" s="484">
        <f>'Kalkulation Herstellungskosten'!B223</f>
        <v>0</v>
      </c>
      <c r="B127" s="456">
        <f>'Kalkulation Herstellungskosten'!C223</f>
        <v>0</v>
      </c>
      <c r="C127" s="456">
        <f>'Kalkulation Herstellungskosten'!F223</f>
        <v>0</v>
      </c>
      <c r="D127" s="448"/>
      <c r="E127" s="76"/>
      <c r="F127" s="76"/>
      <c r="G127" s="76"/>
      <c r="H127" s="468">
        <f t="shared" si="11"/>
        <v>0</v>
      </c>
      <c r="I127" s="76"/>
      <c r="J127" s="76"/>
      <c r="K127" s="468">
        <f t="shared" si="12"/>
        <v>0</v>
      </c>
      <c r="L127" s="76"/>
      <c r="M127" s="76"/>
      <c r="N127" s="76"/>
      <c r="O127" s="76"/>
      <c r="P127" s="76"/>
      <c r="Q127" s="76"/>
      <c r="R127" s="76"/>
      <c r="S127" s="76"/>
      <c r="T127" s="76"/>
      <c r="U127" s="468">
        <f t="shared" si="13"/>
        <v>0</v>
      </c>
      <c r="V127" s="448"/>
      <c r="W127" s="1317"/>
      <c r="X127" s="1317"/>
      <c r="Y127" s="1317"/>
      <c r="Z127" s="1317"/>
      <c r="AA127" s="1317"/>
      <c r="AB127" s="1317"/>
      <c r="AC127" s="1317"/>
      <c r="AD127" s="1317"/>
      <c r="AE127" s="1317"/>
      <c r="AF127" s="1317"/>
      <c r="AG127" s="448"/>
      <c r="AH127" s="448"/>
      <c r="AI127" s="448"/>
      <c r="AJ127" s="448"/>
      <c r="AK127" s="448"/>
      <c r="AL127" s="448"/>
      <c r="AM127" s="448"/>
      <c r="AN127" s="448"/>
      <c r="AO127" s="448"/>
      <c r="AP127" s="448"/>
      <c r="AQ127" s="448"/>
      <c r="AR127" s="448"/>
      <c r="AS127" s="448"/>
      <c r="AT127" s="448"/>
      <c r="AU127" s="448"/>
      <c r="AV127" s="448"/>
      <c r="AW127" s="448"/>
      <c r="AX127" s="448"/>
      <c r="AY127" s="448"/>
      <c r="AZ127" s="448"/>
      <c r="BA127" s="448"/>
    </row>
    <row r="128" spans="1:53" ht="12.75" customHeight="1" x14ac:dyDescent="0.2">
      <c r="A128" s="484">
        <f>'Kalkulation Herstellungskosten'!B224</f>
        <v>0</v>
      </c>
      <c r="B128" s="456">
        <f>'Kalkulation Herstellungskosten'!C224</f>
        <v>0</v>
      </c>
      <c r="C128" s="456">
        <f>'Kalkulation Herstellungskosten'!F224</f>
        <v>0</v>
      </c>
      <c r="D128" s="448"/>
      <c r="E128" s="76"/>
      <c r="F128" s="76"/>
      <c r="G128" s="76"/>
      <c r="H128" s="468">
        <f t="shared" si="11"/>
        <v>0</v>
      </c>
      <c r="I128" s="76"/>
      <c r="J128" s="76"/>
      <c r="K128" s="468">
        <f t="shared" si="12"/>
        <v>0</v>
      </c>
      <c r="L128" s="76"/>
      <c r="M128" s="76"/>
      <c r="N128" s="76"/>
      <c r="O128" s="76"/>
      <c r="P128" s="76"/>
      <c r="Q128" s="76"/>
      <c r="R128" s="76"/>
      <c r="S128" s="76"/>
      <c r="T128" s="76"/>
      <c r="U128" s="468">
        <f t="shared" si="13"/>
        <v>0</v>
      </c>
      <c r="V128" s="448"/>
      <c r="W128" s="1317"/>
      <c r="X128" s="1317"/>
      <c r="Y128" s="1317"/>
      <c r="Z128" s="1317"/>
      <c r="AA128" s="1317"/>
      <c r="AB128" s="1317"/>
      <c r="AC128" s="1317"/>
      <c r="AD128" s="1317"/>
      <c r="AE128" s="1317"/>
      <c r="AF128" s="1317"/>
      <c r="AG128" s="448"/>
      <c r="AH128" s="448"/>
      <c r="AI128" s="448"/>
      <c r="AJ128" s="448"/>
      <c r="AK128" s="448"/>
      <c r="AL128" s="448"/>
      <c r="AM128" s="448"/>
      <c r="AN128" s="448"/>
      <c r="AO128" s="448"/>
      <c r="AP128" s="448"/>
      <c r="AQ128" s="448"/>
      <c r="AR128" s="448"/>
      <c r="AS128" s="448"/>
      <c r="AT128" s="448"/>
      <c r="AU128" s="448"/>
      <c r="AV128" s="448"/>
      <c r="AW128" s="448"/>
      <c r="AX128" s="448"/>
      <c r="AY128" s="448"/>
      <c r="AZ128" s="448"/>
      <c r="BA128" s="448"/>
    </row>
    <row r="129" spans="1:53" ht="12.75" customHeight="1" x14ac:dyDescent="0.2">
      <c r="A129" s="484">
        <f>'Kalkulation Herstellungskosten'!B225</f>
        <v>0</v>
      </c>
      <c r="B129" s="456">
        <f>'Kalkulation Herstellungskosten'!C225</f>
        <v>0</v>
      </c>
      <c r="C129" s="456">
        <f>'Kalkulation Herstellungskosten'!F225</f>
        <v>0</v>
      </c>
      <c r="D129" s="448"/>
      <c r="E129" s="76"/>
      <c r="F129" s="76"/>
      <c r="G129" s="76"/>
      <c r="H129" s="468">
        <f t="shared" si="11"/>
        <v>0</v>
      </c>
      <c r="I129" s="76"/>
      <c r="J129" s="76"/>
      <c r="K129" s="468">
        <f t="shared" si="12"/>
        <v>0</v>
      </c>
      <c r="L129" s="76"/>
      <c r="M129" s="76"/>
      <c r="N129" s="76"/>
      <c r="O129" s="76"/>
      <c r="P129" s="76"/>
      <c r="Q129" s="76"/>
      <c r="R129" s="76"/>
      <c r="S129" s="76"/>
      <c r="T129" s="76"/>
      <c r="U129" s="468">
        <f t="shared" si="13"/>
        <v>0</v>
      </c>
      <c r="V129" s="448"/>
      <c r="W129" s="1317"/>
      <c r="X129" s="1317"/>
      <c r="Y129" s="1317"/>
      <c r="Z129" s="1317"/>
      <c r="AA129" s="1317"/>
      <c r="AB129" s="1317"/>
      <c r="AC129" s="1317"/>
      <c r="AD129" s="1317"/>
      <c r="AE129" s="1317"/>
      <c r="AF129" s="1317"/>
      <c r="AG129" s="448"/>
      <c r="AH129" s="448"/>
      <c r="AI129" s="448"/>
      <c r="AJ129" s="448"/>
      <c r="AK129" s="448"/>
      <c r="AL129" s="448"/>
      <c r="AM129" s="448"/>
      <c r="AN129" s="448"/>
      <c r="AO129" s="448"/>
      <c r="AP129" s="448"/>
      <c r="AQ129" s="448"/>
      <c r="AR129" s="448"/>
      <c r="AS129" s="448"/>
      <c r="AT129" s="448"/>
      <c r="AU129" s="448"/>
      <c r="AV129" s="448"/>
      <c r="AW129" s="448"/>
      <c r="AX129" s="448"/>
      <c r="AY129" s="448"/>
      <c r="AZ129" s="448"/>
      <c r="BA129" s="448"/>
    </row>
    <row r="130" spans="1:53" ht="12.75" customHeight="1" x14ac:dyDescent="0.2">
      <c r="A130" s="484">
        <f>'Kalkulation Herstellungskosten'!B226</f>
        <v>0</v>
      </c>
      <c r="B130" s="456">
        <f>'Kalkulation Herstellungskosten'!C226</f>
        <v>0</v>
      </c>
      <c r="C130" s="456">
        <f>'Kalkulation Herstellungskosten'!F226</f>
        <v>0</v>
      </c>
      <c r="D130" s="448"/>
      <c r="E130" s="76"/>
      <c r="F130" s="76"/>
      <c r="G130" s="76"/>
      <c r="H130" s="468">
        <f t="shared" si="11"/>
        <v>0</v>
      </c>
      <c r="I130" s="76"/>
      <c r="J130" s="76"/>
      <c r="K130" s="468">
        <f t="shared" si="12"/>
        <v>0</v>
      </c>
      <c r="L130" s="76"/>
      <c r="M130" s="76"/>
      <c r="N130" s="76"/>
      <c r="O130" s="76"/>
      <c r="P130" s="76"/>
      <c r="Q130" s="76"/>
      <c r="R130" s="76"/>
      <c r="S130" s="76"/>
      <c r="T130" s="76"/>
      <c r="U130" s="468">
        <f t="shared" si="13"/>
        <v>0</v>
      </c>
      <c r="V130" s="448"/>
      <c r="W130" s="1317"/>
      <c r="X130" s="1317"/>
      <c r="Y130" s="1317"/>
      <c r="Z130" s="1317"/>
      <c r="AA130" s="1317"/>
      <c r="AB130" s="1317"/>
      <c r="AC130" s="1317"/>
      <c r="AD130" s="1317"/>
      <c r="AE130" s="1317"/>
      <c r="AF130" s="1317"/>
      <c r="AG130" s="448"/>
      <c r="AH130" s="448"/>
      <c r="AI130" s="448"/>
      <c r="AJ130" s="448"/>
      <c r="AK130" s="448"/>
      <c r="AL130" s="448"/>
      <c r="AM130" s="448"/>
      <c r="AN130" s="448"/>
      <c r="AO130" s="448"/>
      <c r="AP130" s="448"/>
      <c r="AQ130" s="448"/>
      <c r="AR130" s="448"/>
      <c r="AS130" s="448"/>
      <c r="AT130" s="448"/>
      <c r="AU130" s="448"/>
      <c r="AV130" s="448"/>
      <c r="AW130" s="448"/>
      <c r="AX130" s="448"/>
      <c r="AY130" s="448"/>
      <c r="AZ130" s="448"/>
      <c r="BA130" s="448"/>
    </row>
    <row r="131" spans="1:53" ht="12.75" customHeight="1" x14ac:dyDescent="0.2">
      <c r="A131" s="484">
        <f>'Kalkulation Herstellungskosten'!B227</f>
        <v>0</v>
      </c>
      <c r="B131" s="456">
        <f>'Kalkulation Herstellungskosten'!C227</f>
        <v>0</v>
      </c>
      <c r="C131" s="456">
        <f>'Kalkulation Herstellungskosten'!F227</f>
        <v>0</v>
      </c>
      <c r="D131" s="448"/>
      <c r="E131" s="76"/>
      <c r="F131" s="76"/>
      <c r="G131" s="76"/>
      <c r="H131" s="468">
        <f t="shared" si="11"/>
        <v>0</v>
      </c>
      <c r="I131" s="76"/>
      <c r="J131" s="76"/>
      <c r="K131" s="468">
        <f t="shared" si="12"/>
        <v>0</v>
      </c>
      <c r="L131" s="76"/>
      <c r="M131" s="76"/>
      <c r="N131" s="76"/>
      <c r="O131" s="76"/>
      <c r="P131" s="76"/>
      <c r="Q131" s="76"/>
      <c r="R131" s="76"/>
      <c r="S131" s="76"/>
      <c r="T131" s="76"/>
      <c r="U131" s="468">
        <f t="shared" si="13"/>
        <v>0</v>
      </c>
      <c r="V131" s="448"/>
      <c r="W131" s="1317"/>
      <c r="X131" s="1317"/>
      <c r="Y131" s="1317"/>
      <c r="Z131" s="1317"/>
      <c r="AA131" s="1317"/>
      <c r="AB131" s="1317"/>
      <c r="AC131" s="1317"/>
      <c r="AD131" s="1317"/>
      <c r="AE131" s="1317"/>
      <c r="AF131" s="1317"/>
      <c r="AG131" s="448"/>
      <c r="AH131" s="448"/>
      <c r="AI131" s="448"/>
      <c r="AJ131" s="448"/>
      <c r="AK131" s="448"/>
      <c r="AL131" s="448"/>
      <c r="AM131" s="448"/>
      <c r="AN131" s="448"/>
      <c r="AO131" s="448"/>
      <c r="AP131" s="448"/>
      <c r="AQ131" s="448"/>
      <c r="AR131" s="448"/>
      <c r="AS131" s="448"/>
      <c r="AT131" s="448"/>
      <c r="AU131" s="448"/>
      <c r="AV131" s="448"/>
      <c r="AW131" s="448"/>
      <c r="AX131" s="448"/>
      <c r="AY131" s="448"/>
      <c r="AZ131" s="448"/>
      <c r="BA131" s="448"/>
    </row>
    <row r="132" spans="1:53" ht="12.75" customHeight="1" x14ac:dyDescent="0.2">
      <c r="A132" s="484">
        <f>'Kalkulation Herstellungskosten'!B228</f>
        <v>0</v>
      </c>
      <c r="B132" s="456">
        <f>'Kalkulation Herstellungskosten'!C228</f>
        <v>0</v>
      </c>
      <c r="C132" s="456">
        <f>'Kalkulation Herstellungskosten'!F228</f>
        <v>0</v>
      </c>
      <c r="D132" s="448"/>
      <c r="E132" s="76"/>
      <c r="F132" s="76"/>
      <c r="G132" s="76"/>
      <c r="H132" s="468">
        <f t="shared" si="11"/>
        <v>0</v>
      </c>
      <c r="I132" s="76"/>
      <c r="J132" s="76"/>
      <c r="K132" s="468">
        <f t="shared" si="12"/>
        <v>0</v>
      </c>
      <c r="L132" s="76"/>
      <c r="M132" s="76"/>
      <c r="N132" s="76"/>
      <c r="O132" s="76"/>
      <c r="P132" s="76"/>
      <c r="Q132" s="76"/>
      <c r="R132" s="76"/>
      <c r="S132" s="76"/>
      <c r="T132" s="76"/>
      <c r="U132" s="468">
        <f t="shared" si="13"/>
        <v>0</v>
      </c>
      <c r="V132" s="448"/>
      <c r="W132" s="1317"/>
      <c r="X132" s="1317"/>
      <c r="Y132" s="1317"/>
      <c r="Z132" s="1317"/>
      <c r="AA132" s="1317"/>
      <c r="AB132" s="1317"/>
      <c r="AC132" s="1317"/>
      <c r="AD132" s="1317"/>
      <c r="AE132" s="1317"/>
      <c r="AF132" s="1317"/>
      <c r="AG132" s="448"/>
      <c r="AH132" s="448"/>
      <c r="AI132" s="448"/>
      <c r="AJ132" s="448"/>
      <c r="AK132" s="448"/>
      <c r="AL132" s="448"/>
      <c r="AM132" s="448"/>
      <c r="AN132" s="448"/>
      <c r="AO132" s="448"/>
      <c r="AP132" s="448"/>
      <c r="AQ132" s="448"/>
      <c r="AR132" s="448"/>
      <c r="AS132" s="448"/>
      <c r="AT132" s="448"/>
      <c r="AU132" s="448"/>
      <c r="AV132" s="448"/>
      <c r="AW132" s="448"/>
      <c r="AX132" s="448"/>
      <c r="AY132" s="448"/>
      <c r="AZ132" s="448"/>
      <c r="BA132" s="448"/>
    </row>
    <row r="133" spans="1:53" ht="12.75" customHeight="1" x14ac:dyDescent="0.2">
      <c r="A133" s="484">
        <f>'Kalkulation Herstellungskosten'!B229</f>
        <v>0</v>
      </c>
      <c r="B133" s="456">
        <f>'Kalkulation Herstellungskosten'!C229</f>
        <v>0</v>
      </c>
      <c r="C133" s="456">
        <f>'Kalkulation Herstellungskosten'!F229</f>
        <v>0</v>
      </c>
      <c r="D133" s="448"/>
      <c r="E133" s="76"/>
      <c r="F133" s="76"/>
      <c r="G133" s="76"/>
      <c r="H133" s="468">
        <f t="shared" si="11"/>
        <v>0</v>
      </c>
      <c r="I133" s="76"/>
      <c r="J133" s="76"/>
      <c r="K133" s="468">
        <f t="shared" si="12"/>
        <v>0</v>
      </c>
      <c r="L133" s="76"/>
      <c r="M133" s="76"/>
      <c r="N133" s="76"/>
      <c r="O133" s="76"/>
      <c r="P133" s="76"/>
      <c r="Q133" s="76"/>
      <c r="R133" s="76"/>
      <c r="S133" s="76"/>
      <c r="T133" s="76"/>
      <c r="U133" s="468">
        <f t="shared" si="13"/>
        <v>0</v>
      </c>
      <c r="V133" s="448"/>
      <c r="W133" s="1317"/>
      <c r="X133" s="1317"/>
      <c r="Y133" s="1317"/>
      <c r="Z133" s="1317"/>
      <c r="AA133" s="1317"/>
      <c r="AB133" s="1317"/>
      <c r="AC133" s="1317"/>
      <c r="AD133" s="1317"/>
      <c r="AE133" s="1317"/>
      <c r="AF133" s="1317"/>
      <c r="AG133" s="448"/>
      <c r="AH133" s="448"/>
      <c r="AI133" s="448"/>
      <c r="AJ133" s="448"/>
      <c r="AK133" s="448"/>
      <c r="AL133" s="448"/>
      <c r="AM133" s="448"/>
      <c r="AN133" s="448"/>
      <c r="AO133" s="448"/>
      <c r="AP133" s="448"/>
      <c r="AQ133" s="448"/>
      <c r="AR133" s="448"/>
      <c r="AS133" s="448"/>
      <c r="AT133" s="448"/>
      <c r="AU133" s="448"/>
      <c r="AV133" s="448"/>
      <c r="AW133" s="448"/>
      <c r="AX133" s="448"/>
      <c r="AY133" s="448"/>
      <c r="AZ133" s="448"/>
      <c r="BA133" s="448"/>
    </row>
    <row r="134" spans="1:53" ht="12.75" customHeight="1" x14ac:dyDescent="0.2">
      <c r="A134" s="484">
        <f>'Kalkulation Herstellungskosten'!B230</f>
        <v>0</v>
      </c>
      <c r="B134" s="456">
        <f>'Kalkulation Herstellungskosten'!C230</f>
        <v>0</v>
      </c>
      <c r="C134" s="456">
        <f>'Kalkulation Herstellungskosten'!F230</f>
        <v>0</v>
      </c>
      <c r="D134" s="448"/>
      <c r="E134" s="76"/>
      <c r="F134" s="76"/>
      <c r="G134" s="76"/>
      <c r="H134" s="468">
        <f t="shared" si="11"/>
        <v>0</v>
      </c>
      <c r="I134" s="76"/>
      <c r="J134" s="76"/>
      <c r="K134" s="468">
        <f t="shared" si="12"/>
        <v>0</v>
      </c>
      <c r="L134" s="76"/>
      <c r="M134" s="76"/>
      <c r="N134" s="76"/>
      <c r="O134" s="76"/>
      <c r="P134" s="76"/>
      <c r="Q134" s="76"/>
      <c r="R134" s="76"/>
      <c r="S134" s="76"/>
      <c r="T134" s="76"/>
      <c r="U134" s="468">
        <f t="shared" si="13"/>
        <v>0</v>
      </c>
      <c r="V134" s="448"/>
      <c r="W134" s="1317"/>
      <c r="X134" s="1317"/>
      <c r="Y134" s="1317"/>
      <c r="Z134" s="1317"/>
      <c r="AA134" s="1317"/>
      <c r="AB134" s="1317"/>
      <c r="AC134" s="1317"/>
      <c r="AD134" s="1317"/>
      <c r="AE134" s="1317"/>
      <c r="AF134" s="1317"/>
      <c r="AG134" s="448"/>
      <c r="AH134" s="448"/>
      <c r="AI134" s="448"/>
      <c r="AJ134" s="448"/>
      <c r="AK134" s="448"/>
      <c r="AL134" s="448"/>
      <c r="AM134" s="448"/>
      <c r="AN134" s="448"/>
      <c r="AO134" s="448"/>
      <c r="AP134" s="448"/>
      <c r="AQ134" s="448"/>
      <c r="AR134" s="448"/>
      <c r="AS134" s="448"/>
      <c r="AT134" s="448"/>
      <c r="AU134" s="448"/>
      <c r="AV134" s="448"/>
      <c r="AW134" s="448"/>
      <c r="AX134" s="448"/>
      <c r="AY134" s="448"/>
      <c r="AZ134" s="448"/>
      <c r="BA134" s="448"/>
    </row>
    <row r="135" spans="1:53" ht="12.75" customHeight="1" x14ac:dyDescent="0.2">
      <c r="A135" s="484">
        <f>'Kalkulation Herstellungskosten'!B231</f>
        <v>0</v>
      </c>
      <c r="B135" s="456">
        <f>'Kalkulation Herstellungskosten'!C231</f>
        <v>0</v>
      </c>
      <c r="C135" s="456">
        <f>'Kalkulation Herstellungskosten'!F231</f>
        <v>0</v>
      </c>
      <c r="D135" s="448"/>
      <c r="E135" s="76"/>
      <c r="F135" s="76"/>
      <c r="G135" s="76"/>
      <c r="H135" s="468">
        <f t="shared" si="11"/>
        <v>0</v>
      </c>
      <c r="I135" s="76"/>
      <c r="J135" s="76"/>
      <c r="K135" s="468">
        <f t="shared" si="12"/>
        <v>0</v>
      </c>
      <c r="L135" s="76"/>
      <c r="M135" s="76"/>
      <c r="N135" s="76"/>
      <c r="O135" s="76"/>
      <c r="P135" s="76"/>
      <c r="Q135" s="76"/>
      <c r="R135" s="76"/>
      <c r="S135" s="76"/>
      <c r="T135" s="76"/>
      <c r="U135" s="468">
        <f t="shared" si="13"/>
        <v>0</v>
      </c>
      <c r="V135" s="448"/>
      <c r="W135" s="1317"/>
      <c r="X135" s="1317"/>
      <c r="Y135" s="1317"/>
      <c r="Z135" s="1317"/>
      <c r="AA135" s="1317"/>
      <c r="AB135" s="1317"/>
      <c r="AC135" s="1317"/>
      <c r="AD135" s="1317"/>
      <c r="AE135" s="1317"/>
      <c r="AF135" s="1317"/>
      <c r="AG135" s="448"/>
      <c r="AH135" s="448"/>
      <c r="AI135" s="448"/>
      <c r="AJ135" s="448"/>
      <c r="AK135" s="448"/>
      <c r="AL135" s="448"/>
      <c r="AM135" s="448"/>
      <c r="AN135" s="448"/>
      <c r="AO135" s="448"/>
      <c r="AP135" s="448"/>
      <c r="AQ135" s="448"/>
      <c r="AR135" s="448"/>
      <c r="AS135" s="448"/>
      <c r="AT135" s="448"/>
      <c r="AU135" s="448"/>
      <c r="AV135" s="448"/>
      <c r="AW135" s="448"/>
      <c r="AX135" s="448"/>
      <c r="AY135" s="448"/>
      <c r="AZ135" s="448"/>
      <c r="BA135" s="448"/>
    </row>
    <row r="136" spans="1:53" ht="12.75" customHeight="1" x14ac:dyDescent="0.2">
      <c r="A136" s="484">
        <f>'Kalkulation Herstellungskosten'!B232</f>
        <v>0</v>
      </c>
      <c r="B136" s="456">
        <f>'Kalkulation Herstellungskosten'!C232</f>
        <v>0</v>
      </c>
      <c r="C136" s="456">
        <f>'Kalkulation Herstellungskosten'!F232</f>
        <v>0</v>
      </c>
      <c r="D136" s="448"/>
      <c r="E136" s="76"/>
      <c r="F136" s="76"/>
      <c r="G136" s="76"/>
      <c r="H136" s="468">
        <f t="shared" si="11"/>
        <v>0</v>
      </c>
      <c r="I136" s="76"/>
      <c r="J136" s="76"/>
      <c r="K136" s="468">
        <f t="shared" si="12"/>
        <v>0</v>
      </c>
      <c r="L136" s="76"/>
      <c r="M136" s="76"/>
      <c r="N136" s="76"/>
      <c r="O136" s="76"/>
      <c r="P136" s="76"/>
      <c r="Q136" s="76"/>
      <c r="R136" s="76"/>
      <c r="S136" s="76"/>
      <c r="T136" s="76"/>
      <c r="U136" s="468">
        <f t="shared" si="13"/>
        <v>0</v>
      </c>
      <c r="V136" s="448"/>
      <c r="W136" s="1317"/>
      <c r="X136" s="1317"/>
      <c r="Y136" s="1317"/>
      <c r="Z136" s="1317"/>
      <c r="AA136" s="1317"/>
      <c r="AB136" s="1317"/>
      <c r="AC136" s="1317"/>
      <c r="AD136" s="1317"/>
      <c r="AE136" s="1317"/>
      <c r="AF136" s="1317"/>
      <c r="AG136" s="448"/>
      <c r="AH136" s="448"/>
      <c r="AI136" s="448"/>
      <c r="AJ136" s="448"/>
      <c r="AK136" s="448"/>
      <c r="AL136" s="448"/>
      <c r="AM136" s="448"/>
      <c r="AN136" s="448"/>
      <c r="AO136" s="448"/>
      <c r="AP136" s="448"/>
      <c r="AQ136" s="448"/>
      <c r="AR136" s="448"/>
      <c r="AS136" s="448"/>
      <c r="AT136" s="448"/>
      <c r="AU136" s="448"/>
      <c r="AV136" s="448"/>
      <c r="AW136" s="448"/>
      <c r="AX136" s="448"/>
      <c r="AY136" s="448"/>
      <c r="AZ136" s="448"/>
      <c r="BA136" s="448"/>
    </row>
    <row r="137" spans="1:53" ht="12.75" customHeight="1" x14ac:dyDescent="0.2">
      <c r="A137" s="484">
        <f>'Kalkulation Herstellungskosten'!B233</f>
        <v>0</v>
      </c>
      <c r="B137" s="456">
        <f>'Kalkulation Herstellungskosten'!C233</f>
        <v>0</v>
      </c>
      <c r="C137" s="456">
        <f>'Kalkulation Herstellungskosten'!F233</f>
        <v>0</v>
      </c>
      <c r="D137" s="448"/>
      <c r="E137" s="76"/>
      <c r="F137" s="76"/>
      <c r="G137" s="76"/>
      <c r="H137" s="468">
        <f t="shared" si="11"/>
        <v>0</v>
      </c>
      <c r="I137" s="76"/>
      <c r="J137" s="76"/>
      <c r="K137" s="468">
        <f t="shared" si="12"/>
        <v>0</v>
      </c>
      <c r="L137" s="76"/>
      <c r="M137" s="76"/>
      <c r="N137" s="76"/>
      <c r="O137" s="76"/>
      <c r="P137" s="76"/>
      <c r="Q137" s="76"/>
      <c r="R137" s="76"/>
      <c r="S137" s="76"/>
      <c r="T137" s="76"/>
      <c r="U137" s="468">
        <f t="shared" si="13"/>
        <v>0</v>
      </c>
      <c r="V137" s="448"/>
      <c r="W137" s="1317"/>
      <c r="X137" s="1317"/>
      <c r="Y137" s="1317"/>
      <c r="Z137" s="1317"/>
      <c r="AA137" s="1317"/>
      <c r="AB137" s="1317"/>
      <c r="AC137" s="1317"/>
      <c r="AD137" s="1317"/>
      <c r="AE137" s="1317"/>
      <c r="AF137" s="1317"/>
      <c r="AG137" s="448"/>
      <c r="AH137" s="448"/>
      <c r="AI137" s="448"/>
      <c r="AJ137" s="448"/>
      <c r="AK137" s="448"/>
      <c r="AL137" s="448"/>
      <c r="AM137" s="448"/>
      <c r="AN137" s="448"/>
      <c r="AO137" s="448"/>
      <c r="AP137" s="448"/>
      <c r="AQ137" s="448"/>
      <c r="AR137" s="448"/>
      <c r="AS137" s="448"/>
      <c r="AT137" s="448"/>
      <c r="AU137" s="448"/>
      <c r="AV137" s="448"/>
      <c r="AW137" s="448"/>
      <c r="AX137" s="448"/>
      <c r="AY137" s="448"/>
      <c r="AZ137" s="448"/>
      <c r="BA137" s="448"/>
    </row>
    <row r="138" spans="1:53" ht="12.75" customHeight="1" x14ac:dyDescent="0.2">
      <c r="A138" s="484">
        <f>'Kalkulation Herstellungskosten'!B234</f>
        <v>0</v>
      </c>
      <c r="B138" s="456">
        <f>'Kalkulation Herstellungskosten'!C234</f>
        <v>0</v>
      </c>
      <c r="C138" s="456">
        <f>'Kalkulation Herstellungskosten'!F234</f>
        <v>0</v>
      </c>
      <c r="D138" s="448"/>
      <c r="E138" s="76"/>
      <c r="F138" s="76"/>
      <c r="G138" s="76"/>
      <c r="H138" s="468">
        <f t="shared" ref="H138:H145" si="14">F138*G138</f>
        <v>0</v>
      </c>
      <c r="I138" s="76"/>
      <c r="J138" s="76"/>
      <c r="K138" s="468">
        <f t="shared" ref="K138:K145" si="15">I138*J138</f>
        <v>0</v>
      </c>
      <c r="L138" s="76"/>
      <c r="M138" s="76"/>
      <c r="N138" s="76"/>
      <c r="O138" s="76"/>
      <c r="P138" s="76"/>
      <c r="Q138" s="76"/>
      <c r="R138" s="76"/>
      <c r="S138" s="76"/>
      <c r="T138" s="76"/>
      <c r="U138" s="468">
        <f t="shared" ref="U138:U145" si="16">S138*T138</f>
        <v>0</v>
      </c>
      <c r="V138" s="448"/>
      <c r="W138" s="1317"/>
      <c r="X138" s="1317"/>
      <c r="Y138" s="1317"/>
      <c r="Z138" s="1317"/>
      <c r="AA138" s="1317"/>
      <c r="AB138" s="1317"/>
      <c r="AC138" s="1317"/>
      <c r="AD138" s="1317"/>
      <c r="AE138" s="1317"/>
      <c r="AF138" s="1317"/>
      <c r="AG138" s="448"/>
      <c r="AH138" s="448"/>
      <c r="AI138" s="448"/>
      <c r="AJ138" s="448"/>
      <c r="AK138" s="448"/>
      <c r="AL138" s="448"/>
      <c r="AM138" s="448"/>
      <c r="AN138" s="448"/>
      <c r="AO138" s="448"/>
      <c r="AP138" s="448"/>
      <c r="AQ138" s="448"/>
      <c r="AR138" s="448"/>
      <c r="AS138" s="448"/>
      <c r="AT138" s="448"/>
      <c r="AU138" s="448"/>
      <c r="AV138" s="448"/>
      <c r="AW138" s="448"/>
      <c r="AX138" s="448"/>
      <c r="AY138" s="448"/>
      <c r="AZ138" s="448"/>
      <c r="BA138" s="448"/>
    </row>
    <row r="139" spans="1:53" ht="12.75" customHeight="1" x14ac:dyDescent="0.2">
      <c r="A139" s="484">
        <f>'Kalkulation Herstellungskosten'!B235</f>
        <v>0</v>
      </c>
      <c r="B139" s="456">
        <f>'Kalkulation Herstellungskosten'!C235</f>
        <v>0</v>
      </c>
      <c r="C139" s="456">
        <f>'Kalkulation Herstellungskosten'!F235</f>
        <v>0</v>
      </c>
      <c r="D139" s="448"/>
      <c r="E139" s="76"/>
      <c r="F139" s="76"/>
      <c r="G139" s="76"/>
      <c r="H139" s="468">
        <f t="shared" si="14"/>
        <v>0</v>
      </c>
      <c r="I139" s="76"/>
      <c r="J139" s="76"/>
      <c r="K139" s="468">
        <f t="shared" si="15"/>
        <v>0</v>
      </c>
      <c r="L139" s="76"/>
      <c r="M139" s="76"/>
      <c r="N139" s="76"/>
      <c r="O139" s="76"/>
      <c r="P139" s="76"/>
      <c r="Q139" s="76"/>
      <c r="R139" s="76"/>
      <c r="S139" s="76"/>
      <c r="T139" s="76"/>
      <c r="U139" s="468">
        <f t="shared" si="16"/>
        <v>0</v>
      </c>
      <c r="V139" s="448"/>
      <c r="W139" s="1317"/>
      <c r="X139" s="1317"/>
      <c r="Y139" s="1317"/>
      <c r="Z139" s="1317"/>
      <c r="AA139" s="1317"/>
      <c r="AB139" s="1317"/>
      <c r="AC139" s="1317"/>
      <c r="AD139" s="1317"/>
      <c r="AE139" s="1317"/>
      <c r="AF139" s="1317"/>
      <c r="AG139" s="448"/>
      <c r="AH139" s="448"/>
      <c r="AI139" s="448"/>
      <c r="AJ139" s="448"/>
      <c r="AK139" s="448"/>
      <c r="AL139" s="448"/>
      <c r="AM139" s="448"/>
      <c r="AN139" s="448"/>
      <c r="AO139" s="448"/>
      <c r="AP139" s="448"/>
      <c r="AQ139" s="448"/>
      <c r="AR139" s="448"/>
      <c r="AS139" s="448"/>
      <c r="AT139" s="448"/>
      <c r="AU139" s="448"/>
      <c r="AV139" s="448"/>
      <c r="AW139" s="448"/>
      <c r="AX139" s="448"/>
      <c r="AY139" s="448"/>
      <c r="AZ139" s="448"/>
      <c r="BA139" s="448"/>
    </row>
    <row r="140" spans="1:53" ht="12.75" customHeight="1" x14ac:dyDescent="0.2">
      <c r="A140" s="484">
        <f>'Kalkulation Herstellungskosten'!B236</f>
        <v>0</v>
      </c>
      <c r="B140" s="456">
        <f>'Kalkulation Herstellungskosten'!C236</f>
        <v>0</v>
      </c>
      <c r="C140" s="456">
        <f>'Kalkulation Herstellungskosten'!F236</f>
        <v>0</v>
      </c>
      <c r="D140" s="448"/>
      <c r="E140" s="76"/>
      <c r="F140" s="76"/>
      <c r="G140" s="76"/>
      <c r="H140" s="468">
        <f t="shared" si="14"/>
        <v>0</v>
      </c>
      <c r="I140" s="76"/>
      <c r="J140" s="76"/>
      <c r="K140" s="468">
        <f t="shared" si="15"/>
        <v>0</v>
      </c>
      <c r="L140" s="76"/>
      <c r="M140" s="76"/>
      <c r="N140" s="76"/>
      <c r="O140" s="76"/>
      <c r="P140" s="76"/>
      <c r="Q140" s="76"/>
      <c r="R140" s="76"/>
      <c r="S140" s="76"/>
      <c r="T140" s="76"/>
      <c r="U140" s="468">
        <f t="shared" si="16"/>
        <v>0</v>
      </c>
      <c r="V140" s="448"/>
      <c r="W140" s="1317"/>
      <c r="X140" s="1317"/>
      <c r="Y140" s="1317"/>
      <c r="Z140" s="1317"/>
      <c r="AA140" s="1317"/>
      <c r="AB140" s="1317"/>
      <c r="AC140" s="1317"/>
      <c r="AD140" s="1317"/>
      <c r="AE140" s="1317"/>
      <c r="AF140" s="1317"/>
      <c r="AG140" s="448"/>
      <c r="AH140" s="448"/>
      <c r="AI140" s="448"/>
      <c r="AJ140" s="448"/>
      <c r="AK140" s="448"/>
      <c r="AL140" s="448"/>
      <c r="AM140" s="448"/>
      <c r="AN140" s="448"/>
      <c r="AO140" s="448"/>
      <c r="AP140" s="448"/>
      <c r="AQ140" s="448"/>
      <c r="AR140" s="448"/>
      <c r="AS140" s="448"/>
      <c r="AT140" s="448"/>
      <c r="AU140" s="448"/>
      <c r="AV140" s="448"/>
      <c r="AW140" s="448"/>
      <c r="AX140" s="448"/>
      <c r="AY140" s="448"/>
      <c r="AZ140" s="448"/>
      <c r="BA140" s="448"/>
    </row>
    <row r="141" spans="1:53" ht="12.75" customHeight="1" x14ac:dyDescent="0.2">
      <c r="A141" s="484">
        <f>'Kalkulation Herstellungskosten'!B237</f>
        <v>0</v>
      </c>
      <c r="B141" s="456">
        <f>'Kalkulation Herstellungskosten'!C237</f>
        <v>0</v>
      </c>
      <c r="C141" s="456">
        <f>'Kalkulation Herstellungskosten'!F237</f>
        <v>0</v>
      </c>
      <c r="D141" s="448"/>
      <c r="E141" s="76"/>
      <c r="F141" s="76"/>
      <c r="G141" s="76"/>
      <c r="H141" s="468">
        <f t="shared" si="14"/>
        <v>0</v>
      </c>
      <c r="I141" s="76"/>
      <c r="J141" s="76"/>
      <c r="K141" s="468">
        <f t="shared" si="15"/>
        <v>0</v>
      </c>
      <c r="L141" s="76"/>
      <c r="M141" s="76"/>
      <c r="N141" s="76"/>
      <c r="O141" s="76"/>
      <c r="P141" s="76"/>
      <c r="Q141" s="76"/>
      <c r="R141" s="76"/>
      <c r="S141" s="76"/>
      <c r="T141" s="76"/>
      <c r="U141" s="468">
        <f t="shared" si="16"/>
        <v>0</v>
      </c>
      <c r="V141" s="448"/>
      <c r="W141" s="1317"/>
      <c r="X141" s="1317"/>
      <c r="Y141" s="1317"/>
      <c r="Z141" s="1317"/>
      <c r="AA141" s="1317"/>
      <c r="AB141" s="1317"/>
      <c r="AC141" s="1317"/>
      <c r="AD141" s="1317"/>
      <c r="AE141" s="1317"/>
      <c r="AF141" s="1317"/>
      <c r="AG141" s="448"/>
      <c r="AH141" s="448"/>
      <c r="AI141" s="448"/>
      <c r="AJ141" s="448"/>
      <c r="AK141" s="448"/>
      <c r="AL141" s="448"/>
      <c r="AM141" s="448"/>
      <c r="AN141" s="448"/>
      <c r="AO141" s="448"/>
      <c r="AP141" s="448"/>
      <c r="AQ141" s="448"/>
      <c r="AR141" s="448"/>
      <c r="AS141" s="448"/>
      <c r="AT141" s="448"/>
      <c r="AU141" s="448"/>
      <c r="AV141" s="448"/>
      <c r="AW141" s="448"/>
      <c r="AX141" s="448"/>
      <c r="AY141" s="448"/>
      <c r="AZ141" s="448"/>
      <c r="BA141" s="448"/>
    </row>
    <row r="142" spans="1:53" ht="12.75" customHeight="1" x14ac:dyDescent="0.2">
      <c r="A142" s="484">
        <f>'Kalkulation Herstellungskosten'!B238</f>
        <v>0</v>
      </c>
      <c r="B142" s="456">
        <f>'Kalkulation Herstellungskosten'!C238</f>
        <v>0</v>
      </c>
      <c r="C142" s="456">
        <f>'Kalkulation Herstellungskosten'!F238</f>
        <v>0</v>
      </c>
      <c r="D142" s="448"/>
      <c r="E142" s="76"/>
      <c r="F142" s="76"/>
      <c r="G142" s="76"/>
      <c r="H142" s="468">
        <f t="shared" si="14"/>
        <v>0</v>
      </c>
      <c r="I142" s="76"/>
      <c r="J142" s="76"/>
      <c r="K142" s="468">
        <f t="shared" si="15"/>
        <v>0</v>
      </c>
      <c r="L142" s="76"/>
      <c r="M142" s="76"/>
      <c r="N142" s="76"/>
      <c r="O142" s="76"/>
      <c r="P142" s="76"/>
      <c r="Q142" s="76"/>
      <c r="R142" s="76"/>
      <c r="S142" s="76"/>
      <c r="T142" s="76"/>
      <c r="U142" s="468">
        <f t="shared" si="16"/>
        <v>0</v>
      </c>
      <c r="V142" s="448"/>
      <c r="W142" s="1317"/>
      <c r="X142" s="1317"/>
      <c r="Y142" s="1317"/>
      <c r="Z142" s="1317"/>
      <c r="AA142" s="1317"/>
      <c r="AB142" s="1317"/>
      <c r="AC142" s="1317"/>
      <c r="AD142" s="1317"/>
      <c r="AE142" s="1317"/>
      <c r="AF142" s="1317"/>
      <c r="AG142" s="448"/>
      <c r="AH142" s="448"/>
      <c r="AI142" s="448"/>
      <c r="AJ142" s="448"/>
      <c r="AK142" s="448"/>
      <c r="AL142" s="448"/>
      <c r="AM142" s="448"/>
      <c r="AN142" s="448"/>
      <c r="AO142" s="448"/>
      <c r="AP142" s="448"/>
      <c r="AQ142" s="448"/>
      <c r="AR142" s="448"/>
      <c r="AS142" s="448"/>
      <c r="AT142" s="448"/>
      <c r="AU142" s="448"/>
      <c r="AV142" s="448"/>
      <c r="AW142" s="448"/>
      <c r="AX142" s="448"/>
      <c r="AY142" s="448"/>
      <c r="AZ142" s="448"/>
      <c r="BA142" s="448"/>
    </row>
    <row r="143" spans="1:53" ht="12.75" customHeight="1" x14ac:dyDescent="0.2">
      <c r="A143" s="484">
        <f>'Kalkulation Herstellungskosten'!B239</f>
        <v>0</v>
      </c>
      <c r="B143" s="456">
        <f>'Kalkulation Herstellungskosten'!C239</f>
        <v>0</v>
      </c>
      <c r="C143" s="456">
        <f>'Kalkulation Herstellungskosten'!F239</f>
        <v>0</v>
      </c>
      <c r="D143" s="448"/>
      <c r="E143" s="76"/>
      <c r="F143" s="76"/>
      <c r="G143" s="76"/>
      <c r="H143" s="468">
        <f t="shared" si="14"/>
        <v>0</v>
      </c>
      <c r="I143" s="76"/>
      <c r="J143" s="76"/>
      <c r="K143" s="468">
        <f t="shared" si="15"/>
        <v>0</v>
      </c>
      <c r="L143" s="76"/>
      <c r="M143" s="76"/>
      <c r="N143" s="76"/>
      <c r="O143" s="76"/>
      <c r="P143" s="76"/>
      <c r="Q143" s="76"/>
      <c r="R143" s="76"/>
      <c r="S143" s="76"/>
      <c r="T143" s="76"/>
      <c r="U143" s="468">
        <f t="shared" si="16"/>
        <v>0</v>
      </c>
      <c r="V143" s="448"/>
      <c r="W143" s="1317"/>
      <c r="X143" s="1317"/>
      <c r="Y143" s="1317"/>
      <c r="Z143" s="1317"/>
      <c r="AA143" s="1317"/>
      <c r="AB143" s="1317"/>
      <c r="AC143" s="1317"/>
      <c r="AD143" s="1317"/>
      <c r="AE143" s="1317"/>
      <c r="AF143" s="1317"/>
      <c r="AG143" s="448"/>
      <c r="AH143" s="448"/>
      <c r="AI143" s="448"/>
      <c r="AJ143" s="448"/>
      <c r="AK143" s="448"/>
      <c r="AL143" s="448"/>
      <c r="AM143" s="448"/>
      <c r="AN143" s="448"/>
      <c r="AO143" s="448"/>
      <c r="AP143" s="448"/>
      <c r="AQ143" s="448"/>
      <c r="AR143" s="448"/>
      <c r="AS143" s="448"/>
      <c r="AT143" s="448"/>
      <c r="AU143" s="448"/>
      <c r="AV143" s="448"/>
      <c r="AW143" s="448"/>
      <c r="AX143" s="448"/>
      <c r="AY143" s="448"/>
      <c r="AZ143" s="448"/>
      <c r="BA143" s="448"/>
    </row>
    <row r="144" spans="1:53" ht="12.75" customHeight="1" x14ac:dyDescent="0.2">
      <c r="A144" s="484">
        <f>'Kalkulation Herstellungskosten'!B240</f>
        <v>0</v>
      </c>
      <c r="B144" s="456">
        <f>'Kalkulation Herstellungskosten'!C240</f>
        <v>0</v>
      </c>
      <c r="C144" s="456">
        <f>'Kalkulation Herstellungskosten'!F240</f>
        <v>0</v>
      </c>
      <c r="D144" s="448"/>
      <c r="E144" s="76"/>
      <c r="F144" s="76"/>
      <c r="G144" s="76"/>
      <c r="H144" s="468">
        <f t="shared" si="14"/>
        <v>0</v>
      </c>
      <c r="I144" s="76"/>
      <c r="J144" s="76"/>
      <c r="K144" s="468">
        <f t="shared" si="15"/>
        <v>0</v>
      </c>
      <c r="L144" s="76"/>
      <c r="M144" s="76"/>
      <c r="N144" s="76"/>
      <c r="O144" s="76"/>
      <c r="P144" s="76"/>
      <c r="Q144" s="76"/>
      <c r="R144" s="76"/>
      <c r="S144" s="76"/>
      <c r="T144" s="76"/>
      <c r="U144" s="468">
        <f t="shared" si="16"/>
        <v>0</v>
      </c>
      <c r="V144" s="448"/>
      <c r="W144" s="1317"/>
      <c r="X144" s="1317"/>
      <c r="Y144" s="1317"/>
      <c r="Z144" s="1317"/>
      <c r="AA144" s="1317"/>
      <c r="AB144" s="1317"/>
      <c r="AC144" s="1317"/>
      <c r="AD144" s="1317"/>
      <c r="AE144" s="1317"/>
      <c r="AF144" s="1317"/>
      <c r="AG144" s="448"/>
      <c r="AH144" s="448"/>
      <c r="AI144" s="448"/>
      <c r="AJ144" s="448"/>
      <c r="AK144" s="448"/>
      <c r="AL144" s="448"/>
      <c r="AM144" s="448"/>
      <c r="AN144" s="448"/>
      <c r="AO144" s="448"/>
      <c r="AP144" s="448"/>
      <c r="AQ144" s="448"/>
      <c r="AR144" s="448"/>
      <c r="AS144" s="448"/>
      <c r="AT144" s="448"/>
      <c r="AU144" s="448"/>
      <c r="AV144" s="448"/>
      <c r="AW144" s="448"/>
      <c r="AX144" s="448"/>
      <c r="AY144" s="448"/>
      <c r="AZ144" s="448"/>
      <c r="BA144" s="448"/>
    </row>
    <row r="145" spans="1:53" ht="12.75" customHeight="1" x14ac:dyDescent="0.2">
      <c r="A145" s="484">
        <f>'Kalkulation Herstellungskosten'!B241</f>
        <v>0</v>
      </c>
      <c r="B145" s="456">
        <f>'Kalkulation Herstellungskosten'!C241</f>
        <v>0</v>
      </c>
      <c r="C145" s="456">
        <f>'Kalkulation Herstellungskosten'!F241</f>
        <v>0</v>
      </c>
      <c r="D145" s="448"/>
      <c r="E145" s="76"/>
      <c r="F145" s="76"/>
      <c r="G145" s="76"/>
      <c r="H145" s="468">
        <f t="shared" si="14"/>
        <v>0</v>
      </c>
      <c r="I145" s="76"/>
      <c r="J145" s="76"/>
      <c r="K145" s="468">
        <f t="shared" si="15"/>
        <v>0</v>
      </c>
      <c r="L145" s="76"/>
      <c r="M145" s="76"/>
      <c r="N145" s="76"/>
      <c r="O145" s="76"/>
      <c r="P145" s="76"/>
      <c r="Q145" s="76"/>
      <c r="R145" s="76"/>
      <c r="S145" s="76"/>
      <c r="T145" s="76"/>
      <c r="U145" s="468">
        <f t="shared" si="16"/>
        <v>0</v>
      </c>
      <c r="V145" s="448"/>
      <c r="W145" s="1317"/>
      <c r="X145" s="1317"/>
      <c r="Y145" s="1317"/>
      <c r="Z145" s="1317"/>
      <c r="AA145" s="1317"/>
      <c r="AB145" s="1317"/>
      <c r="AC145" s="1317"/>
      <c r="AD145" s="1317"/>
      <c r="AE145" s="1317"/>
      <c r="AF145" s="1317"/>
      <c r="AG145" s="448"/>
      <c r="AH145" s="448"/>
      <c r="AI145" s="448"/>
      <c r="AJ145" s="448"/>
      <c r="AK145" s="448"/>
      <c r="AL145" s="448"/>
      <c r="AM145" s="448"/>
      <c r="AN145" s="448"/>
      <c r="AO145" s="448"/>
      <c r="AP145" s="448"/>
      <c r="AQ145" s="448"/>
      <c r="AR145" s="448"/>
      <c r="AS145" s="448"/>
      <c r="AT145" s="448"/>
      <c r="AU145" s="448"/>
      <c r="AV145" s="448"/>
      <c r="AW145" s="448"/>
      <c r="AX145" s="448"/>
      <c r="AY145" s="448"/>
      <c r="AZ145" s="448"/>
      <c r="BA145" s="448"/>
    </row>
    <row r="146" spans="1:53" ht="12.75" customHeight="1" x14ac:dyDescent="0.2">
      <c r="A146" s="486"/>
      <c r="B146" s="486"/>
      <c r="C146" s="458"/>
      <c r="D146" s="458"/>
      <c r="E146" s="458"/>
      <c r="F146" s="458"/>
      <c r="G146" s="458"/>
      <c r="H146" s="458"/>
      <c r="I146" s="458"/>
      <c r="J146" s="458"/>
      <c r="K146" s="458"/>
      <c r="L146" s="458"/>
      <c r="M146" s="458"/>
      <c r="N146" s="458"/>
      <c r="O146" s="458"/>
      <c r="P146" s="458"/>
      <c r="Q146" s="458"/>
      <c r="R146" s="458"/>
      <c r="S146" s="458"/>
      <c r="T146" s="458"/>
      <c r="U146" s="458"/>
      <c r="V146" s="458"/>
      <c r="W146" s="1317"/>
      <c r="X146" s="1317"/>
      <c r="Y146" s="1317"/>
      <c r="Z146" s="1317"/>
      <c r="AA146" s="1317"/>
      <c r="AB146" s="1317"/>
      <c r="AC146" s="1317"/>
      <c r="AD146" s="1317"/>
      <c r="AE146" s="1317"/>
      <c r="AF146" s="1317"/>
      <c r="AG146" s="448"/>
      <c r="AH146" s="448"/>
      <c r="AI146" s="448"/>
      <c r="AJ146" s="448"/>
      <c r="AK146" s="448"/>
      <c r="AL146" s="448"/>
      <c r="AM146" s="448"/>
      <c r="AN146" s="448"/>
      <c r="AO146" s="448"/>
      <c r="AP146" s="448"/>
      <c r="AQ146" s="448"/>
      <c r="AR146" s="448"/>
      <c r="AS146" s="448"/>
      <c r="AT146" s="448"/>
      <c r="AU146" s="448"/>
      <c r="AV146" s="448"/>
      <c r="AW146" s="448"/>
      <c r="AX146" s="448"/>
      <c r="AY146" s="448"/>
      <c r="AZ146" s="448"/>
      <c r="BA146" s="448"/>
    </row>
    <row r="147" spans="1:53" ht="12.75" customHeight="1" x14ac:dyDescent="0.2">
      <c r="A147" s="487" t="s">
        <v>477</v>
      </c>
      <c r="B147" s="487"/>
      <c r="C147" s="458"/>
      <c r="D147" s="458"/>
      <c r="E147" s="458"/>
      <c r="F147" s="458"/>
      <c r="G147" s="458"/>
      <c r="H147" s="458"/>
      <c r="I147" s="458"/>
      <c r="J147" s="458"/>
      <c r="K147" s="458"/>
      <c r="L147" s="458"/>
      <c r="M147" s="458"/>
      <c r="N147" s="458"/>
      <c r="O147" s="458"/>
      <c r="P147" s="458"/>
      <c r="Q147" s="458"/>
      <c r="R147" s="458"/>
      <c r="S147" s="458"/>
      <c r="T147" s="458"/>
      <c r="U147" s="458"/>
      <c r="V147" s="458"/>
      <c r="W147" s="1317"/>
      <c r="X147" s="1317"/>
      <c r="Y147" s="1317"/>
      <c r="Z147" s="1317"/>
      <c r="AA147" s="1317"/>
      <c r="AB147" s="1317"/>
      <c r="AC147" s="1317"/>
      <c r="AD147" s="1317"/>
      <c r="AE147" s="1317"/>
      <c r="AF147" s="1317"/>
      <c r="AG147" s="448"/>
      <c r="AH147" s="448"/>
      <c r="AI147" s="448"/>
      <c r="AJ147" s="448"/>
      <c r="AK147" s="448"/>
      <c r="AL147" s="448"/>
      <c r="AM147" s="448"/>
      <c r="AN147" s="448"/>
      <c r="AO147" s="448"/>
      <c r="AP147" s="448"/>
      <c r="AQ147" s="448"/>
      <c r="AR147" s="448"/>
      <c r="AS147" s="448"/>
      <c r="AT147" s="448"/>
      <c r="AU147" s="448"/>
      <c r="AV147" s="448"/>
      <c r="AW147" s="448"/>
      <c r="AX147" s="448"/>
      <c r="AY147" s="448"/>
      <c r="AZ147" s="448"/>
      <c r="BA147" s="448"/>
    </row>
    <row r="148" spans="1:53" ht="12.75" customHeight="1" x14ac:dyDescent="0.2">
      <c r="A148" s="484" t="str">
        <f>'Kalkulation Herstellungskosten'!B264</f>
        <v>ProduzentInnenhonorar (gem. Richtlinien)</v>
      </c>
      <c r="B148" s="456"/>
      <c r="C148" s="456">
        <f ca="1">'Kalkulation Herstellungskosten'!E264</f>
        <v>0</v>
      </c>
      <c r="D148" s="448"/>
      <c r="E148" s="76"/>
      <c r="F148" s="76"/>
      <c r="G148" s="76"/>
      <c r="H148" s="468">
        <f>F148*G148</f>
        <v>0</v>
      </c>
      <c r="I148" s="76"/>
      <c r="J148" s="76"/>
      <c r="K148" s="468">
        <f>I148*J148</f>
        <v>0</v>
      </c>
      <c r="L148" s="76"/>
      <c r="M148" s="76"/>
      <c r="N148" s="76"/>
      <c r="O148" s="76"/>
      <c r="P148" s="76"/>
      <c r="Q148" s="76"/>
      <c r="R148" s="76"/>
      <c r="S148" s="76"/>
      <c r="T148" s="76"/>
      <c r="U148" s="468">
        <f t="shared" ref="U148:U154" si="17">S148*T148</f>
        <v>0</v>
      </c>
      <c r="V148" s="448"/>
      <c r="W148" s="1317"/>
      <c r="X148" s="1317"/>
      <c r="Y148" s="1317"/>
      <c r="Z148" s="1317"/>
      <c r="AA148" s="1317"/>
      <c r="AB148" s="1317"/>
      <c r="AC148" s="1317"/>
      <c r="AD148" s="1317"/>
      <c r="AE148" s="1317"/>
      <c r="AF148" s="1317"/>
      <c r="AG148" s="448"/>
      <c r="AH148" s="448"/>
      <c r="AI148" s="448"/>
      <c r="AJ148" s="448"/>
      <c r="AK148" s="448"/>
      <c r="AL148" s="448"/>
      <c r="AM148" s="448"/>
      <c r="AN148" s="448"/>
      <c r="AO148" s="448"/>
      <c r="AP148" s="448"/>
      <c r="AQ148" s="448"/>
      <c r="AR148" s="448"/>
      <c r="AS148" s="448"/>
      <c r="AT148" s="448"/>
      <c r="AU148" s="448"/>
      <c r="AV148" s="448"/>
      <c r="AW148" s="448"/>
      <c r="AX148" s="448"/>
      <c r="AY148" s="448"/>
      <c r="AZ148" s="448"/>
      <c r="BA148" s="448"/>
    </row>
    <row r="149" spans="1:53" ht="12.75" customHeight="1" x14ac:dyDescent="0.2">
      <c r="A149" s="484" t="str">
        <f>'Kalkulation Herstellungskosten'!B265</f>
        <v>Rechtsberatung</v>
      </c>
      <c r="B149" s="456"/>
      <c r="C149" s="456">
        <f>'Kalkulation Herstellungskosten'!E265</f>
        <v>0</v>
      </c>
      <c r="D149" s="448"/>
      <c r="E149" s="76"/>
      <c r="F149" s="76"/>
      <c r="G149" s="76"/>
      <c r="H149" s="468">
        <f t="shared" ref="H149:H154" si="18">F149*G149</f>
        <v>0</v>
      </c>
      <c r="I149" s="76"/>
      <c r="J149" s="76"/>
      <c r="K149" s="468">
        <f t="shared" ref="K149:K154" si="19">I149*J149</f>
        <v>0</v>
      </c>
      <c r="L149" s="76"/>
      <c r="M149" s="76"/>
      <c r="N149" s="76"/>
      <c r="O149" s="76"/>
      <c r="P149" s="76"/>
      <c r="Q149" s="76"/>
      <c r="R149" s="76"/>
      <c r="S149" s="76"/>
      <c r="T149" s="76"/>
      <c r="U149" s="468">
        <f t="shared" si="17"/>
        <v>0</v>
      </c>
      <c r="V149" s="448"/>
      <c r="W149" s="1317"/>
      <c r="X149" s="1317"/>
      <c r="Y149" s="1317"/>
      <c r="Z149" s="1317"/>
      <c r="AA149" s="1317"/>
      <c r="AB149" s="1317"/>
      <c r="AC149" s="1317"/>
      <c r="AD149" s="1317"/>
      <c r="AE149" s="1317"/>
      <c r="AF149" s="1317"/>
      <c r="AG149" s="448"/>
      <c r="AH149" s="448"/>
      <c r="AI149" s="448"/>
      <c r="AJ149" s="448"/>
      <c r="AK149" s="448"/>
      <c r="AL149" s="448"/>
      <c r="AM149" s="448"/>
      <c r="AN149" s="448"/>
      <c r="AO149" s="448"/>
      <c r="AP149" s="448"/>
      <c r="AQ149" s="448"/>
      <c r="AR149" s="448"/>
      <c r="AS149" s="448"/>
      <c r="AT149" s="448"/>
      <c r="AU149" s="448"/>
      <c r="AV149" s="448"/>
      <c r="AW149" s="448"/>
      <c r="AX149" s="448"/>
      <c r="AY149" s="448"/>
      <c r="AZ149" s="448"/>
      <c r="BA149" s="448"/>
    </row>
    <row r="150" spans="1:53" ht="12.75" customHeight="1" x14ac:dyDescent="0.2">
      <c r="A150" s="484" t="str">
        <f>'Kalkulation Herstellungskosten'!B266</f>
        <v>ArchitektIn/Ausstattung</v>
      </c>
      <c r="B150" s="456"/>
      <c r="C150" s="456">
        <f>'Kalkulation Herstellungskosten'!E266</f>
        <v>0</v>
      </c>
      <c r="D150" s="448"/>
      <c r="E150" s="76"/>
      <c r="F150" s="76"/>
      <c r="G150" s="76"/>
      <c r="H150" s="468">
        <f t="shared" si="18"/>
        <v>0</v>
      </c>
      <c r="I150" s="76"/>
      <c r="J150" s="76"/>
      <c r="K150" s="468">
        <f t="shared" si="19"/>
        <v>0</v>
      </c>
      <c r="L150" s="76"/>
      <c r="M150" s="76"/>
      <c r="N150" s="76"/>
      <c r="O150" s="76"/>
      <c r="P150" s="76"/>
      <c r="Q150" s="76"/>
      <c r="R150" s="76"/>
      <c r="S150" s="76"/>
      <c r="T150" s="76"/>
      <c r="U150" s="468">
        <f t="shared" si="17"/>
        <v>0</v>
      </c>
      <c r="V150" s="448"/>
      <c r="W150" s="1317"/>
      <c r="X150" s="1317"/>
      <c r="Y150" s="1317"/>
      <c r="Z150" s="1317"/>
      <c r="AA150" s="1317"/>
      <c r="AB150" s="1317"/>
      <c r="AC150" s="1317"/>
      <c r="AD150" s="1317"/>
      <c r="AE150" s="1317"/>
      <c r="AF150" s="1317"/>
      <c r="AG150" s="448"/>
      <c r="AH150" s="448"/>
      <c r="AI150" s="448"/>
      <c r="AJ150" s="448"/>
      <c r="AK150" s="448"/>
      <c r="AL150" s="448"/>
      <c r="AM150" s="448"/>
      <c r="AN150" s="448"/>
      <c r="AO150" s="448"/>
      <c r="AP150" s="448"/>
      <c r="AQ150" s="448"/>
      <c r="AR150" s="448"/>
      <c r="AS150" s="448"/>
      <c r="AT150" s="448"/>
      <c r="AU150" s="448"/>
      <c r="AV150" s="448"/>
      <c r="AW150" s="448"/>
      <c r="AX150" s="448"/>
      <c r="AY150" s="448"/>
      <c r="AZ150" s="448"/>
      <c r="BA150" s="448"/>
    </row>
    <row r="151" spans="1:53" ht="12.75" customHeight="1" x14ac:dyDescent="0.2">
      <c r="A151" s="484" t="str">
        <f>'Kalkulation Herstellungskosten'!B267</f>
        <v>Casting</v>
      </c>
      <c r="B151" s="456"/>
      <c r="C151" s="456">
        <f>'Kalkulation Herstellungskosten'!E267</f>
        <v>0</v>
      </c>
      <c r="D151" s="448"/>
      <c r="E151" s="76"/>
      <c r="F151" s="76"/>
      <c r="G151" s="76"/>
      <c r="H151" s="468">
        <f t="shared" si="18"/>
        <v>0</v>
      </c>
      <c r="I151" s="76"/>
      <c r="J151" s="76"/>
      <c r="K151" s="468">
        <f t="shared" si="19"/>
        <v>0</v>
      </c>
      <c r="L151" s="76"/>
      <c r="M151" s="76"/>
      <c r="N151" s="76"/>
      <c r="O151" s="76"/>
      <c r="P151" s="76"/>
      <c r="Q151" s="76"/>
      <c r="R151" s="76"/>
      <c r="S151" s="76"/>
      <c r="T151" s="76"/>
      <c r="U151" s="468">
        <f t="shared" si="17"/>
        <v>0</v>
      </c>
      <c r="V151" s="448"/>
      <c r="W151" s="1317"/>
      <c r="X151" s="1317"/>
      <c r="Y151" s="1317"/>
      <c r="Z151" s="1317"/>
      <c r="AA151" s="1317"/>
      <c r="AB151" s="1317"/>
      <c r="AC151" s="1317"/>
      <c r="AD151" s="1317"/>
      <c r="AE151" s="1317"/>
      <c r="AF151" s="1317"/>
      <c r="AG151" s="448"/>
      <c r="AH151" s="448"/>
      <c r="AI151" s="448"/>
      <c r="AJ151" s="448"/>
      <c r="AK151" s="448"/>
      <c r="AL151" s="448"/>
      <c r="AM151" s="448"/>
      <c r="AN151" s="448"/>
      <c r="AO151" s="448"/>
      <c r="AP151" s="448"/>
      <c r="AQ151" s="448"/>
      <c r="AR151" s="448"/>
      <c r="AS151" s="448"/>
      <c r="AT151" s="448"/>
      <c r="AU151" s="448"/>
      <c r="AV151" s="448"/>
      <c r="AW151" s="448"/>
      <c r="AX151" s="448"/>
      <c r="AY151" s="448"/>
      <c r="AZ151" s="448"/>
      <c r="BA151" s="448"/>
    </row>
    <row r="152" spans="1:53" ht="12.75" customHeight="1" x14ac:dyDescent="0.2">
      <c r="A152" s="484" t="str">
        <f>'Kalkulation Herstellungskosten'!B268</f>
        <v>KunstmalerIn, BildhauerIn</v>
      </c>
      <c r="B152" s="456"/>
      <c r="C152" s="456">
        <f>'Kalkulation Herstellungskosten'!E268</f>
        <v>0</v>
      </c>
      <c r="D152" s="448"/>
      <c r="E152" s="76"/>
      <c r="F152" s="76"/>
      <c r="G152" s="76"/>
      <c r="H152" s="468">
        <f t="shared" si="18"/>
        <v>0</v>
      </c>
      <c r="I152" s="76"/>
      <c r="J152" s="76"/>
      <c r="K152" s="468">
        <f t="shared" si="19"/>
        <v>0</v>
      </c>
      <c r="L152" s="76"/>
      <c r="M152" s="76"/>
      <c r="N152" s="76"/>
      <c r="O152" s="76"/>
      <c r="P152" s="76"/>
      <c r="Q152" s="76"/>
      <c r="R152" s="76"/>
      <c r="S152" s="76"/>
      <c r="T152" s="76"/>
      <c r="U152" s="468">
        <f t="shared" si="17"/>
        <v>0</v>
      </c>
      <c r="V152" s="448"/>
      <c r="W152" s="1317"/>
      <c r="X152" s="1317"/>
      <c r="Y152" s="1317"/>
      <c r="Z152" s="1317"/>
      <c r="AA152" s="1317"/>
      <c r="AB152" s="1317"/>
      <c r="AC152" s="1317"/>
      <c r="AD152" s="1317"/>
      <c r="AE152" s="1317"/>
      <c r="AF152" s="1317"/>
      <c r="AG152" s="448"/>
      <c r="AH152" s="448"/>
      <c r="AI152" s="448"/>
      <c r="AJ152" s="448"/>
      <c r="AK152" s="448"/>
      <c r="AL152" s="448"/>
      <c r="AM152" s="448"/>
      <c r="AN152" s="448"/>
      <c r="AO152" s="448"/>
      <c r="AP152" s="448"/>
      <c r="AQ152" s="448"/>
      <c r="AR152" s="448"/>
      <c r="AS152" s="448"/>
      <c r="AT152" s="448"/>
      <c r="AU152" s="448"/>
      <c r="AV152" s="448"/>
      <c r="AW152" s="448"/>
      <c r="AX152" s="448"/>
      <c r="AY152" s="448"/>
      <c r="AZ152" s="448"/>
      <c r="BA152" s="448"/>
    </row>
    <row r="153" spans="1:53" ht="12.75" customHeight="1" x14ac:dyDescent="0.2">
      <c r="A153" s="484" t="str">
        <f>'Kalkulation Herstellungskosten'!B269</f>
        <v>StandfotografIn</v>
      </c>
      <c r="B153" s="456"/>
      <c r="C153" s="456">
        <f>'Kalkulation Herstellungskosten'!E269</f>
        <v>0</v>
      </c>
      <c r="D153" s="448"/>
      <c r="E153" s="76"/>
      <c r="F153" s="76"/>
      <c r="G153" s="76"/>
      <c r="H153" s="468">
        <f t="shared" si="18"/>
        <v>0</v>
      </c>
      <c r="I153" s="76"/>
      <c r="J153" s="76"/>
      <c r="K153" s="468">
        <f t="shared" si="19"/>
        <v>0</v>
      </c>
      <c r="L153" s="76"/>
      <c r="M153" s="76"/>
      <c r="N153" s="76"/>
      <c r="O153" s="76"/>
      <c r="P153" s="76"/>
      <c r="Q153" s="76"/>
      <c r="R153" s="76"/>
      <c r="S153" s="76"/>
      <c r="T153" s="76"/>
      <c r="U153" s="468">
        <f t="shared" si="17"/>
        <v>0</v>
      </c>
      <c r="V153" s="448"/>
      <c r="W153" s="1317"/>
      <c r="X153" s="1317"/>
      <c r="Y153" s="1317"/>
      <c r="Z153" s="1317"/>
      <c r="AA153" s="1317"/>
      <c r="AB153" s="1317"/>
      <c r="AC153" s="1317"/>
      <c r="AD153" s="1317"/>
      <c r="AE153" s="1317"/>
      <c r="AF153" s="1317"/>
      <c r="AG153" s="448"/>
      <c r="AH153" s="448"/>
      <c r="AI153" s="448"/>
      <c r="AJ153" s="448"/>
      <c r="AK153" s="448"/>
      <c r="AL153" s="448"/>
      <c r="AM153" s="448"/>
      <c r="AN153" s="448"/>
      <c r="AO153" s="448"/>
      <c r="AP153" s="448"/>
      <c r="AQ153" s="448"/>
      <c r="AR153" s="448"/>
      <c r="AS153" s="448"/>
      <c r="AT153" s="448"/>
      <c r="AU153" s="448"/>
      <c r="AV153" s="448"/>
      <c r="AW153" s="448"/>
      <c r="AX153" s="448"/>
      <c r="AY153" s="448"/>
      <c r="AZ153" s="448"/>
      <c r="BA153" s="448"/>
    </row>
    <row r="154" spans="1:53" ht="12.75" customHeight="1" x14ac:dyDescent="0.2">
      <c r="A154" s="484" t="str">
        <f>'Kalkulation Herstellungskosten'!B270</f>
        <v>GrafikerIn</v>
      </c>
      <c r="B154" s="456"/>
      <c r="C154" s="456">
        <f>'Kalkulation Herstellungskosten'!E270</f>
        <v>0</v>
      </c>
      <c r="D154" s="448"/>
      <c r="E154" s="76"/>
      <c r="F154" s="76"/>
      <c r="G154" s="76"/>
      <c r="H154" s="468">
        <f t="shared" si="18"/>
        <v>0</v>
      </c>
      <c r="I154" s="76"/>
      <c r="J154" s="76"/>
      <c r="K154" s="468">
        <f t="shared" si="19"/>
        <v>0</v>
      </c>
      <c r="L154" s="76"/>
      <c r="M154" s="76"/>
      <c r="N154" s="76"/>
      <c r="O154" s="76"/>
      <c r="P154" s="76"/>
      <c r="Q154" s="76"/>
      <c r="R154" s="76"/>
      <c r="S154" s="76"/>
      <c r="T154" s="76"/>
      <c r="U154" s="468">
        <f t="shared" si="17"/>
        <v>0</v>
      </c>
      <c r="V154" s="448"/>
      <c r="W154" s="1317"/>
      <c r="X154" s="1317"/>
      <c r="Y154" s="1317"/>
      <c r="Z154" s="1317"/>
      <c r="AA154" s="1317"/>
      <c r="AB154" s="1317"/>
      <c r="AC154" s="1317"/>
      <c r="AD154" s="1317"/>
      <c r="AE154" s="1317"/>
      <c r="AF154" s="1317"/>
      <c r="AG154" s="448"/>
      <c r="AH154" s="448"/>
      <c r="AI154" s="448"/>
      <c r="AJ154" s="448"/>
      <c r="AK154" s="448"/>
      <c r="AL154" s="448"/>
      <c r="AM154" s="448"/>
      <c r="AN154" s="448"/>
      <c r="AO154" s="448"/>
      <c r="AP154" s="448"/>
      <c r="AQ154" s="448"/>
      <c r="AR154" s="448"/>
      <c r="AS154" s="448"/>
      <c r="AT154" s="448"/>
      <c r="AU154" s="448"/>
      <c r="AV154" s="448"/>
      <c r="AW154" s="448"/>
      <c r="AX154" s="448"/>
      <c r="AY154" s="448"/>
      <c r="AZ154" s="448"/>
      <c r="BA154" s="448"/>
    </row>
    <row r="155" spans="1:53" ht="12.75" customHeight="1" x14ac:dyDescent="0.2">
      <c r="A155" s="486"/>
      <c r="B155" s="486"/>
      <c r="C155" s="458"/>
      <c r="D155" s="448"/>
      <c r="E155" s="213"/>
      <c r="F155" s="213"/>
      <c r="G155" s="213"/>
      <c r="H155" s="213"/>
      <c r="I155" s="213"/>
      <c r="J155" s="213"/>
      <c r="K155" s="213"/>
      <c r="L155" s="213"/>
      <c r="M155" s="213"/>
      <c r="N155" s="213"/>
      <c r="O155" s="213"/>
      <c r="P155" s="213"/>
      <c r="Q155" s="213"/>
      <c r="R155" s="213"/>
      <c r="S155" s="213"/>
      <c r="T155" s="213"/>
      <c r="U155" s="213"/>
      <c r="V155" s="448"/>
      <c r="W155" s="1317"/>
      <c r="X155" s="1317"/>
      <c r="Y155" s="1317"/>
      <c r="Z155" s="1317"/>
      <c r="AA155" s="1317"/>
      <c r="AB155" s="1317"/>
      <c r="AC155" s="1317"/>
      <c r="AD155" s="1317"/>
      <c r="AE155" s="1317"/>
      <c r="AF155" s="1317"/>
      <c r="AG155" s="448"/>
      <c r="AH155" s="448"/>
      <c r="AI155" s="448"/>
      <c r="AJ155" s="448"/>
      <c r="AK155" s="448"/>
      <c r="AL155" s="448"/>
      <c r="AM155" s="448"/>
      <c r="AN155" s="448"/>
      <c r="AO155" s="448"/>
      <c r="AP155" s="448"/>
      <c r="AQ155" s="448"/>
      <c r="AR155" s="448"/>
      <c r="AS155" s="448"/>
      <c r="AT155" s="448"/>
      <c r="AU155" s="448"/>
      <c r="AV155" s="448"/>
      <c r="AW155" s="448"/>
      <c r="AX155" s="448"/>
      <c r="AY155" s="448"/>
      <c r="AZ155" s="448"/>
      <c r="BA155" s="448"/>
    </row>
    <row r="156" spans="1:53" ht="12.75" customHeight="1" x14ac:dyDescent="0.2">
      <c r="A156" s="488" t="str">
        <f>'Kalkulation Herstellungskosten'!B272</f>
        <v>Sonstige Dienstleister/Rechnungsleger</v>
      </c>
      <c r="B156" s="488"/>
      <c r="C156" s="458"/>
      <c r="D156" s="458"/>
      <c r="E156" s="458"/>
      <c r="F156" s="458"/>
      <c r="G156" s="458"/>
      <c r="H156" s="458"/>
      <c r="I156" s="458"/>
      <c r="J156" s="458"/>
      <c r="K156" s="458"/>
      <c r="L156" s="458"/>
      <c r="M156" s="458"/>
      <c r="N156" s="458"/>
      <c r="O156" s="458"/>
      <c r="P156" s="458"/>
      <c r="Q156" s="458"/>
      <c r="R156" s="458"/>
      <c r="S156" s="458"/>
      <c r="T156" s="458"/>
      <c r="U156" s="458"/>
      <c r="V156" s="448"/>
      <c r="W156" s="1317"/>
      <c r="X156" s="1317"/>
      <c r="Y156" s="1317"/>
      <c r="Z156" s="1317"/>
      <c r="AA156" s="1317"/>
      <c r="AB156" s="1317"/>
      <c r="AC156" s="1317"/>
      <c r="AD156" s="1317"/>
      <c r="AE156" s="1317"/>
      <c r="AF156" s="1317"/>
      <c r="AG156" s="448"/>
      <c r="AH156" s="448"/>
      <c r="AI156" s="448"/>
      <c r="AJ156" s="448"/>
      <c r="AK156" s="448"/>
      <c r="AL156" s="448"/>
      <c r="AM156" s="448"/>
      <c r="AN156" s="448"/>
      <c r="AO156" s="448"/>
      <c r="AP156" s="448"/>
      <c r="AQ156" s="448"/>
      <c r="AR156" s="448"/>
      <c r="AS156" s="448"/>
      <c r="AT156" s="448"/>
      <c r="AU156" s="448"/>
      <c r="AV156" s="448"/>
      <c r="AW156" s="448"/>
      <c r="AX156" s="448"/>
      <c r="AY156" s="448"/>
      <c r="AZ156" s="448"/>
      <c r="BA156" s="448"/>
    </row>
    <row r="157" spans="1:53" ht="12.75" customHeight="1" x14ac:dyDescent="0.2">
      <c r="A157" s="484" t="str">
        <f>'Kalkulation Herstellungskosten'!B273</f>
        <v>Green Film Consultant</v>
      </c>
      <c r="B157" s="456"/>
      <c r="C157" s="456">
        <f>'Kalkulation Herstellungskosten'!E273</f>
        <v>0</v>
      </c>
      <c r="D157" s="448"/>
      <c r="E157" s="76"/>
      <c r="F157" s="76"/>
      <c r="G157" s="76"/>
      <c r="H157" s="468">
        <f>F157*G157</f>
        <v>0</v>
      </c>
      <c r="I157" s="76"/>
      <c r="J157" s="76"/>
      <c r="K157" s="468">
        <f>I157*J157</f>
        <v>0</v>
      </c>
      <c r="L157" s="76"/>
      <c r="M157" s="76"/>
      <c r="N157" s="76"/>
      <c r="O157" s="76"/>
      <c r="P157" s="76"/>
      <c r="Q157" s="76"/>
      <c r="R157" s="76"/>
      <c r="S157" s="76"/>
      <c r="T157" s="76"/>
      <c r="U157" s="468">
        <f t="shared" ref="U157:U177" si="20">S157*T157</f>
        <v>0</v>
      </c>
      <c r="V157" s="448"/>
      <c r="W157" s="1317"/>
      <c r="X157" s="1317"/>
      <c r="Y157" s="1317"/>
      <c r="Z157" s="1317"/>
      <c r="AA157" s="1317"/>
      <c r="AB157" s="1317"/>
      <c r="AC157" s="1317"/>
      <c r="AD157" s="1317"/>
      <c r="AE157" s="1317"/>
      <c r="AF157" s="1317"/>
      <c r="AG157" s="448"/>
      <c r="AH157" s="448"/>
      <c r="AI157" s="448"/>
      <c r="AJ157" s="448"/>
      <c r="AK157" s="448"/>
      <c r="AL157" s="448"/>
      <c r="AM157" s="448"/>
      <c r="AN157" s="448"/>
      <c r="AO157" s="448"/>
      <c r="AP157" s="448"/>
      <c r="AQ157" s="448"/>
      <c r="AR157" s="448"/>
      <c r="AS157" s="448"/>
      <c r="AT157" s="448"/>
      <c r="AU157" s="448"/>
      <c r="AV157" s="448"/>
      <c r="AW157" s="448"/>
      <c r="AX157" s="448"/>
      <c r="AY157" s="448"/>
      <c r="AZ157" s="448"/>
      <c r="BA157" s="448"/>
    </row>
    <row r="158" spans="1:53" ht="12.75" customHeight="1" x14ac:dyDescent="0.2">
      <c r="A158" s="484" t="str">
        <f>'Kalkulation Herstellungskosten'!B274</f>
        <v>Kosten der Zertifizierung UZ76</v>
      </c>
      <c r="B158" s="456"/>
      <c r="C158" s="456">
        <f>'Kalkulation Herstellungskosten'!E274</f>
        <v>0</v>
      </c>
      <c r="D158" s="448"/>
      <c r="E158" s="76"/>
      <c r="F158" s="76"/>
      <c r="G158" s="76"/>
      <c r="H158" s="468">
        <f t="shared" ref="H158:H177" si="21">F158*G158</f>
        <v>0</v>
      </c>
      <c r="I158" s="76"/>
      <c r="J158" s="76"/>
      <c r="K158" s="468">
        <f t="shared" ref="K158:K177" si="22">I158*J158</f>
        <v>0</v>
      </c>
      <c r="L158" s="76"/>
      <c r="M158" s="76"/>
      <c r="N158" s="76"/>
      <c r="O158" s="76"/>
      <c r="P158" s="76"/>
      <c r="Q158" s="76"/>
      <c r="R158" s="76"/>
      <c r="S158" s="76"/>
      <c r="T158" s="76"/>
      <c r="U158" s="468">
        <f t="shared" si="20"/>
        <v>0</v>
      </c>
      <c r="V158" s="448"/>
      <c r="W158" s="1317"/>
      <c r="X158" s="1317"/>
      <c r="Y158" s="1317"/>
      <c r="Z158" s="1317"/>
      <c r="AA158" s="1317"/>
      <c r="AB158" s="1317"/>
      <c r="AC158" s="1317"/>
      <c r="AD158" s="1317"/>
      <c r="AE158" s="1317"/>
      <c r="AF158" s="1317"/>
      <c r="AG158" s="448"/>
      <c r="AH158" s="448"/>
      <c r="AI158" s="448"/>
      <c r="AJ158" s="448"/>
      <c r="AK158" s="448"/>
      <c r="AL158" s="448"/>
      <c r="AM158" s="448"/>
      <c r="AN158" s="448"/>
      <c r="AO158" s="448"/>
      <c r="AP158" s="448"/>
      <c r="AQ158" s="448"/>
      <c r="AR158" s="448"/>
      <c r="AS158" s="448"/>
      <c r="AT158" s="448"/>
      <c r="AU158" s="448"/>
      <c r="AV158" s="448"/>
      <c r="AW158" s="448"/>
      <c r="AX158" s="448"/>
      <c r="AY158" s="448"/>
      <c r="AZ158" s="448"/>
      <c r="BA158" s="448"/>
    </row>
    <row r="159" spans="1:53" ht="12.75" customHeight="1" x14ac:dyDescent="0.2">
      <c r="A159" s="484" t="str">
        <f>'Kalkulation Herstellungskosten'!B275</f>
        <v>Kosten CO2-Kompensation</v>
      </c>
      <c r="B159" s="456"/>
      <c r="C159" s="456">
        <f>'Kalkulation Herstellungskosten'!E275</f>
        <v>0</v>
      </c>
      <c r="D159" s="448"/>
      <c r="E159" s="76"/>
      <c r="F159" s="76"/>
      <c r="G159" s="76"/>
      <c r="H159" s="468">
        <f t="shared" si="21"/>
        <v>0</v>
      </c>
      <c r="I159" s="76"/>
      <c r="J159" s="76"/>
      <c r="K159" s="468">
        <f t="shared" si="22"/>
        <v>0</v>
      </c>
      <c r="L159" s="76"/>
      <c r="M159" s="76"/>
      <c r="N159" s="76"/>
      <c r="O159" s="76"/>
      <c r="P159" s="76"/>
      <c r="Q159" s="76"/>
      <c r="R159" s="76"/>
      <c r="S159" s="76"/>
      <c r="T159" s="76"/>
      <c r="U159" s="468">
        <f t="shared" si="20"/>
        <v>0</v>
      </c>
      <c r="V159" s="448"/>
      <c r="W159" s="1317"/>
      <c r="X159" s="1317"/>
      <c r="Y159" s="1317"/>
      <c r="Z159" s="1317"/>
      <c r="AA159" s="1317"/>
      <c r="AB159" s="1317"/>
      <c r="AC159" s="1317"/>
      <c r="AD159" s="1317"/>
      <c r="AE159" s="1317"/>
      <c r="AF159" s="1317"/>
      <c r="AG159" s="448"/>
      <c r="AH159" s="448"/>
      <c r="AI159" s="448"/>
      <c r="AJ159" s="448"/>
      <c r="AK159" s="448"/>
      <c r="AL159" s="448"/>
      <c r="AM159" s="448"/>
      <c r="AN159" s="448"/>
      <c r="AO159" s="448"/>
      <c r="AP159" s="448"/>
      <c r="AQ159" s="448"/>
      <c r="AR159" s="448"/>
      <c r="AS159" s="448"/>
      <c r="AT159" s="448"/>
      <c r="AU159" s="448"/>
      <c r="AV159" s="448"/>
      <c r="AW159" s="448"/>
      <c r="AX159" s="448"/>
      <c r="AY159" s="448"/>
      <c r="AZ159" s="448"/>
      <c r="BA159" s="448"/>
    </row>
    <row r="160" spans="1:53" ht="12.75" customHeight="1" x14ac:dyDescent="0.2">
      <c r="A160" s="484" t="str">
        <f>'Kalkulation Herstellungskosten'!B276</f>
        <v>UZ76 Berater</v>
      </c>
      <c r="B160" s="456"/>
      <c r="C160" s="456">
        <f>'Kalkulation Herstellungskosten'!E276</f>
        <v>0</v>
      </c>
      <c r="D160" s="448"/>
      <c r="E160" s="76"/>
      <c r="F160" s="76"/>
      <c r="G160" s="76"/>
      <c r="H160" s="468">
        <f t="shared" si="21"/>
        <v>0</v>
      </c>
      <c r="I160" s="76"/>
      <c r="J160" s="76"/>
      <c r="K160" s="468">
        <f t="shared" si="22"/>
        <v>0</v>
      </c>
      <c r="L160" s="76"/>
      <c r="M160" s="76"/>
      <c r="N160" s="76"/>
      <c r="O160" s="76"/>
      <c r="P160" s="76"/>
      <c r="Q160" s="76"/>
      <c r="R160" s="76"/>
      <c r="S160" s="76"/>
      <c r="T160" s="76"/>
      <c r="U160" s="468">
        <f t="shared" si="20"/>
        <v>0</v>
      </c>
      <c r="V160" s="448"/>
      <c r="W160" s="1317"/>
      <c r="X160" s="1317"/>
      <c r="Y160" s="1317"/>
      <c r="Z160" s="1317"/>
      <c r="AA160" s="1317"/>
      <c r="AB160" s="1317"/>
      <c r="AC160" s="1317"/>
      <c r="AD160" s="1317"/>
      <c r="AE160" s="1317"/>
      <c r="AF160" s="1317"/>
      <c r="AG160" s="448"/>
      <c r="AH160" s="448"/>
      <c r="AI160" s="448"/>
      <c r="AJ160" s="448"/>
      <c r="AK160" s="448"/>
      <c r="AL160" s="448"/>
      <c r="AM160" s="448"/>
      <c r="AN160" s="448"/>
      <c r="AO160" s="448"/>
      <c r="AP160" s="448"/>
      <c r="AQ160" s="448"/>
      <c r="AR160" s="448"/>
      <c r="AS160" s="448"/>
      <c r="AT160" s="448"/>
      <c r="AU160" s="448"/>
      <c r="AV160" s="448"/>
      <c r="AW160" s="448"/>
      <c r="AX160" s="448"/>
      <c r="AY160" s="448"/>
      <c r="AZ160" s="448"/>
      <c r="BA160" s="448"/>
    </row>
    <row r="161" spans="1:53" ht="12.75" customHeight="1" x14ac:dyDescent="0.2">
      <c r="A161" s="484">
        <f>'Kalkulation Herstellungskosten'!B277</f>
        <v>0</v>
      </c>
      <c r="B161" s="456"/>
      <c r="C161" s="456">
        <f>'Kalkulation Herstellungskosten'!E277</f>
        <v>0</v>
      </c>
      <c r="D161" s="448"/>
      <c r="E161" s="76"/>
      <c r="F161" s="76"/>
      <c r="G161" s="76"/>
      <c r="H161" s="468">
        <f t="shared" si="21"/>
        <v>0</v>
      </c>
      <c r="I161" s="76"/>
      <c r="J161" s="76"/>
      <c r="K161" s="468">
        <f t="shared" si="22"/>
        <v>0</v>
      </c>
      <c r="L161" s="76"/>
      <c r="M161" s="76"/>
      <c r="N161" s="76"/>
      <c r="O161" s="76"/>
      <c r="P161" s="76"/>
      <c r="Q161" s="76"/>
      <c r="R161" s="76"/>
      <c r="S161" s="76"/>
      <c r="T161" s="76"/>
      <c r="U161" s="468">
        <f t="shared" si="20"/>
        <v>0</v>
      </c>
      <c r="V161" s="448"/>
      <c r="W161" s="1317"/>
      <c r="X161" s="1317"/>
      <c r="Y161" s="1317"/>
      <c r="Z161" s="1317"/>
      <c r="AA161" s="1317"/>
      <c r="AB161" s="1317"/>
      <c r="AC161" s="1317"/>
      <c r="AD161" s="1317"/>
      <c r="AE161" s="1317"/>
      <c r="AF161" s="1317"/>
      <c r="AG161" s="448"/>
      <c r="AH161" s="448"/>
      <c r="AI161" s="448"/>
      <c r="AJ161" s="448"/>
      <c r="AK161" s="448"/>
      <c r="AL161" s="448"/>
      <c r="AM161" s="448"/>
      <c r="AN161" s="448"/>
      <c r="AO161" s="448"/>
      <c r="AP161" s="448"/>
      <c r="AQ161" s="448"/>
      <c r="AR161" s="448"/>
      <c r="AS161" s="448"/>
      <c r="AT161" s="448"/>
      <c r="AU161" s="448"/>
      <c r="AV161" s="448"/>
      <c r="AW161" s="448"/>
      <c r="AX161" s="448"/>
      <c r="AY161" s="448"/>
      <c r="AZ161" s="448"/>
      <c r="BA161" s="448"/>
    </row>
    <row r="162" spans="1:53" ht="12.75" customHeight="1" x14ac:dyDescent="0.2">
      <c r="A162" s="484">
        <f>'Kalkulation Herstellungskosten'!B278</f>
        <v>0</v>
      </c>
      <c r="B162" s="456"/>
      <c r="C162" s="456">
        <f>'Kalkulation Herstellungskosten'!E278</f>
        <v>0</v>
      </c>
      <c r="D162" s="448"/>
      <c r="E162" s="76"/>
      <c r="F162" s="76"/>
      <c r="G162" s="76"/>
      <c r="H162" s="468">
        <f t="shared" si="21"/>
        <v>0</v>
      </c>
      <c r="I162" s="76"/>
      <c r="J162" s="76"/>
      <c r="K162" s="468">
        <f t="shared" si="22"/>
        <v>0</v>
      </c>
      <c r="L162" s="76"/>
      <c r="M162" s="76"/>
      <c r="N162" s="76"/>
      <c r="O162" s="76"/>
      <c r="P162" s="76"/>
      <c r="Q162" s="76"/>
      <c r="R162" s="76"/>
      <c r="S162" s="76"/>
      <c r="T162" s="76"/>
      <c r="U162" s="468">
        <f t="shared" si="20"/>
        <v>0</v>
      </c>
      <c r="V162" s="448"/>
      <c r="W162" s="1317"/>
      <c r="X162" s="1317"/>
      <c r="Y162" s="1317"/>
      <c r="Z162" s="1317"/>
      <c r="AA162" s="1317"/>
      <c r="AB162" s="1317"/>
      <c r="AC162" s="1317"/>
      <c r="AD162" s="1317"/>
      <c r="AE162" s="1317"/>
      <c r="AF162" s="1317"/>
      <c r="AG162" s="448"/>
      <c r="AH162" s="448"/>
      <c r="AI162" s="448"/>
      <c r="AJ162" s="448"/>
      <c r="AK162" s="448"/>
      <c r="AL162" s="448"/>
      <c r="AM162" s="448"/>
      <c r="AN162" s="448"/>
      <c r="AO162" s="448"/>
      <c r="AP162" s="448"/>
      <c r="AQ162" s="448"/>
      <c r="AR162" s="448"/>
      <c r="AS162" s="448"/>
      <c r="AT162" s="448"/>
      <c r="AU162" s="448"/>
      <c r="AV162" s="448"/>
      <c r="AW162" s="448"/>
      <c r="AX162" s="448"/>
      <c r="AY162" s="448"/>
      <c r="AZ162" s="448"/>
      <c r="BA162" s="448"/>
    </row>
    <row r="163" spans="1:53" ht="12.75" customHeight="1" x14ac:dyDescent="0.2">
      <c r="A163" s="484">
        <f>'Kalkulation Herstellungskosten'!B279</f>
        <v>0</v>
      </c>
      <c r="B163" s="456"/>
      <c r="C163" s="456">
        <f>'Kalkulation Herstellungskosten'!E279</f>
        <v>0</v>
      </c>
      <c r="D163" s="448"/>
      <c r="E163" s="76"/>
      <c r="F163" s="76"/>
      <c r="G163" s="76"/>
      <c r="H163" s="468">
        <f t="shared" si="21"/>
        <v>0</v>
      </c>
      <c r="I163" s="76"/>
      <c r="J163" s="76"/>
      <c r="K163" s="468">
        <f t="shared" si="22"/>
        <v>0</v>
      </c>
      <c r="L163" s="76"/>
      <c r="M163" s="76"/>
      <c r="N163" s="76"/>
      <c r="O163" s="76"/>
      <c r="P163" s="76"/>
      <c r="Q163" s="76"/>
      <c r="R163" s="76"/>
      <c r="S163" s="76"/>
      <c r="T163" s="76"/>
      <c r="U163" s="468">
        <f t="shared" si="20"/>
        <v>0</v>
      </c>
      <c r="V163" s="448"/>
      <c r="W163" s="1317"/>
      <c r="X163" s="1317"/>
      <c r="Y163" s="1317"/>
      <c r="Z163" s="1317"/>
      <c r="AA163" s="1317"/>
      <c r="AB163" s="1317"/>
      <c r="AC163" s="1317"/>
      <c r="AD163" s="1317"/>
      <c r="AE163" s="1317"/>
      <c r="AF163" s="1317"/>
      <c r="AG163" s="448"/>
      <c r="AH163" s="448"/>
      <c r="AI163" s="448"/>
      <c r="AJ163" s="448"/>
      <c r="AK163" s="448"/>
      <c r="AL163" s="448"/>
      <c r="AM163" s="448"/>
      <c r="AN163" s="448"/>
      <c r="AO163" s="448"/>
      <c r="AP163" s="448"/>
      <c r="AQ163" s="448"/>
      <c r="AR163" s="448"/>
      <c r="AS163" s="448"/>
      <c r="AT163" s="448"/>
      <c r="AU163" s="448"/>
      <c r="AV163" s="448"/>
      <c r="AW163" s="448"/>
      <c r="AX163" s="448"/>
      <c r="AY163" s="448"/>
      <c r="AZ163" s="448"/>
      <c r="BA163" s="448"/>
    </row>
    <row r="164" spans="1:53" ht="12.75" customHeight="1" x14ac:dyDescent="0.2">
      <c r="A164" s="484">
        <f>'Kalkulation Herstellungskosten'!B280</f>
        <v>0</v>
      </c>
      <c r="B164" s="456"/>
      <c r="C164" s="456">
        <f>'Kalkulation Herstellungskosten'!E280</f>
        <v>0</v>
      </c>
      <c r="D164" s="448"/>
      <c r="E164" s="76"/>
      <c r="F164" s="76"/>
      <c r="G164" s="76"/>
      <c r="H164" s="468">
        <f t="shared" si="21"/>
        <v>0</v>
      </c>
      <c r="I164" s="76"/>
      <c r="J164" s="76"/>
      <c r="K164" s="468">
        <f t="shared" si="22"/>
        <v>0</v>
      </c>
      <c r="L164" s="76"/>
      <c r="M164" s="76"/>
      <c r="N164" s="76"/>
      <c r="O164" s="76"/>
      <c r="P164" s="76"/>
      <c r="Q164" s="76"/>
      <c r="R164" s="76"/>
      <c r="S164" s="76"/>
      <c r="T164" s="76"/>
      <c r="U164" s="468">
        <f t="shared" si="20"/>
        <v>0</v>
      </c>
      <c r="V164" s="448"/>
      <c r="W164" s="1317"/>
      <c r="X164" s="1317"/>
      <c r="Y164" s="1317"/>
      <c r="Z164" s="1317"/>
      <c r="AA164" s="1317"/>
      <c r="AB164" s="1317"/>
      <c r="AC164" s="1317"/>
      <c r="AD164" s="1317"/>
      <c r="AE164" s="1317"/>
      <c r="AF164" s="1317"/>
      <c r="AG164" s="448"/>
      <c r="AH164" s="448"/>
      <c r="AI164" s="448"/>
      <c r="AJ164" s="448"/>
      <c r="AK164" s="448"/>
      <c r="AL164" s="448"/>
      <c r="AM164" s="448"/>
      <c r="AN164" s="448"/>
      <c r="AO164" s="448"/>
      <c r="AP164" s="448"/>
      <c r="AQ164" s="448"/>
      <c r="AR164" s="448"/>
      <c r="AS164" s="448"/>
      <c r="AT164" s="448"/>
      <c r="AU164" s="448"/>
      <c r="AV164" s="448"/>
      <c r="AW164" s="448"/>
      <c r="AX164" s="448"/>
      <c r="AY164" s="448"/>
      <c r="AZ164" s="448"/>
      <c r="BA164" s="448"/>
    </row>
    <row r="165" spans="1:53" ht="12.75" customHeight="1" x14ac:dyDescent="0.2">
      <c r="A165" s="484">
        <f>'Kalkulation Herstellungskosten'!B281</f>
        <v>0</v>
      </c>
      <c r="B165" s="456"/>
      <c r="C165" s="456">
        <f>'Kalkulation Herstellungskosten'!E281</f>
        <v>0</v>
      </c>
      <c r="D165" s="448"/>
      <c r="E165" s="76"/>
      <c r="F165" s="76"/>
      <c r="G165" s="76"/>
      <c r="H165" s="468">
        <f t="shared" si="21"/>
        <v>0</v>
      </c>
      <c r="I165" s="76"/>
      <c r="J165" s="76"/>
      <c r="K165" s="468">
        <f t="shared" si="22"/>
        <v>0</v>
      </c>
      <c r="L165" s="76"/>
      <c r="M165" s="76"/>
      <c r="N165" s="76"/>
      <c r="O165" s="76"/>
      <c r="P165" s="76"/>
      <c r="Q165" s="76"/>
      <c r="R165" s="76"/>
      <c r="S165" s="76"/>
      <c r="T165" s="76"/>
      <c r="U165" s="468">
        <f t="shared" si="20"/>
        <v>0</v>
      </c>
      <c r="V165" s="448"/>
      <c r="W165" s="1317"/>
      <c r="X165" s="1317"/>
      <c r="Y165" s="1317"/>
      <c r="Z165" s="1317"/>
      <c r="AA165" s="1317"/>
      <c r="AB165" s="1317"/>
      <c r="AC165" s="1317"/>
      <c r="AD165" s="1317"/>
      <c r="AE165" s="1317"/>
      <c r="AF165" s="1317"/>
      <c r="AG165" s="448"/>
      <c r="AH165" s="448"/>
      <c r="AI165" s="448"/>
      <c r="AJ165" s="448"/>
      <c r="AK165" s="448"/>
      <c r="AL165" s="448"/>
      <c r="AM165" s="448"/>
      <c r="AN165" s="448"/>
      <c r="AO165" s="448"/>
      <c r="AP165" s="448"/>
      <c r="AQ165" s="448"/>
      <c r="AR165" s="448"/>
      <c r="AS165" s="448"/>
      <c r="AT165" s="448"/>
      <c r="AU165" s="448"/>
      <c r="AV165" s="448"/>
      <c r="AW165" s="448"/>
      <c r="AX165" s="448"/>
      <c r="AY165" s="448"/>
      <c r="AZ165" s="448"/>
      <c r="BA165" s="448"/>
    </row>
    <row r="166" spans="1:53" ht="12.75" customHeight="1" x14ac:dyDescent="0.2">
      <c r="A166" s="484">
        <f>'Kalkulation Herstellungskosten'!B282</f>
        <v>0</v>
      </c>
      <c r="B166" s="456"/>
      <c r="C166" s="456">
        <f>'Kalkulation Herstellungskosten'!E282</f>
        <v>0</v>
      </c>
      <c r="D166" s="448"/>
      <c r="E166" s="76"/>
      <c r="F166" s="76"/>
      <c r="G166" s="76"/>
      <c r="H166" s="468">
        <f t="shared" si="21"/>
        <v>0</v>
      </c>
      <c r="I166" s="76"/>
      <c r="J166" s="76"/>
      <c r="K166" s="468">
        <f t="shared" si="22"/>
        <v>0</v>
      </c>
      <c r="L166" s="76"/>
      <c r="M166" s="76"/>
      <c r="N166" s="76"/>
      <c r="O166" s="76"/>
      <c r="P166" s="76"/>
      <c r="Q166" s="76"/>
      <c r="R166" s="76"/>
      <c r="S166" s="76"/>
      <c r="T166" s="76"/>
      <c r="U166" s="468">
        <f t="shared" si="20"/>
        <v>0</v>
      </c>
      <c r="V166" s="448"/>
      <c r="W166" s="1317"/>
      <c r="X166" s="1317"/>
      <c r="Y166" s="1317"/>
      <c r="Z166" s="1317"/>
      <c r="AA166" s="1317"/>
      <c r="AB166" s="1317"/>
      <c r="AC166" s="1317"/>
      <c r="AD166" s="1317"/>
      <c r="AE166" s="1317"/>
      <c r="AF166" s="1317"/>
      <c r="AG166" s="448"/>
      <c r="AH166" s="448"/>
      <c r="AI166" s="448"/>
      <c r="AJ166" s="448"/>
      <c r="AK166" s="448"/>
      <c r="AL166" s="448"/>
      <c r="AM166" s="448"/>
      <c r="AN166" s="448"/>
      <c r="AO166" s="448"/>
      <c r="AP166" s="448"/>
      <c r="AQ166" s="448"/>
      <c r="AR166" s="448"/>
      <c r="AS166" s="448"/>
      <c r="AT166" s="448"/>
      <c r="AU166" s="448"/>
      <c r="AV166" s="448"/>
      <c r="AW166" s="448"/>
      <c r="AX166" s="448"/>
      <c r="AY166" s="448"/>
      <c r="AZ166" s="448"/>
      <c r="BA166" s="448"/>
    </row>
    <row r="167" spans="1:53" ht="12.75" customHeight="1" x14ac:dyDescent="0.2">
      <c r="A167" s="484">
        <f>'Kalkulation Herstellungskosten'!B283</f>
        <v>0</v>
      </c>
      <c r="B167" s="456"/>
      <c r="C167" s="456">
        <f>'Kalkulation Herstellungskosten'!E283</f>
        <v>0</v>
      </c>
      <c r="D167" s="448"/>
      <c r="E167" s="76"/>
      <c r="F167" s="76"/>
      <c r="G167" s="76"/>
      <c r="H167" s="468">
        <f t="shared" si="21"/>
        <v>0</v>
      </c>
      <c r="I167" s="76"/>
      <c r="J167" s="76"/>
      <c r="K167" s="468">
        <f t="shared" si="22"/>
        <v>0</v>
      </c>
      <c r="L167" s="76"/>
      <c r="M167" s="76"/>
      <c r="N167" s="76"/>
      <c r="O167" s="76"/>
      <c r="P167" s="76"/>
      <c r="Q167" s="76"/>
      <c r="R167" s="76"/>
      <c r="S167" s="76"/>
      <c r="T167" s="76"/>
      <c r="U167" s="468">
        <f t="shared" si="20"/>
        <v>0</v>
      </c>
      <c r="V167" s="448"/>
      <c r="W167" s="1317"/>
      <c r="X167" s="1317"/>
      <c r="Y167" s="1317"/>
      <c r="Z167" s="1317"/>
      <c r="AA167" s="1317"/>
      <c r="AB167" s="1317"/>
      <c r="AC167" s="1317"/>
      <c r="AD167" s="1317"/>
      <c r="AE167" s="1317"/>
      <c r="AF167" s="1317"/>
      <c r="AG167" s="448"/>
      <c r="AH167" s="448"/>
      <c r="AI167" s="448"/>
      <c r="AJ167" s="448"/>
      <c r="AK167" s="448"/>
      <c r="AL167" s="448"/>
      <c r="AM167" s="448"/>
      <c r="AN167" s="448"/>
      <c r="AO167" s="448"/>
      <c r="AP167" s="448"/>
      <c r="AQ167" s="448"/>
      <c r="AR167" s="448"/>
      <c r="AS167" s="448"/>
      <c r="AT167" s="448"/>
      <c r="AU167" s="448"/>
      <c r="AV167" s="448"/>
      <c r="AW167" s="448"/>
      <c r="AX167" s="448"/>
      <c r="AY167" s="448"/>
      <c r="AZ167" s="448"/>
      <c r="BA167" s="448"/>
    </row>
    <row r="168" spans="1:53" ht="12.75" customHeight="1" x14ac:dyDescent="0.2">
      <c r="A168" s="484">
        <f>'Kalkulation Herstellungskosten'!B284</f>
        <v>0</v>
      </c>
      <c r="B168" s="456"/>
      <c r="C168" s="456">
        <f>'Kalkulation Herstellungskosten'!E284</f>
        <v>0</v>
      </c>
      <c r="D168" s="448"/>
      <c r="E168" s="76"/>
      <c r="F168" s="76"/>
      <c r="G168" s="76"/>
      <c r="H168" s="468">
        <f t="shared" si="21"/>
        <v>0</v>
      </c>
      <c r="I168" s="76"/>
      <c r="J168" s="76"/>
      <c r="K168" s="468">
        <f t="shared" si="22"/>
        <v>0</v>
      </c>
      <c r="L168" s="76"/>
      <c r="M168" s="76"/>
      <c r="N168" s="76"/>
      <c r="O168" s="76"/>
      <c r="P168" s="76"/>
      <c r="Q168" s="76"/>
      <c r="R168" s="76"/>
      <c r="S168" s="76"/>
      <c r="T168" s="76"/>
      <c r="U168" s="468">
        <f t="shared" si="20"/>
        <v>0</v>
      </c>
      <c r="V168" s="448"/>
      <c r="W168" s="1317"/>
      <c r="X168" s="1317"/>
      <c r="Y168" s="1317"/>
      <c r="Z168" s="1317"/>
      <c r="AA168" s="1317"/>
      <c r="AB168" s="1317"/>
      <c r="AC168" s="1317"/>
      <c r="AD168" s="1317"/>
      <c r="AE168" s="1317"/>
      <c r="AF168" s="1317"/>
      <c r="AG168" s="448"/>
      <c r="AH168" s="448"/>
      <c r="AI168" s="448"/>
      <c r="AJ168" s="448"/>
      <c r="AK168" s="448"/>
      <c r="AL168" s="448"/>
      <c r="AM168" s="448"/>
      <c r="AN168" s="448"/>
      <c r="AO168" s="448"/>
      <c r="AP168" s="448"/>
      <c r="AQ168" s="448"/>
      <c r="AR168" s="448"/>
      <c r="AS168" s="448"/>
      <c r="AT168" s="448"/>
      <c r="AU168" s="448"/>
      <c r="AV168" s="448"/>
      <c r="AW168" s="448"/>
      <c r="AX168" s="448"/>
      <c r="AY168" s="448"/>
      <c r="AZ168" s="448"/>
      <c r="BA168" s="448"/>
    </row>
    <row r="169" spans="1:53" ht="12.75" customHeight="1" x14ac:dyDescent="0.2">
      <c r="A169" s="484">
        <f>'Kalkulation Herstellungskosten'!B285</f>
        <v>0</v>
      </c>
      <c r="B169" s="456"/>
      <c r="C169" s="456">
        <f>'Kalkulation Herstellungskosten'!E285</f>
        <v>0</v>
      </c>
      <c r="D169" s="448"/>
      <c r="E169" s="76"/>
      <c r="F169" s="76"/>
      <c r="G169" s="76"/>
      <c r="H169" s="468">
        <f t="shared" si="21"/>
        <v>0</v>
      </c>
      <c r="I169" s="76"/>
      <c r="J169" s="76"/>
      <c r="K169" s="468">
        <f t="shared" si="22"/>
        <v>0</v>
      </c>
      <c r="L169" s="76"/>
      <c r="M169" s="76"/>
      <c r="N169" s="76"/>
      <c r="O169" s="76"/>
      <c r="P169" s="76"/>
      <c r="Q169" s="76"/>
      <c r="R169" s="76"/>
      <c r="S169" s="76"/>
      <c r="T169" s="76"/>
      <c r="U169" s="468">
        <f t="shared" si="20"/>
        <v>0</v>
      </c>
      <c r="V169" s="448"/>
      <c r="W169" s="1317"/>
      <c r="X169" s="1317"/>
      <c r="Y169" s="1317"/>
      <c r="Z169" s="1317"/>
      <c r="AA169" s="1317"/>
      <c r="AB169" s="1317"/>
      <c r="AC169" s="1317"/>
      <c r="AD169" s="1317"/>
      <c r="AE169" s="1317"/>
      <c r="AF169" s="1317"/>
      <c r="AG169" s="448"/>
      <c r="AH169" s="448"/>
      <c r="AI169" s="448"/>
      <c r="AJ169" s="448"/>
      <c r="AK169" s="448"/>
      <c r="AL169" s="448"/>
      <c r="AM169" s="448"/>
      <c r="AN169" s="448"/>
      <c r="AO169" s="448"/>
      <c r="AP169" s="448"/>
      <c r="AQ169" s="448"/>
      <c r="AR169" s="448"/>
      <c r="AS169" s="448"/>
      <c r="AT169" s="448"/>
      <c r="AU169" s="448"/>
      <c r="AV169" s="448"/>
      <c r="AW169" s="448"/>
      <c r="AX169" s="448"/>
      <c r="AY169" s="448"/>
      <c r="AZ169" s="448"/>
      <c r="BA169" s="448"/>
    </row>
    <row r="170" spans="1:53" ht="12.75" customHeight="1" x14ac:dyDescent="0.2">
      <c r="A170" s="484">
        <f>'Kalkulation Herstellungskosten'!B286</f>
        <v>0</v>
      </c>
      <c r="B170" s="456"/>
      <c r="C170" s="456">
        <f>'Kalkulation Herstellungskosten'!E286</f>
        <v>0</v>
      </c>
      <c r="D170" s="448"/>
      <c r="E170" s="76"/>
      <c r="F170" s="76"/>
      <c r="G170" s="76"/>
      <c r="H170" s="468">
        <f t="shared" si="21"/>
        <v>0</v>
      </c>
      <c r="I170" s="76"/>
      <c r="J170" s="76"/>
      <c r="K170" s="468">
        <f t="shared" si="22"/>
        <v>0</v>
      </c>
      <c r="L170" s="76"/>
      <c r="M170" s="76"/>
      <c r="N170" s="76"/>
      <c r="O170" s="76"/>
      <c r="P170" s="76"/>
      <c r="Q170" s="76"/>
      <c r="R170" s="76"/>
      <c r="S170" s="76"/>
      <c r="T170" s="76"/>
      <c r="U170" s="468">
        <f t="shared" si="20"/>
        <v>0</v>
      </c>
      <c r="V170" s="448"/>
      <c r="W170" s="1317"/>
      <c r="X170" s="1317"/>
      <c r="Y170" s="1317"/>
      <c r="Z170" s="1317"/>
      <c r="AA170" s="1317"/>
      <c r="AB170" s="1317"/>
      <c r="AC170" s="1317"/>
      <c r="AD170" s="1317"/>
      <c r="AE170" s="1317"/>
      <c r="AF170" s="1317"/>
      <c r="AG170" s="448"/>
      <c r="AH170" s="448"/>
      <c r="AI170" s="448"/>
      <c r="AJ170" s="448"/>
      <c r="AK170" s="448"/>
      <c r="AL170" s="448"/>
      <c r="AM170" s="448"/>
      <c r="AN170" s="448"/>
      <c r="AO170" s="448"/>
      <c r="AP170" s="448"/>
      <c r="AQ170" s="448"/>
      <c r="AR170" s="448"/>
      <c r="AS170" s="448"/>
      <c r="AT170" s="448"/>
      <c r="AU170" s="448"/>
      <c r="AV170" s="448"/>
      <c r="AW170" s="448"/>
      <c r="AX170" s="448"/>
      <c r="AY170" s="448"/>
      <c r="AZ170" s="448"/>
      <c r="BA170" s="448"/>
    </row>
    <row r="171" spans="1:53" ht="12.75" customHeight="1" x14ac:dyDescent="0.2">
      <c r="A171" s="484">
        <f>'Kalkulation Herstellungskosten'!B287</f>
        <v>0</v>
      </c>
      <c r="B171" s="456"/>
      <c r="C171" s="456">
        <f>'Kalkulation Herstellungskosten'!E287</f>
        <v>0</v>
      </c>
      <c r="D171" s="448"/>
      <c r="E171" s="76"/>
      <c r="F171" s="76"/>
      <c r="G171" s="76"/>
      <c r="H171" s="468">
        <f t="shared" si="21"/>
        <v>0</v>
      </c>
      <c r="I171" s="76"/>
      <c r="J171" s="76"/>
      <c r="K171" s="468">
        <f t="shared" si="22"/>
        <v>0</v>
      </c>
      <c r="L171" s="76"/>
      <c r="M171" s="76"/>
      <c r="N171" s="76"/>
      <c r="O171" s="76"/>
      <c r="P171" s="76"/>
      <c r="Q171" s="76"/>
      <c r="R171" s="76"/>
      <c r="S171" s="76"/>
      <c r="T171" s="76"/>
      <c r="U171" s="468">
        <f t="shared" si="20"/>
        <v>0</v>
      </c>
      <c r="V171" s="448"/>
      <c r="W171" s="1317"/>
      <c r="X171" s="1317"/>
      <c r="Y171" s="1317"/>
      <c r="Z171" s="1317"/>
      <c r="AA171" s="1317"/>
      <c r="AB171" s="1317"/>
      <c r="AC171" s="1317"/>
      <c r="AD171" s="1317"/>
      <c r="AE171" s="1317"/>
      <c r="AF171" s="1317"/>
      <c r="AG171" s="448"/>
      <c r="AH171" s="448"/>
      <c r="AI171" s="448"/>
      <c r="AJ171" s="448"/>
      <c r="AK171" s="448"/>
      <c r="AL171" s="448"/>
      <c r="AM171" s="448"/>
      <c r="AN171" s="448"/>
      <c r="AO171" s="448"/>
      <c r="AP171" s="448"/>
      <c r="AQ171" s="448"/>
      <c r="AR171" s="448"/>
      <c r="AS171" s="448"/>
      <c r="AT171" s="448"/>
      <c r="AU171" s="448"/>
      <c r="AV171" s="448"/>
      <c r="AW171" s="448"/>
      <c r="AX171" s="448"/>
      <c r="AY171" s="448"/>
      <c r="AZ171" s="448"/>
      <c r="BA171" s="448"/>
    </row>
    <row r="172" spans="1:53" ht="12.75" customHeight="1" x14ac:dyDescent="0.2">
      <c r="A172" s="484">
        <f>'Kalkulation Herstellungskosten'!B288</f>
        <v>0</v>
      </c>
      <c r="B172" s="456"/>
      <c r="C172" s="456">
        <f>'Kalkulation Herstellungskosten'!E288</f>
        <v>0</v>
      </c>
      <c r="D172" s="448"/>
      <c r="E172" s="76"/>
      <c r="F172" s="76"/>
      <c r="G172" s="76"/>
      <c r="H172" s="468">
        <f t="shared" si="21"/>
        <v>0</v>
      </c>
      <c r="I172" s="76"/>
      <c r="J172" s="76"/>
      <c r="K172" s="468">
        <f t="shared" si="22"/>
        <v>0</v>
      </c>
      <c r="L172" s="76"/>
      <c r="M172" s="76"/>
      <c r="N172" s="76"/>
      <c r="O172" s="76"/>
      <c r="P172" s="76"/>
      <c r="Q172" s="76"/>
      <c r="R172" s="76"/>
      <c r="S172" s="76"/>
      <c r="T172" s="76"/>
      <c r="U172" s="468">
        <f t="shared" si="20"/>
        <v>0</v>
      </c>
      <c r="V172" s="448"/>
      <c r="W172" s="1317"/>
      <c r="X172" s="1317"/>
      <c r="Y172" s="1317"/>
      <c r="Z172" s="1317"/>
      <c r="AA172" s="1317"/>
      <c r="AB172" s="1317"/>
      <c r="AC172" s="1317"/>
      <c r="AD172" s="1317"/>
      <c r="AE172" s="1317"/>
      <c r="AF172" s="1317"/>
      <c r="AG172" s="448"/>
      <c r="AH172" s="448"/>
      <c r="AI172" s="448"/>
      <c r="AJ172" s="448"/>
      <c r="AK172" s="448"/>
      <c r="AL172" s="448"/>
      <c r="AM172" s="448"/>
      <c r="AN172" s="448"/>
      <c r="AO172" s="448"/>
      <c r="AP172" s="448"/>
      <c r="AQ172" s="448"/>
      <c r="AR172" s="448"/>
      <c r="AS172" s="448"/>
      <c r="AT172" s="448"/>
      <c r="AU172" s="448"/>
      <c r="AV172" s="448"/>
      <c r="AW172" s="448"/>
      <c r="AX172" s="448"/>
      <c r="AY172" s="448"/>
      <c r="AZ172" s="448"/>
      <c r="BA172" s="448"/>
    </row>
    <row r="173" spans="1:53" ht="12.75" customHeight="1" x14ac:dyDescent="0.2">
      <c r="A173" s="484">
        <f>'Kalkulation Herstellungskosten'!B289</f>
        <v>0</v>
      </c>
      <c r="B173" s="456"/>
      <c r="C173" s="456">
        <f>'Kalkulation Herstellungskosten'!E289</f>
        <v>0</v>
      </c>
      <c r="D173" s="448"/>
      <c r="E173" s="76"/>
      <c r="F173" s="76"/>
      <c r="G173" s="76"/>
      <c r="H173" s="468">
        <f t="shared" si="21"/>
        <v>0</v>
      </c>
      <c r="I173" s="76"/>
      <c r="J173" s="76"/>
      <c r="K173" s="468">
        <f t="shared" si="22"/>
        <v>0</v>
      </c>
      <c r="L173" s="76"/>
      <c r="M173" s="76"/>
      <c r="N173" s="76"/>
      <c r="O173" s="76"/>
      <c r="P173" s="76"/>
      <c r="Q173" s="76"/>
      <c r="R173" s="76"/>
      <c r="S173" s="76"/>
      <c r="T173" s="76"/>
      <c r="U173" s="468">
        <f t="shared" si="20"/>
        <v>0</v>
      </c>
      <c r="V173" s="448"/>
      <c r="W173" s="1317"/>
      <c r="X173" s="1317"/>
      <c r="Y173" s="1317"/>
      <c r="Z173" s="1317"/>
      <c r="AA173" s="1317"/>
      <c r="AB173" s="1317"/>
      <c r="AC173" s="1317"/>
      <c r="AD173" s="1317"/>
      <c r="AE173" s="1317"/>
      <c r="AF173" s="1317"/>
      <c r="AG173" s="448"/>
      <c r="AH173" s="448"/>
      <c r="AI173" s="448"/>
      <c r="AJ173" s="448"/>
      <c r="AK173" s="448"/>
      <c r="AL173" s="448"/>
      <c r="AM173" s="448"/>
      <c r="AN173" s="448"/>
      <c r="AO173" s="448"/>
      <c r="AP173" s="448"/>
      <c r="AQ173" s="448"/>
      <c r="AR173" s="448"/>
      <c r="AS173" s="448"/>
      <c r="AT173" s="448"/>
      <c r="AU173" s="448"/>
      <c r="AV173" s="448"/>
      <c r="AW173" s="448"/>
      <c r="AX173" s="448"/>
      <c r="AY173" s="448"/>
      <c r="AZ173" s="448"/>
      <c r="BA173" s="448"/>
    </row>
    <row r="174" spans="1:53" ht="12.75" customHeight="1" x14ac:dyDescent="0.2">
      <c r="A174" s="484">
        <f>'Kalkulation Herstellungskosten'!B290</f>
        <v>0</v>
      </c>
      <c r="B174" s="456"/>
      <c r="C174" s="456">
        <f>'Kalkulation Herstellungskosten'!E290</f>
        <v>0</v>
      </c>
      <c r="D174" s="448"/>
      <c r="E174" s="76"/>
      <c r="F174" s="76"/>
      <c r="G174" s="76"/>
      <c r="H174" s="468">
        <f t="shared" si="21"/>
        <v>0</v>
      </c>
      <c r="I174" s="76"/>
      <c r="J174" s="76"/>
      <c r="K174" s="468">
        <f t="shared" si="22"/>
        <v>0</v>
      </c>
      <c r="L174" s="76"/>
      <c r="M174" s="76"/>
      <c r="N174" s="76"/>
      <c r="O174" s="76"/>
      <c r="P174" s="76"/>
      <c r="Q174" s="76"/>
      <c r="R174" s="76"/>
      <c r="S174" s="76"/>
      <c r="T174" s="76"/>
      <c r="U174" s="468">
        <f t="shared" si="20"/>
        <v>0</v>
      </c>
      <c r="V174" s="448"/>
      <c r="W174" s="1317"/>
      <c r="X174" s="1317"/>
      <c r="Y174" s="1317"/>
      <c r="Z174" s="1317"/>
      <c r="AA174" s="1317"/>
      <c r="AB174" s="1317"/>
      <c r="AC174" s="1317"/>
      <c r="AD174" s="1317"/>
      <c r="AE174" s="1317"/>
      <c r="AF174" s="1317"/>
      <c r="AG174" s="448"/>
      <c r="AH174" s="448"/>
      <c r="AI174" s="448"/>
      <c r="AJ174" s="448"/>
      <c r="AK174" s="448"/>
      <c r="AL174" s="448"/>
      <c r="AM174" s="448"/>
      <c r="AN174" s="448"/>
      <c r="AO174" s="448"/>
      <c r="AP174" s="448"/>
      <c r="AQ174" s="448"/>
      <c r="AR174" s="448"/>
      <c r="AS174" s="448"/>
      <c r="AT174" s="448"/>
      <c r="AU174" s="448"/>
      <c r="AV174" s="448"/>
      <c r="AW174" s="448"/>
      <c r="AX174" s="448"/>
      <c r="AY174" s="448"/>
      <c r="AZ174" s="448"/>
      <c r="BA174" s="448"/>
    </row>
    <row r="175" spans="1:53" ht="12.75" customHeight="1" x14ac:dyDescent="0.2">
      <c r="A175" s="484">
        <f>'Kalkulation Herstellungskosten'!B291</f>
        <v>0</v>
      </c>
      <c r="B175" s="456"/>
      <c r="C175" s="456">
        <f>'Kalkulation Herstellungskosten'!E291</f>
        <v>0</v>
      </c>
      <c r="D175" s="448"/>
      <c r="E175" s="76"/>
      <c r="F175" s="76"/>
      <c r="G175" s="76"/>
      <c r="H175" s="468">
        <f t="shared" si="21"/>
        <v>0</v>
      </c>
      <c r="I175" s="76"/>
      <c r="J175" s="76"/>
      <c r="K175" s="468">
        <f t="shared" si="22"/>
        <v>0</v>
      </c>
      <c r="L175" s="76"/>
      <c r="M175" s="76"/>
      <c r="N175" s="76"/>
      <c r="O175" s="76"/>
      <c r="P175" s="76"/>
      <c r="Q175" s="76"/>
      <c r="R175" s="76"/>
      <c r="S175" s="76"/>
      <c r="T175" s="76"/>
      <c r="U175" s="468">
        <f t="shared" si="20"/>
        <v>0</v>
      </c>
      <c r="V175" s="448"/>
      <c r="W175" s="1317"/>
      <c r="X175" s="1317"/>
      <c r="Y175" s="1317"/>
      <c r="Z175" s="1317"/>
      <c r="AA175" s="1317"/>
      <c r="AB175" s="1317"/>
      <c r="AC175" s="1317"/>
      <c r="AD175" s="1317"/>
      <c r="AE175" s="1317"/>
      <c r="AF175" s="1317"/>
      <c r="AG175" s="448"/>
      <c r="AH175" s="448"/>
      <c r="AI175" s="448"/>
      <c r="AJ175" s="448"/>
      <c r="AK175" s="448"/>
      <c r="AL175" s="448"/>
      <c r="AM175" s="448"/>
      <c r="AN175" s="448"/>
      <c r="AO175" s="448"/>
      <c r="AP175" s="448"/>
      <c r="AQ175" s="448"/>
      <c r="AR175" s="448"/>
      <c r="AS175" s="448"/>
      <c r="AT175" s="448"/>
      <c r="AU175" s="448"/>
      <c r="AV175" s="448"/>
      <c r="AW175" s="448"/>
      <c r="AX175" s="448"/>
      <c r="AY175" s="448"/>
      <c r="AZ175" s="448"/>
      <c r="BA175" s="448"/>
    </row>
    <row r="176" spans="1:53" ht="12.75" customHeight="1" x14ac:dyDescent="0.2">
      <c r="A176" s="484">
        <f>'Kalkulation Herstellungskosten'!B292</f>
        <v>0</v>
      </c>
      <c r="B176" s="456"/>
      <c r="C176" s="456">
        <f>'Kalkulation Herstellungskosten'!E292</f>
        <v>0</v>
      </c>
      <c r="D176" s="448"/>
      <c r="E176" s="76"/>
      <c r="F176" s="76"/>
      <c r="G176" s="76"/>
      <c r="H176" s="468">
        <f t="shared" si="21"/>
        <v>0</v>
      </c>
      <c r="I176" s="76"/>
      <c r="J176" s="76"/>
      <c r="K176" s="468">
        <f t="shared" si="22"/>
        <v>0</v>
      </c>
      <c r="L176" s="76"/>
      <c r="M176" s="76"/>
      <c r="N176" s="76"/>
      <c r="O176" s="76"/>
      <c r="P176" s="76"/>
      <c r="Q176" s="76"/>
      <c r="R176" s="76"/>
      <c r="S176" s="76"/>
      <c r="T176" s="76"/>
      <c r="U176" s="468">
        <f t="shared" si="20"/>
        <v>0</v>
      </c>
      <c r="V176" s="448"/>
      <c r="W176" s="1317"/>
      <c r="X176" s="1317"/>
      <c r="Y176" s="1317"/>
      <c r="Z176" s="1317"/>
      <c r="AA176" s="1317"/>
      <c r="AB176" s="1317"/>
      <c r="AC176" s="1317"/>
      <c r="AD176" s="1317"/>
      <c r="AE176" s="1317"/>
      <c r="AF176" s="1317"/>
      <c r="AG176" s="448"/>
      <c r="AH176" s="448"/>
      <c r="AI176" s="448"/>
      <c r="AJ176" s="448"/>
      <c r="AK176" s="448"/>
      <c r="AL176" s="448"/>
      <c r="AM176" s="448"/>
      <c r="AN176" s="448"/>
      <c r="AO176" s="448"/>
      <c r="AP176" s="448"/>
      <c r="AQ176" s="448"/>
      <c r="AR176" s="448"/>
      <c r="AS176" s="448"/>
      <c r="AT176" s="448"/>
      <c r="AU176" s="448"/>
      <c r="AV176" s="448"/>
      <c r="AW176" s="448"/>
      <c r="AX176" s="448"/>
      <c r="AY176" s="448"/>
      <c r="AZ176" s="448"/>
      <c r="BA176" s="448"/>
    </row>
    <row r="177" spans="1:53" ht="12.75" customHeight="1" x14ac:dyDescent="0.2">
      <c r="A177" s="484">
        <f>'Kalkulation Herstellungskosten'!B293</f>
        <v>0</v>
      </c>
      <c r="B177" s="456"/>
      <c r="C177" s="456">
        <f>'Kalkulation Herstellungskosten'!E293</f>
        <v>0</v>
      </c>
      <c r="D177" s="448"/>
      <c r="E177" s="76"/>
      <c r="F177" s="76"/>
      <c r="G177" s="76"/>
      <c r="H177" s="468">
        <f t="shared" si="21"/>
        <v>0</v>
      </c>
      <c r="I177" s="76"/>
      <c r="J177" s="76"/>
      <c r="K177" s="468">
        <f t="shared" si="22"/>
        <v>0</v>
      </c>
      <c r="L177" s="76"/>
      <c r="M177" s="76"/>
      <c r="N177" s="76"/>
      <c r="O177" s="76"/>
      <c r="P177" s="76"/>
      <c r="Q177" s="76"/>
      <c r="R177" s="76"/>
      <c r="S177" s="76"/>
      <c r="T177" s="76"/>
      <c r="U177" s="468">
        <f t="shared" si="20"/>
        <v>0</v>
      </c>
      <c r="V177" s="448"/>
      <c r="W177" s="1317"/>
      <c r="X177" s="1317"/>
      <c r="Y177" s="1317"/>
      <c r="Z177" s="1317"/>
      <c r="AA177" s="1317"/>
      <c r="AB177" s="1317"/>
      <c r="AC177" s="1317"/>
      <c r="AD177" s="1317"/>
      <c r="AE177" s="1317"/>
      <c r="AF177" s="1317"/>
      <c r="AG177" s="448"/>
      <c r="AH177" s="448"/>
      <c r="AI177" s="448"/>
      <c r="AJ177" s="448"/>
      <c r="AK177" s="448"/>
      <c r="AL177" s="448"/>
      <c r="AM177" s="448"/>
      <c r="AN177" s="448"/>
      <c r="AO177" s="448"/>
      <c r="AP177" s="448"/>
      <c r="AQ177" s="448"/>
      <c r="AR177" s="448"/>
      <c r="AS177" s="448"/>
      <c r="AT177" s="448"/>
      <c r="AU177" s="448"/>
      <c r="AV177" s="448"/>
      <c r="AW177" s="448"/>
      <c r="AX177" s="448"/>
      <c r="AY177" s="448"/>
      <c r="AZ177" s="448"/>
      <c r="BA177" s="448"/>
    </row>
    <row r="178" spans="1:53" ht="12.75" customHeight="1" x14ac:dyDescent="0.2">
      <c r="A178" s="484">
        <f>'Kalkulation Herstellungskosten'!B294</f>
        <v>0</v>
      </c>
      <c r="B178" s="456"/>
      <c r="C178" s="456">
        <f>'Kalkulation Herstellungskosten'!E294</f>
        <v>0</v>
      </c>
      <c r="D178" s="448"/>
      <c r="E178" s="76"/>
      <c r="F178" s="76"/>
      <c r="G178" s="76"/>
      <c r="H178" s="468">
        <f t="shared" ref="H178:H207" si="23">F178*G178</f>
        <v>0</v>
      </c>
      <c r="I178" s="76"/>
      <c r="J178" s="76"/>
      <c r="K178" s="468">
        <f t="shared" ref="K178:K207" si="24">I178*J178</f>
        <v>0</v>
      </c>
      <c r="L178" s="76"/>
      <c r="M178" s="76"/>
      <c r="N178" s="76"/>
      <c r="O178" s="76"/>
      <c r="P178" s="76"/>
      <c r="Q178" s="76"/>
      <c r="R178" s="76"/>
      <c r="S178" s="76"/>
      <c r="T178" s="76"/>
      <c r="U178" s="468">
        <f t="shared" ref="U178:U207" si="25">S178*T178</f>
        <v>0</v>
      </c>
      <c r="V178" s="448"/>
      <c r="W178" s="1317"/>
      <c r="X178" s="1317"/>
      <c r="Y178" s="1317"/>
      <c r="Z178" s="1317"/>
      <c r="AA178" s="1317"/>
      <c r="AB178" s="1317"/>
      <c r="AC178" s="1317"/>
      <c r="AD178" s="1317"/>
      <c r="AE178" s="1317"/>
      <c r="AF178" s="1317"/>
      <c r="AG178" s="448"/>
      <c r="AH178" s="448"/>
      <c r="AI178" s="448"/>
      <c r="AJ178" s="448"/>
      <c r="AK178" s="448"/>
      <c r="AL178" s="448"/>
      <c r="AM178" s="448"/>
      <c r="AN178" s="448"/>
      <c r="AO178" s="448"/>
      <c r="AP178" s="448"/>
      <c r="AQ178" s="448"/>
      <c r="AR178" s="448"/>
      <c r="AS178" s="448"/>
      <c r="AT178" s="448"/>
      <c r="AU178" s="448"/>
      <c r="AV178" s="448"/>
      <c r="AW178" s="448"/>
      <c r="AX178" s="448"/>
      <c r="AY178" s="448"/>
      <c r="AZ178" s="448"/>
      <c r="BA178" s="448"/>
    </row>
    <row r="179" spans="1:53" ht="12.75" customHeight="1" x14ac:dyDescent="0.2">
      <c r="A179" s="484">
        <f>'Kalkulation Herstellungskosten'!B295</f>
        <v>0</v>
      </c>
      <c r="B179" s="456"/>
      <c r="C179" s="456">
        <f>'Kalkulation Herstellungskosten'!E295</f>
        <v>0</v>
      </c>
      <c r="D179" s="448"/>
      <c r="E179" s="76"/>
      <c r="F179" s="76"/>
      <c r="G179" s="76"/>
      <c r="H179" s="468">
        <f t="shared" si="23"/>
        <v>0</v>
      </c>
      <c r="I179" s="76"/>
      <c r="J179" s="76"/>
      <c r="K179" s="468">
        <f t="shared" si="24"/>
        <v>0</v>
      </c>
      <c r="L179" s="76"/>
      <c r="M179" s="76"/>
      <c r="N179" s="76"/>
      <c r="O179" s="76"/>
      <c r="P179" s="76"/>
      <c r="Q179" s="76"/>
      <c r="R179" s="76"/>
      <c r="S179" s="76"/>
      <c r="T179" s="76"/>
      <c r="U179" s="468">
        <f t="shared" si="25"/>
        <v>0</v>
      </c>
      <c r="V179" s="448"/>
      <c r="W179" s="1317"/>
      <c r="X179" s="1317"/>
      <c r="Y179" s="1317"/>
      <c r="Z179" s="1317"/>
      <c r="AA179" s="1317"/>
      <c r="AB179" s="1317"/>
      <c r="AC179" s="1317"/>
      <c r="AD179" s="1317"/>
      <c r="AE179" s="1317"/>
      <c r="AF179" s="1317"/>
      <c r="AG179" s="448"/>
      <c r="AH179" s="448"/>
      <c r="AI179" s="448"/>
      <c r="AJ179" s="448"/>
      <c r="AK179" s="448"/>
      <c r="AL179" s="448"/>
      <c r="AM179" s="448"/>
      <c r="AN179" s="448"/>
      <c r="AO179" s="448"/>
      <c r="AP179" s="448"/>
      <c r="AQ179" s="448"/>
      <c r="AR179" s="448"/>
      <c r="AS179" s="448"/>
      <c r="AT179" s="448"/>
      <c r="AU179" s="448"/>
      <c r="AV179" s="448"/>
      <c r="AW179" s="448"/>
      <c r="AX179" s="448"/>
      <c r="AY179" s="448"/>
      <c r="AZ179" s="448"/>
      <c r="BA179" s="448"/>
    </row>
    <row r="180" spans="1:53" ht="12.75" customHeight="1" x14ac:dyDescent="0.2">
      <c r="A180" s="484">
        <f>'Kalkulation Herstellungskosten'!B296</f>
        <v>0</v>
      </c>
      <c r="B180" s="456"/>
      <c r="C180" s="456">
        <f>'Kalkulation Herstellungskosten'!E296</f>
        <v>0</v>
      </c>
      <c r="D180" s="448"/>
      <c r="E180" s="76"/>
      <c r="F180" s="76"/>
      <c r="G180" s="76"/>
      <c r="H180" s="468">
        <f t="shared" si="23"/>
        <v>0</v>
      </c>
      <c r="I180" s="76"/>
      <c r="J180" s="76"/>
      <c r="K180" s="468">
        <f t="shared" si="24"/>
        <v>0</v>
      </c>
      <c r="L180" s="76"/>
      <c r="M180" s="76"/>
      <c r="N180" s="76"/>
      <c r="O180" s="76"/>
      <c r="P180" s="76"/>
      <c r="Q180" s="76"/>
      <c r="R180" s="76"/>
      <c r="S180" s="76"/>
      <c r="T180" s="76"/>
      <c r="U180" s="468">
        <f t="shared" si="25"/>
        <v>0</v>
      </c>
      <c r="V180" s="448"/>
      <c r="W180" s="1317"/>
      <c r="X180" s="1317"/>
      <c r="Y180" s="1317"/>
      <c r="Z180" s="1317"/>
      <c r="AA180" s="1317"/>
      <c r="AB180" s="1317"/>
      <c r="AC180" s="1317"/>
      <c r="AD180" s="1317"/>
      <c r="AE180" s="1317"/>
      <c r="AF180" s="1317"/>
      <c r="AG180" s="448"/>
      <c r="AH180" s="448"/>
      <c r="AI180" s="448"/>
      <c r="AJ180" s="448"/>
      <c r="AK180" s="448"/>
      <c r="AL180" s="448"/>
      <c r="AM180" s="448"/>
      <c r="AN180" s="448"/>
      <c r="AO180" s="448"/>
      <c r="AP180" s="448"/>
      <c r="AQ180" s="448"/>
      <c r="AR180" s="448"/>
      <c r="AS180" s="448"/>
      <c r="AT180" s="448"/>
      <c r="AU180" s="448"/>
      <c r="AV180" s="448"/>
      <c r="AW180" s="448"/>
      <c r="AX180" s="448"/>
      <c r="AY180" s="448"/>
      <c r="AZ180" s="448"/>
      <c r="BA180" s="448"/>
    </row>
    <row r="181" spans="1:53" ht="12.75" customHeight="1" x14ac:dyDescent="0.2">
      <c r="A181" s="484">
        <f>'Kalkulation Herstellungskosten'!B297</f>
        <v>0</v>
      </c>
      <c r="B181" s="456"/>
      <c r="C181" s="456">
        <f>'Kalkulation Herstellungskosten'!E297</f>
        <v>0</v>
      </c>
      <c r="D181" s="448"/>
      <c r="E181" s="76"/>
      <c r="F181" s="76"/>
      <c r="G181" s="76"/>
      <c r="H181" s="468">
        <f t="shared" si="23"/>
        <v>0</v>
      </c>
      <c r="I181" s="76"/>
      <c r="J181" s="76"/>
      <c r="K181" s="468">
        <f t="shared" si="24"/>
        <v>0</v>
      </c>
      <c r="L181" s="76"/>
      <c r="M181" s="76"/>
      <c r="N181" s="76"/>
      <c r="O181" s="76"/>
      <c r="P181" s="76"/>
      <c r="Q181" s="76"/>
      <c r="R181" s="76"/>
      <c r="S181" s="76"/>
      <c r="T181" s="76"/>
      <c r="U181" s="468">
        <f t="shared" si="25"/>
        <v>0</v>
      </c>
      <c r="V181" s="448"/>
      <c r="W181" s="1317"/>
      <c r="X181" s="1317"/>
      <c r="Y181" s="1317"/>
      <c r="Z181" s="1317"/>
      <c r="AA181" s="1317"/>
      <c r="AB181" s="1317"/>
      <c r="AC181" s="1317"/>
      <c r="AD181" s="1317"/>
      <c r="AE181" s="1317"/>
      <c r="AF181" s="1317"/>
      <c r="AG181" s="448"/>
      <c r="AH181" s="448"/>
      <c r="AI181" s="448"/>
      <c r="AJ181" s="448"/>
      <c r="AK181" s="448"/>
      <c r="AL181" s="448"/>
      <c r="AM181" s="448"/>
      <c r="AN181" s="448"/>
      <c r="AO181" s="448"/>
      <c r="AP181" s="448"/>
      <c r="AQ181" s="448"/>
      <c r="AR181" s="448"/>
      <c r="AS181" s="448"/>
      <c r="AT181" s="448"/>
      <c r="AU181" s="448"/>
      <c r="AV181" s="448"/>
      <c r="AW181" s="448"/>
      <c r="AX181" s="448"/>
      <c r="AY181" s="448"/>
      <c r="AZ181" s="448"/>
      <c r="BA181" s="448"/>
    </row>
    <row r="182" spans="1:53" ht="12.75" customHeight="1" x14ac:dyDescent="0.2">
      <c r="A182" s="484">
        <f>'Kalkulation Herstellungskosten'!B298</f>
        <v>0</v>
      </c>
      <c r="B182" s="456"/>
      <c r="C182" s="456">
        <f>'Kalkulation Herstellungskosten'!E298</f>
        <v>0</v>
      </c>
      <c r="D182" s="448"/>
      <c r="E182" s="76"/>
      <c r="F182" s="76"/>
      <c r="G182" s="76"/>
      <c r="H182" s="468">
        <f t="shared" si="23"/>
        <v>0</v>
      </c>
      <c r="I182" s="76"/>
      <c r="J182" s="76"/>
      <c r="K182" s="468">
        <f t="shared" si="24"/>
        <v>0</v>
      </c>
      <c r="L182" s="76"/>
      <c r="M182" s="76"/>
      <c r="N182" s="76"/>
      <c r="O182" s="76"/>
      <c r="P182" s="76"/>
      <c r="Q182" s="76"/>
      <c r="R182" s="76"/>
      <c r="S182" s="76"/>
      <c r="T182" s="76"/>
      <c r="U182" s="468">
        <f t="shared" si="25"/>
        <v>0</v>
      </c>
      <c r="V182" s="448"/>
      <c r="W182" s="1317"/>
      <c r="X182" s="1317"/>
      <c r="Y182" s="1317"/>
      <c r="Z182" s="1317"/>
      <c r="AA182" s="1317"/>
      <c r="AB182" s="1317"/>
      <c r="AC182" s="1317"/>
      <c r="AD182" s="1317"/>
      <c r="AE182" s="1317"/>
      <c r="AF182" s="1317"/>
      <c r="AG182" s="448"/>
      <c r="AH182" s="448"/>
      <c r="AI182" s="448"/>
      <c r="AJ182" s="448"/>
      <c r="AK182" s="448"/>
      <c r="AL182" s="448"/>
      <c r="AM182" s="448"/>
      <c r="AN182" s="448"/>
      <c r="AO182" s="448"/>
      <c r="AP182" s="448"/>
      <c r="AQ182" s="448"/>
      <c r="AR182" s="448"/>
      <c r="AS182" s="448"/>
      <c r="AT182" s="448"/>
      <c r="AU182" s="448"/>
      <c r="AV182" s="448"/>
      <c r="AW182" s="448"/>
      <c r="AX182" s="448"/>
      <c r="AY182" s="448"/>
      <c r="AZ182" s="448"/>
      <c r="BA182" s="448"/>
    </row>
    <row r="183" spans="1:53" ht="12.75" customHeight="1" x14ac:dyDescent="0.2">
      <c r="A183" s="484">
        <f>'Kalkulation Herstellungskosten'!B299</f>
        <v>0</v>
      </c>
      <c r="B183" s="456"/>
      <c r="C183" s="456">
        <f>'Kalkulation Herstellungskosten'!E299</f>
        <v>0</v>
      </c>
      <c r="D183" s="448"/>
      <c r="E183" s="76"/>
      <c r="F183" s="76"/>
      <c r="G183" s="76"/>
      <c r="H183" s="468">
        <f t="shared" si="23"/>
        <v>0</v>
      </c>
      <c r="I183" s="76"/>
      <c r="J183" s="76"/>
      <c r="K183" s="468">
        <f t="shared" si="24"/>
        <v>0</v>
      </c>
      <c r="L183" s="76"/>
      <c r="M183" s="76"/>
      <c r="N183" s="76"/>
      <c r="O183" s="76"/>
      <c r="P183" s="76"/>
      <c r="Q183" s="76"/>
      <c r="R183" s="76"/>
      <c r="S183" s="76"/>
      <c r="T183" s="76"/>
      <c r="U183" s="468">
        <f t="shared" si="25"/>
        <v>0</v>
      </c>
      <c r="V183" s="448"/>
      <c r="W183" s="1317"/>
      <c r="X183" s="1317"/>
      <c r="Y183" s="1317"/>
      <c r="Z183" s="1317"/>
      <c r="AA183" s="1317"/>
      <c r="AB183" s="1317"/>
      <c r="AC183" s="1317"/>
      <c r="AD183" s="1317"/>
      <c r="AE183" s="1317"/>
      <c r="AF183" s="1317"/>
      <c r="AG183" s="448"/>
      <c r="AH183" s="448"/>
      <c r="AI183" s="448"/>
      <c r="AJ183" s="448"/>
      <c r="AK183" s="448"/>
      <c r="AL183" s="448"/>
      <c r="AM183" s="448"/>
      <c r="AN183" s="448"/>
      <c r="AO183" s="448"/>
      <c r="AP183" s="448"/>
      <c r="AQ183" s="448"/>
      <c r="AR183" s="448"/>
      <c r="AS183" s="448"/>
      <c r="AT183" s="448"/>
      <c r="AU183" s="448"/>
      <c r="AV183" s="448"/>
      <c r="AW183" s="448"/>
      <c r="AX183" s="448"/>
      <c r="AY183" s="448"/>
      <c r="AZ183" s="448"/>
      <c r="BA183" s="448"/>
    </row>
    <row r="184" spans="1:53" ht="12.75" customHeight="1" x14ac:dyDescent="0.2">
      <c r="A184" s="484">
        <f>'Kalkulation Herstellungskosten'!B300</f>
        <v>0</v>
      </c>
      <c r="B184" s="456"/>
      <c r="C184" s="456">
        <f>'Kalkulation Herstellungskosten'!E300</f>
        <v>0</v>
      </c>
      <c r="D184" s="448"/>
      <c r="E184" s="76"/>
      <c r="F184" s="76"/>
      <c r="G184" s="76"/>
      <c r="H184" s="468">
        <f t="shared" si="23"/>
        <v>0</v>
      </c>
      <c r="I184" s="76"/>
      <c r="J184" s="76"/>
      <c r="K184" s="468">
        <f t="shared" si="24"/>
        <v>0</v>
      </c>
      <c r="L184" s="76"/>
      <c r="M184" s="76"/>
      <c r="N184" s="76"/>
      <c r="O184" s="76"/>
      <c r="P184" s="76"/>
      <c r="Q184" s="76"/>
      <c r="R184" s="76"/>
      <c r="S184" s="76"/>
      <c r="T184" s="76"/>
      <c r="U184" s="468">
        <f t="shared" si="25"/>
        <v>0</v>
      </c>
      <c r="V184" s="448"/>
      <c r="W184" s="1317"/>
      <c r="X184" s="1317"/>
      <c r="Y184" s="1317"/>
      <c r="Z184" s="1317"/>
      <c r="AA184" s="1317"/>
      <c r="AB184" s="1317"/>
      <c r="AC184" s="1317"/>
      <c r="AD184" s="1317"/>
      <c r="AE184" s="1317"/>
      <c r="AF184" s="1317"/>
      <c r="AG184" s="448"/>
      <c r="AH184" s="448"/>
      <c r="AI184" s="448"/>
      <c r="AJ184" s="448"/>
      <c r="AK184" s="448"/>
      <c r="AL184" s="448"/>
      <c r="AM184" s="448"/>
      <c r="AN184" s="448"/>
      <c r="AO184" s="448"/>
      <c r="AP184" s="448"/>
      <c r="AQ184" s="448"/>
      <c r="AR184" s="448"/>
      <c r="AS184" s="448"/>
      <c r="AT184" s="448"/>
      <c r="AU184" s="448"/>
      <c r="AV184" s="448"/>
      <c r="AW184" s="448"/>
      <c r="AX184" s="448"/>
      <c r="AY184" s="448"/>
      <c r="AZ184" s="448"/>
      <c r="BA184" s="448"/>
    </row>
    <row r="185" spans="1:53" ht="12.75" customHeight="1" x14ac:dyDescent="0.2">
      <c r="A185" s="484">
        <f>'Kalkulation Herstellungskosten'!B301</f>
        <v>0</v>
      </c>
      <c r="B185" s="456"/>
      <c r="C185" s="456">
        <f>'Kalkulation Herstellungskosten'!E301</f>
        <v>0</v>
      </c>
      <c r="D185" s="448"/>
      <c r="E185" s="76"/>
      <c r="F185" s="76"/>
      <c r="G185" s="76"/>
      <c r="H185" s="468">
        <f t="shared" si="23"/>
        <v>0</v>
      </c>
      <c r="I185" s="76"/>
      <c r="J185" s="76"/>
      <c r="K185" s="468">
        <f t="shared" si="24"/>
        <v>0</v>
      </c>
      <c r="L185" s="76"/>
      <c r="M185" s="76"/>
      <c r="N185" s="76"/>
      <c r="O185" s="76"/>
      <c r="P185" s="76"/>
      <c r="Q185" s="76"/>
      <c r="R185" s="76"/>
      <c r="S185" s="76"/>
      <c r="T185" s="76"/>
      <c r="U185" s="468">
        <f t="shared" si="25"/>
        <v>0</v>
      </c>
      <c r="V185" s="448"/>
      <c r="W185" s="1317"/>
      <c r="X185" s="1317"/>
      <c r="Y185" s="1317"/>
      <c r="Z185" s="1317"/>
      <c r="AA185" s="1317"/>
      <c r="AB185" s="1317"/>
      <c r="AC185" s="1317"/>
      <c r="AD185" s="1317"/>
      <c r="AE185" s="1317"/>
      <c r="AF185" s="1317"/>
      <c r="AG185" s="448"/>
      <c r="AH185" s="448"/>
      <c r="AI185" s="448"/>
      <c r="AJ185" s="448"/>
      <c r="AK185" s="448"/>
      <c r="AL185" s="448"/>
      <c r="AM185" s="448"/>
      <c r="AN185" s="448"/>
      <c r="AO185" s="448"/>
      <c r="AP185" s="448"/>
      <c r="AQ185" s="448"/>
      <c r="AR185" s="448"/>
      <c r="AS185" s="448"/>
      <c r="AT185" s="448"/>
      <c r="AU185" s="448"/>
      <c r="AV185" s="448"/>
      <c r="AW185" s="448"/>
      <c r="AX185" s="448"/>
      <c r="AY185" s="448"/>
      <c r="AZ185" s="448"/>
      <c r="BA185" s="448"/>
    </row>
    <row r="186" spans="1:53" ht="12.75" customHeight="1" x14ac:dyDescent="0.2">
      <c r="A186" s="484">
        <f>'Kalkulation Herstellungskosten'!B302</f>
        <v>0</v>
      </c>
      <c r="B186" s="456"/>
      <c r="C186" s="456">
        <f>'Kalkulation Herstellungskosten'!E302</f>
        <v>0</v>
      </c>
      <c r="D186" s="448"/>
      <c r="E186" s="76"/>
      <c r="F186" s="76"/>
      <c r="G186" s="76"/>
      <c r="H186" s="468">
        <f t="shared" si="23"/>
        <v>0</v>
      </c>
      <c r="I186" s="76"/>
      <c r="J186" s="76"/>
      <c r="K186" s="468">
        <f t="shared" si="24"/>
        <v>0</v>
      </c>
      <c r="L186" s="76"/>
      <c r="M186" s="76"/>
      <c r="N186" s="76"/>
      <c r="O186" s="76"/>
      <c r="P186" s="76"/>
      <c r="Q186" s="76"/>
      <c r="R186" s="76"/>
      <c r="S186" s="76"/>
      <c r="T186" s="76"/>
      <c r="U186" s="468">
        <f t="shared" si="25"/>
        <v>0</v>
      </c>
      <c r="V186" s="448"/>
      <c r="W186" s="1317"/>
      <c r="X186" s="1317"/>
      <c r="Y186" s="1317"/>
      <c r="Z186" s="1317"/>
      <c r="AA186" s="1317"/>
      <c r="AB186" s="1317"/>
      <c r="AC186" s="1317"/>
      <c r="AD186" s="1317"/>
      <c r="AE186" s="1317"/>
      <c r="AF186" s="1317"/>
      <c r="AG186" s="448"/>
      <c r="AH186" s="448"/>
      <c r="AI186" s="448"/>
      <c r="AJ186" s="448"/>
      <c r="AK186" s="448"/>
      <c r="AL186" s="448"/>
      <c r="AM186" s="448"/>
      <c r="AN186" s="448"/>
      <c r="AO186" s="448"/>
      <c r="AP186" s="448"/>
      <c r="AQ186" s="448"/>
      <c r="AR186" s="448"/>
      <c r="AS186" s="448"/>
      <c r="AT186" s="448"/>
      <c r="AU186" s="448"/>
      <c r="AV186" s="448"/>
      <c r="AW186" s="448"/>
      <c r="AX186" s="448"/>
      <c r="AY186" s="448"/>
      <c r="AZ186" s="448"/>
      <c r="BA186" s="448"/>
    </row>
    <row r="187" spans="1:53" ht="12.75" customHeight="1" x14ac:dyDescent="0.2">
      <c r="A187" s="484">
        <f>'Kalkulation Herstellungskosten'!B303</f>
        <v>0</v>
      </c>
      <c r="B187" s="456"/>
      <c r="C187" s="456">
        <f>'Kalkulation Herstellungskosten'!E303</f>
        <v>0</v>
      </c>
      <c r="D187" s="448"/>
      <c r="E187" s="76"/>
      <c r="F187" s="76"/>
      <c r="G187" s="76"/>
      <c r="H187" s="468">
        <f t="shared" si="23"/>
        <v>0</v>
      </c>
      <c r="I187" s="76"/>
      <c r="J187" s="76"/>
      <c r="K187" s="468">
        <f t="shared" si="24"/>
        <v>0</v>
      </c>
      <c r="L187" s="76"/>
      <c r="M187" s="76"/>
      <c r="N187" s="76"/>
      <c r="O187" s="76"/>
      <c r="P187" s="76"/>
      <c r="Q187" s="76"/>
      <c r="R187" s="76"/>
      <c r="S187" s="76"/>
      <c r="T187" s="76"/>
      <c r="U187" s="468">
        <f t="shared" si="25"/>
        <v>0</v>
      </c>
      <c r="V187" s="448"/>
      <c r="W187" s="1317"/>
      <c r="X187" s="1317"/>
      <c r="Y187" s="1317"/>
      <c r="Z187" s="1317"/>
      <c r="AA187" s="1317"/>
      <c r="AB187" s="1317"/>
      <c r="AC187" s="1317"/>
      <c r="AD187" s="1317"/>
      <c r="AE187" s="1317"/>
      <c r="AF187" s="1317"/>
      <c r="AG187" s="448"/>
      <c r="AH187" s="448"/>
      <c r="AI187" s="448"/>
      <c r="AJ187" s="448"/>
      <c r="AK187" s="448"/>
      <c r="AL187" s="448"/>
      <c r="AM187" s="448"/>
      <c r="AN187" s="448"/>
      <c r="AO187" s="448"/>
      <c r="AP187" s="448"/>
      <c r="AQ187" s="448"/>
      <c r="AR187" s="448"/>
      <c r="AS187" s="448"/>
      <c r="AT187" s="448"/>
      <c r="AU187" s="448"/>
      <c r="AV187" s="448"/>
      <c r="AW187" s="448"/>
      <c r="AX187" s="448"/>
      <c r="AY187" s="448"/>
      <c r="AZ187" s="448"/>
      <c r="BA187" s="448"/>
    </row>
    <row r="188" spans="1:53" ht="12.75" customHeight="1" x14ac:dyDescent="0.2">
      <c r="A188" s="484">
        <f>'Kalkulation Herstellungskosten'!B304</f>
        <v>0</v>
      </c>
      <c r="B188" s="456"/>
      <c r="C188" s="456">
        <f>'Kalkulation Herstellungskosten'!E304</f>
        <v>0</v>
      </c>
      <c r="D188" s="448"/>
      <c r="E188" s="76"/>
      <c r="F188" s="76"/>
      <c r="G188" s="76"/>
      <c r="H188" s="468">
        <f t="shared" si="23"/>
        <v>0</v>
      </c>
      <c r="I188" s="76"/>
      <c r="J188" s="76"/>
      <c r="K188" s="468">
        <f t="shared" si="24"/>
        <v>0</v>
      </c>
      <c r="L188" s="76"/>
      <c r="M188" s="76"/>
      <c r="N188" s="76"/>
      <c r="O188" s="76"/>
      <c r="P188" s="76"/>
      <c r="Q188" s="76"/>
      <c r="R188" s="76"/>
      <c r="S188" s="76"/>
      <c r="T188" s="76"/>
      <c r="U188" s="468">
        <f t="shared" si="25"/>
        <v>0</v>
      </c>
      <c r="V188" s="448"/>
      <c r="W188" s="1317"/>
      <c r="X188" s="1317"/>
      <c r="Y188" s="1317"/>
      <c r="Z188" s="1317"/>
      <c r="AA188" s="1317"/>
      <c r="AB188" s="1317"/>
      <c r="AC188" s="1317"/>
      <c r="AD188" s="1317"/>
      <c r="AE188" s="1317"/>
      <c r="AF188" s="1317"/>
      <c r="AG188" s="448"/>
      <c r="AH188" s="448"/>
      <c r="AI188" s="448"/>
      <c r="AJ188" s="448"/>
      <c r="AK188" s="448"/>
      <c r="AL188" s="448"/>
      <c r="AM188" s="448"/>
      <c r="AN188" s="448"/>
      <c r="AO188" s="448"/>
      <c r="AP188" s="448"/>
      <c r="AQ188" s="448"/>
      <c r="AR188" s="448"/>
      <c r="AS188" s="448"/>
      <c r="AT188" s="448"/>
      <c r="AU188" s="448"/>
      <c r="AV188" s="448"/>
      <c r="AW188" s="448"/>
      <c r="AX188" s="448"/>
      <c r="AY188" s="448"/>
      <c r="AZ188" s="448"/>
      <c r="BA188" s="448"/>
    </row>
    <row r="189" spans="1:53" ht="12.75" customHeight="1" x14ac:dyDescent="0.2">
      <c r="A189" s="484">
        <f>'Kalkulation Herstellungskosten'!B305</f>
        <v>0</v>
      </c>
      <c r="B189" s="456"/>
      <c r="C189" s="456">
        <f>'Kalkulation Herstellungskosten'!E305</f>
        <v>0</v>
      </c>
      <c r="D189" s="448"/>
      <c r="E189" s="76"/>
      <c r="F189" s="76"/>
      <c r="G189" s="76"/>
      <c r="H189" s="468">
        <f t="shared" si="23"/>
        <v>0</v>
      </c>
      <c r="I189" s="76"/>
      <c r="J189" s="76"/>
      <c r="K189" s="468">
        <f t="shared" si="24"/>
        <v>0</v>
      </c>
      <c r="L189" s="76"/>
      <c r="M189" s="76"/>
      <c r="N189" s="76"/>
      <c r="O189" s="76"/>
      <c r="P189" s="76"/>
      <c r="Q189" s="76"/>
      <c r="R189" s="76"/>
      <c r="S189" s="76"/>
      <c r="T189" s="76"/>
      <c r="U189" s="468">
        <f t="shared" si="25"/>
        <v>0</v>
      </c>
      <c r="V189" s="448"/>
      <c r="W189" s="1317"/>
      <c r="X189" s="1317"/>
      <c r="Y189" s="1317"/>
      <c r="Z189" s="1317"/>
      <c r="AA189" s="1317"/>
      <c r="AB189" s="1317"/>
      <c r="AC189" s="1317"/>
      <c r="AD189" s="1317"/>
      <c r="AE189" s="1317"/>
      <c r="AF189" s="1317"/>
      <c r="AG189" s="448"/>
      <c r="AH189" s="448"/>
      <c r="AI189" s="448"/>
      <c r="AJ189" s="448"/>
      <c r="AK189" s="448"/>
      <c r="AL189" s="448"/>
      <c r="AM189" s="448"/>
      <c r="AN189" s="448"/>
      <c r="AO189" s="448"/>
      <c r="AP189" s="448"/>
      <c r="AQ189" s="448"/>
      <c r="AR189" s="448"/>
      <c r="AS189" s="448"/>
      <c r="AT189" s="448"/>
      <c r="AU189" s="448"/>
      <c r="AV189" s="448"/>
      <c r="AW189" s="448"/>
      <c r="AX189" s="448"/>
      <c r="AY189" s="448"/>
      <c r="AZ189" s="448"/>
      <c r="BA189" s="448"/>
    </row>
    <row r="190" spans="1:53" ht="12.75" customHeight="1" x14ac:dyDescent="0.2">
      <c r="A190" s="484">
        <f>'Kalkulation Herstellungskosten'!B306</f>
        <v>0</v>
      </c>
      <c r="B190" s="456"/>
      <c r="C190" s="456">
        <f>'Kalkulation Herstellungskosten'!E306</f>
        <v>0</v>
      </c>
      <c r="D190" s="448"/>
      <c r="E190" s="76"/>
      <c r="F190" s="76"/>
      <c r="G190" s="76"/>
      <c r="H190" s="468">
        <f t="shared" si="23"/>
        <v>0</v>
      </c>
      <c r="I190" s="76"/>
      <c r="J190" s="76"/>
      <c r="K190" s="468">
        <f t="shared" si="24"/>
        <v>0</v>
      </c>
      <c r="L190" s="76"/>
      <c r="M190" s="76"/>
      <c r="N190" s="76"/>
      <c r="O190" s="76"/>
      <c r="P190" s="76"/>
      <c r="Q190" s="76"/>
      <c r="R190" s="76"/>
      <c r="S190" s="76"/>
      <c r="T190" s="76"/>
      <c r="U190" s="468">
        <f t="shared" si="25"/>
        <v>0</v>
      </c>
      <c r="V190" s="448"/>
      <c r="W190" s="1317"/>
      <c r="X190" s="1317"/>
      <c r="Y190" s="1317"/>
      <c r="Z190" s="1317"/>
      <c r="AA190" s="1317"/>
      <c r="AB190" s="1317"/>
      <c r="AC190" s="1317"/>
      <c r="AD190" s="1317"/>
      <c r="AE190" s="1317"/>
      <c r="AF190" s="1317"/>
      <c r="AG190" s="448"/>
      <c r="AH190" s="448"/>
      <c r="AI190" s="448"/>
      <c r="AJ190" s="448"/>
      <c r="AK190" s="448"/>
      <c r="AL190" s="448"/>
      <c r="AM190" s="448"/>
      <c r="AN190" s="448"/>
      <c r="AO190" s="448"/>
      <c r="AP190" s="448"/>
      <c r="AQ190" s="448"/>
      <c r="AR190" s="448"/>
      <c r="AS190" s="448"/>
      <c r="AT190" s="448"/>
      <c r="AU190" s="448"/>
      <c r="AV190" s="448"/>
      <c r="AW190" s="448"/>
      <c r="AX190" s="448"/>
      <c r="AY190" s="448"/>
      <c r="AZ190" s="448"/>
      <c r="BA190" s="448"/>
    </row>
    <row r="191" spans="1:53" ht="12.75" customHeight="1" x14ac:dyDescent="0.2">
      <c r="A191" s="484">
        <f>'Kalkulation Herstellungskosten'!B307</f>
        <v>0</v>
      </c>
      <c r="B191" s="456"/>
      <c r="C191" s="456">
        <f>'Kalkulation Herstellungskosten'!E307</f>
        <v>0</v>
      </c>
      <c r="D191" s="448"/>
      <c r="E191" s="76"/>
      <c r="F191" s="76"/>
      <c r="G191" s="76"/>
      <c r="H191" s="468">
        <f t="shared" si="23"/>
        <v>0</v>
      </c>
      <c r="I191" s="76"/>
      <c r="J191" s="76"/>
      <c r="K191" s="468">
        <f t="shared" si="24"/>
        <v>0</v>
      </c>
      <c r="L191" s="76"/>
      <c r="M191" s="76"/>
      <c r="N191" s="76"/>
      <c r="O191" s="76"/>
      <c r="P191" s="76"/>
      <c r="Q191" s="76"/>
      <c r="R191" s="76"/>
      <c r="S191" s="76"/>
      <c r="T191" s="76"/>
      <c r="U191" s="468">
        <f t="shared" si="25"/>
        <v>0</v>
      </c>
      <c r="V191" s="448"/>
      <c r="W191" s="1317"/>
      <c r="X191" s="1317"/>
      <c r="Y191" s="1317"/>
      <c r="Z191" s="1317"/>
      <c r="AA191" s="1317"/>
      <c r="AB191" s="1317"/>
      <c r="AC191" s="1317"/>
      <c r="AD191" s="1317"/>
      <c r="AE191" s="1317"/>
      <c r="AF191" s="1317"/>
      <c r="AG191" s="448"/>
      <c r="AH191" s="448"/>
      <c r="AI191" s="448"/>
      <c r="AJ191" s="448"/>
      <c r="AK191" s="448"/>
      <c r="AL191" s="448"/>
      <c r="AM191" s="448"/>
      <c r="AN191" s="448"/>
      <c r="AO191" s="448"/>
      <c r="AP191" s="448"/>
      <c r="AQ191" s="448"/>
      <c r="AR191" s="448"/>
      <c r="AS191" s="448"/>
      <c r="AT191" s="448"/>
      <c r="AU191" s="448"/>
      <c r="AV191" s="448"/>
      <c r="AW191" s="448"/>
      <c r="AX191" s="448"/>
      <c r="AY191" s="448"/>
      <c r="AZ191" s="448"/>
      <c r="BA191" s="448"/>
    </row>
    <row r="192" spans="1:53" ht="12.75" customHeight="1" x14ac:dyDescent="0.2">
      <c r="A192" s="484">
        <f>'Kalkulation Herstellungskosten'!B308</f>
        <v>0</v>
      </c>
      <c r="B192" s="456"/>
      <c r="C192" s="456">
        <f>'Kalkulation Herstellungskosten'!E308</f>
        <v>0</v>
      </c>
      <c r="D192" s="448"/>
      <c r="E192" s="76"/>
      <c r="F192" s="76"/>
      <c r="G192" s="76"/>
      <c r="H192" s="468">
        <f t="shared" si="23"/>
        <v>0</v>
      </c>
      <c r="I192" s="76"/>
      <c r="J192" s="76"/>
      <c r="K192" s="468">
        <f t="shared" si="24"/>
        <v>0</v>
      </c>
      <c r="L192" s="76"/>
      <c r="M192" s="76"/>
      <c r="N192" s="76"/>
      <c r="O192" s="76"/>
      <c r="P192" s="76"/>
      <c r="Q192" s="76"/>
      <c r="R192" s="76"/>
      <c r="S192" s="76"/>
      <c r="T192" s="76"/>
      <c r="U192" s="468">
        <f t="shared" si="25"/>
        <v>0</v>
      </c>
      <c r="V192" s="448"/>
      <c r="W192" s="1317"/>
      <c r="X192" s="1317"/>
      <c r="Y192" s="1317"/>
      <c r="Z192" s="1317"/>
      <c r="AA192" s="1317"/>
      <c r="AB192" s="1317"/>
      <c r="AC192" s="1317"/>
      <c r="AD192" s="1317"/>
      <c r="AE192" s="1317"/>
      <c r="AF192" s="1317"/>
      <c r="AG192" s="448"/>
      <c r="AH192" s="448"/>
      <c r="AI192" s="448"/>
      <c r="AJ192" s="448"/>
      <c r="AK192" s="448"/>
      <c r="AL192" s="448"/>
      <c r="AM192" s="448"/>
      <c r="AN192" s="448"/>
      <c r="AO192" s="448"/>
      <c r="AP192" s="448"/>
      <c r="AQ192" s="448"/>
      <c r="AR192" s="448"/>
      <c r="AS192" s="448"/>
      <c r="AT192" s="448"/>
      <c r="AU192" s="448"/>
      <c r="AV192" s="448"/>
      <c r="AW192" s="448"/>
      <c r="AX192" s="448"/>
      <c r="AY192" s="448"/>
      <c r="AZ192" s="448"/>
      <c r="BA192" s="448"/>
    </row>
    <row r="193" spans="1:53" ht="12.75" customHeight="1" x14ac:dyDescent="0.2">
      <c r="A193" s="484">
        <f>'Kalkulation Herstellungskosten'!B309</f>
        <v>0</v>
      </c>
      <c r="B193" s="456"/>
      <c r="C193" s="456">
        <f>'Kalkulation Herstellungskosten'!E309</f>
        <v>0</v>
      </c>
      <c r="D193" s="448"/>
      <c r="E193" s="76"/>
      <c r="F193" s="76"/>
      <c r="G193" s="76"/>
      <c r="H193" s="468">
        <f t="shared" si="23"/>
        <v>0</v>
      </c>
      <c r="I193" s="76"/>
      <c r="J193" s="76"/>
      <c r="K193" s="468">
        <f t="shared" si="24"/>
        <v>0</v>
      </c>
      <c r="L193" s="76"/>
      <c r="M193" s="76"/>
      <c r="N193" s="76"/>
      <c r="O193" s="76"/>
      <c r="P193" s="76"/>
      <c r="Q193" s="76"/>
      <c r="R193" s="76"/>
      <c r="S193" s="76"/>
      <c r="T193" s="76"/>
      <c r="U193" s="468">
        <f t="shared" si="25"/>
        <v>0</v>
      </c>
      <c r="V193" s="448"/>
      <c r="W193" s="1317"/>
      <c r="X193" s="1317"/>
      <c r="Y193" s="1317"/>
      <c r="Z193" s="1317"/>
      <c r="AA193" s="1317"/>
      <c r="AB193" s="1317"/>
      <c r="AC193" s="1317"/>
      <c r="AD193" s="1317"/>
      <c r="AE193" s="1317"/>
      <c r="AF193" s="1317"/>
      <c r="AG193" s="448"/>
      <c r="AH193" s="448"/>
      <c r="AI193" s="448"/>
      <c r="AJ193" s="448"/>
      <c r="AK193" s="448"/>
      <c r="AL193" s="448"/>
      <c r="AM193" s="448"/>
      <c r="AN193" s="448"/>
      <c r="AO193" s="448"/>
      <c r="AP193" s="448"/>
      <c r="AQ193" s="448"/>
      <c r="AR193" s="448"/>
      <c r="AS193" s="448"/>
      <c r="AT193" s="448"/>
      <c r="AU193" s="448"/>
      <c r="AV193" s="448"/>
      <c r="AW193" s="448"/>
      <c r="AX193" s="448"/>
      <c r="AY193" s="448"/>
      <c r="AZ193" s="448"/>
      <c r="BA193" s="448"/>
    </row>
    <row r="194" spans="1:53" ht="12.75" customHeight="1" x14ac:dyDescent="0.2">
      <c r="A194" s="484">
        <f>'Kalkulation Herstellungskosten'!B310</f>
        <v>0</v>
      </c>
      <c r="B194" s="456"/>
      <c r="C194" s="456">
        <f>'Kalkulation Herstellungskosten'!E310</f>
        <v>0</v>
      </c>
      <c r="D194" s="448"/>
      <c r="E194" s="76"/>
      <c r="F194" s="76"/>
      <c r="G194" s="76"/>
      <c r="H194" s="468">
        <f t="shared" si="23"/>
        <v>0</v>
      </c>
      <c r="I194" s="76"/>
      <c r="J194" s="76"/>
      <c r="K194" s="468">
        <f t="shared" si="24"/>
        <v>0</v>
      </c>
      <c r="L194" s="76"/>
      <c r="M194" s="76"/>
      <c r="N194" s="76"/>
      <c r="O194" s="76"/>
      <c r="P194" s="76"/>
      <c r="Q194" s="76"/>
      <c r="R194" s="76"/>
      <c r="S194" s="76"/>
      <c r="T194" s="76"/>
      <c r="U194" s="468">
        <f t="shared" si="25"/>
        <v>0</v>
      </c>
      <c r="V194" s="448"/>
      <c r="W194" s="1317"/>
      <c r="X194" s="1317"/>
      <c r="Y194" s="1317"/>
      <c r="Z194" s="1317"/>
      <c r="AA194" s="1317"/>
      <c r="AB194" s="1317"/>
      <c r="AC194" s="1317"/>
      <c r="AD194" s="1317"/>
      <c r="AE194" s="1317"/>
      <c r="AF194" s="1317"/>
      <c r="AG194" s="448"/>
      <c r="AH194" s="448"/>
      <c r="AI194" s="448"/>
      <c r="AJ194" s="448"/>
      <c r="AK194" s="448"/>
      <c r="AL194" s="448"/>
      <c r="AM194" s="448"/>
      <c r="AN194" s="448"/>
      <c r="AO194" s="448"/>
      <c r="AP194" s="448"/>
      <c r="AQ194" s="448"/>
      <c r="AR194" s="448"/>
      <c r="AS194" s="448"/>
      <c r="AT194" s="448"/>
      <c r="AU194" s="448"/>
      <c r="AV194" s="448"/>
      <c r="AW194" s="448"/>
      <c r="AX194" s="448"/>
      <c r="AY194" s="448"/>
      <c r="AZ194" s="448"/>
      <c r="BA194" s="448"/>
    </row>
    <row r="195" spans="1:53" ht="12.75" customHeight="1" x14ac:dyDescent="0.2">
      <c r="A195" s="484">
        <f>'Kalkulation Herstellungskosten'!B311</f>
        <v>0</v>
      </c>
      <c r="B195" s="456"/>
      <c r="C195" s="456">
        <f>'Kalkulation Herstellungskosten'!E311</f>
        <v>0</v>
      </c>
      <c r="D195" s="448"/>
      <c r="E195" s="76"/>
      <c r="F195" s="76"/>
      <c r="G195" s="76"/>
      <c r="H195" s="468">
        <f t="shared" si="23"/>
        <v>0</v>
      </c>
      <c r="I195" s="76"/>
      <c r="J195" s="76"/>
      <c r="K195" s="468">
        <f t="shared" si="24"/>
        <v>0</v>
      </c>
      <c r="L195" s="76"/>
      <c r="M195" s="76"/>
      <c r="N195" s="76"/>
      <c r="O195" s="76"/>
      <c r="P195" s="76"/>
      <c r="Q195" s="76"/>
      <c r="R195" s="76"/>
      <c r="S195" s="76"/>
      <c r="T195" s="76"/>
      <c r="U195" s="468">
        <f t="shared" si="25"/>
        <v>0</v>
      </c>
      <c r="V195" s="448"/>
      <c r="W195" s="1317"/>
      <c r="X195" s="1317"/>
      <c r="Y195" s="1317"/>
      <c r="Z195" s="1317"/>
      <c r="AA195" s="1317"/>
      <c r="AB195" s="1317"/>
      <c r="AC195" s="1317"/>
      <c r="AD195" s="1317"/>
      <c r="AE195" s="1317"/>
      <c r="AF195" s="1317"/>
      <c r="AG195" s="448"/>
      <c r="AH195" s="448"/>
      <c r="AI195" s="448"/>
      <c r="AJ195" s="448"/>
      <c r="AK195" s="448"/>
      <c r="AL195" s="448"/>
      <c r="AM195" s="448"/>
      <c r="AN195" s="448"/>
      <c r="AO195" s="448"/>
      <c r="AP195" s="448"/>
      <c r="AQ195" s="448"/>
      <c r="AR195" s="448"/>
      <c r="AS195" s="448"/>
      <c r="AT195" s="448"/>
      <c r="AU195" s="448"/>
      <c r="AV195" s="448"/>
      <c r="AW195" s="448"/>
      <c r="AX195" s="448"/>
      <c r="AY195" s="448"/>
      <c r="AZ195" s="448"/>
      <c r="BA195" s="448"/>
    </row>
    <row r="196" spans="1:53" ht="12.75" customHeight="1" x14ac:dyDescent="0.2">
      <c r="A196" s="484">
        <f>'Kalkulation Herstellungskosten'!B312</f>
        <v>0</v>
      </c>
      <c r="B196" s="456"/>
      <c r="C196" s="456">
        <f>'Kalkulation Herstellungskosten'!E312</f>
        <v>0</v>
      </c>
      <c r="D196" s="448"/>
      <c r="E196" s="76"/>
      <c r="F196" s="76"/>
      <c r="G196" s="76"/>
      <c r="H196" s="468">
        <f t="shared" si="23"/>
        <v>0</v>
      </c>
      <c r="I196" s="76"/>
      <c r="J196" s="76"/>
      <c r="K196" s="468">
        <f t="shared" si="24"/>
        <v>0</v>
      </c>
      <c r="L196" s="76"/>
      <c r="M196" s="76"/>
      <c r="N196" s="76"/>
      <c r="O196" s="76"/>
      <c r="P196" s="76"/>
      <c r="Q196" s="76"/>
      <c r="R196" s="76"/>
      <c r="S196" s="76"/>
      <c r="T196" s="76"/>
      <c r="U196" s="468">
        <f t="shared" si="25"/>
        <v>0</v>
      </c>
      <c r="V196" s="448"/>
      <c r="W196" s="1317"/>
      <c r="X196" s="1317"/>
      <c r="Y196" s="1317"/>
      <c r="Z196" s="1317"/>
      <c r="AA196" s="1317"/>
      <c r="AB196" s="1317"/>
      <c r="AC196" s="1317"/>
      <c r="AD196" s="1317"/>
      <c r="AE196" s="1317"/>
      <c r="AF196" s="1317"/>
      <c r="AG196" s="448"/>
      <c r="AH196" s="448"/>
      <c r="AI196" s="448"/>
      <c r="AJ196" s="448"/>
      <c r="AK196" s="448"/>
      <c r="AL196" s="448"/>
      <c r="AM196" s="448"/>
      <c r="AN196" s="448"/>
      <c r="AO196" s="448"/>
      <c r="AP196" s="448"/>
      <c r="AQ196" s="448"/>
      <c r="AR196" s="448"/>
      <c r="AS196" s="448"/>
      <c r="AT196" s="448"/>
      <c r="AU196" s="448"/>
      <c r="AV196" s="448"/>
      <c r="AW196" s="448"/>
      <c r="AX196" s="448"/>
      <c r="AY196" s="448"/>
      <c r="AZ196" s="448"/>
      <c r="BA196" s="448"/>
    </row>
    <row r="197" spans="1:53" ht="12.75" customHeight="1" x14ac:dyDescent="0.2">
      <c r="A197" s="484">
        <f>'Kalkulation Herstellungskosten'!B313</f>
        <v>0</v>
      </c>
      <c r="B197" s="456"/>
      <c r="C197" s="456">
        <f>'Kalkulation Herstellungskosten'!E313</f>
        <v>0</v>
      </c>
      <c r="D197" s="448"/>
      <c r="E197" s="76"/>
      <c r="F197" s="76"/>
      <c r="G197" s="76"/>
      <c r="H197" s="468">
        <f t="shared" si="23"/>
        <v>0</v>
      </c>
      <c r="I197" s="76"/>
      <c r="J197" s="76"/>
      <c r="K197" s="468">
        <f t="shared" si="24"/>
        <v>0</v>
      </c>
      <c r="L197" s="76"/>
      <c r="M197" s="76"/>
      <c r="N197" s="76"/>
      <c r="O197" s="76"/>
      <c r="P197" s="76"/>
      <c r="Q197" s="76"/>
      <c r="R197" s="76"/>
      <c r="S197" s="76"/>
      <c r="T197" s="76"/>
      <c r="U197" s="468">
        <f t="shared" si="25"/>
        <v>0</v>
      </c>
      <c r="V197" s="448"/>
      <c r="W197" s="1317"/>
      <c r="X197" s="1317"/>
      <c r="Y197" s="1317"/>
      <c r="Z197" s="1317"/>
      <c r="AA197" s="1317"/>
      <c r="AB197" s="1317"/>
      <c r="AC197" s="1317"/>
      <c r="AD197" s="1317"/>
      <c r="AE197" s="1317"/>
      <c r="AF197" s="1317"/>
      <c r="AG197" s="448"/>
      <c r="AH197" s="448"/>
      <c r="AI197" s="448"/>
      <c r="AJ197" s="448"/>
      <c r="AK197" s="448"/>
      <c r="AL197" s="448"/>
      <c r="AM197" s="448"/>
      <c r="AN197" s="448"/>
      <c r="AO197" s="448"/>
      <c r="AP197" s="448"/>
      <c r="AQ197" s="448"/>
      <c r="AR197" s="448"/>
      <c r="AS197" s="448"/>
      <c r="AT197" s="448"/>
      <c r="AU197" s="448"/>
      <c r="AV197" s="448"/>
      <c r="AW197" s="448"/>
      <c r="AX197" s="448"/>
      <c r="AY197" s="448"/>
      <c r="AZ197" s="448"/>
      <c r="BA197" s="448"/>
    </row>
    <row r="198" spans="1:53" ht="12.75" customHeight="1" x14ac:dyDescent="0.2">
      <c r="A198" s="484">
        <f>'Kalkulation Herstellungskosten'!B314</f>
        <v>0</v>
      </c>
      <c r="B198" s="456"/>
      <c r="C198" s="456">
        <f>'Kalkulation Herstellungskosten'!E314</f>
        <v>0</v>
      </c>
      <c r="D198" s="448"/>
      <c r="E198" s="76"/>
      <c r="F198" s="76"/>
      <c r="G198" s="76"/>
      <c r="H198" s="468">
        <f t="shared" si="23"/>
        <v>0</v>
      </c>
      <c r="I198" s="76"/>
      <c r="J198" s="76"/>
      <c r="K198" s="468">
        <f t="shared" si="24"/>
        <v>0</v>
      </c>
      <c r="L198" s="76"/>
      <c r="M198" s="76"/>
      <c r="N198" s="76"/>
      <c r="O198" s="76"/>
      <c r="P198" s="76"/>
      <c r="Q198" s="76"/>
      <c r="R198" s="76"/>
      <c r="S198" s="76"/>
      <c r="T198" s="76"/>
      <c r="U198" s="468">
        <f t="shared" si="25"/>
        <v>0</v>
      </c>
      <c r="V198" s="448"/>
      <c r="W198" s="1317"/>
      <c r="X198" s="1317"/>
      <c r="Y198" s="1317"/>
      <c r="Z198" s="1317"/>
      <c r="AA198" s="1317"/>
      <c r="AB198" s="1317"/>
      <c r="AC198" s="1317"/>
      <c r="AD198" s="1317"/>
      <c r="AE198" s="1317"/>
      <c r="AF198" s="1317"/>
      <c r="AG198" s="448"/>
      <c r="AH198" s="448"/>
      <c r="AI198" s="448"/>
      <c r="AJ198" s="448"/>
      <c r="AK198" s="448"/>
      <c r="AL198" s="448"/>
      <c r="AM198" s="448"/>
      <c r="AN198" s="448"/>
      <c r="AO198" s="448"/>
      <c r="AP198" s="448"/>
      <c r="AQ198" s="448"/>
      <c r="AR198" s="448"/>
      <c r="AS198" s="448"/>
      <c r="AT198" s="448"/>
      <c r="AU198" s="448"/>
      <c r="AV198" s="448"/>
      <c r="AW198" s="448"/>
      <c r="AX198" s="448"/>
      <c r="AY198" s="448"/>
      <c r="AZ198" s="448"/>
      <c r="BA198" s="448"/>
    </row>
    <row r="199" spans="1:53" ht="12.75" customHeight="1" x14ac:dyDescent="0.2">
      <c r="A199" s="484">
        <f>'Kalkulation Herstellungskosten'!B315</f>
        <v>0</v>
      </c>
      <c r="B199" s="456"/>
      <c r="C199" s="456">
        <f>'Kalkulation Herstellungskosten'!E315</f>
        <v>0</v>
      </c>
      <c r="D199" s="448"/>
      <c r="E199" s="76"/>
      <c r="F199" s="76"/>
      <c r="G199" s="76"/>
      <c r="H199" s="468">
        <f t="shared" si="23"/>
        <v>0</v>
      </c>
      <c r="I199" s="76"/>
      <c r="J199" s="76"/>
      <c r="K199" s="468">
        <f t="shared" si="24"/>
        <v>0</v>
      </c>
      <c r="L199" s="76"/>
      <c r="M199" s="76"/>
      <c r="N199" s="76"/>
      <c r="O199" s="76"/>
      <c r="P199" s="76"/>
      <c r="Q199" s="76"/>
      <c r="R199" s="76"/>
      <c r="S199" s="76"/>
      <c r="T199" s="76"/>
      <c r="U199" s="468">
        <f t="shared" si="25"/>
        <v>0</v>
      </c>
      <c r="V199" s="448"/>
      <c r="W199" s="1317"/>
      <c r="X199" s="1317"/>
      <c r="Y199" s="1317"/>
      <c r="Z199" s="1317"/>
      <c r="AA199" s="1317"/>
      <c r="AB199" s="1317"/>
      <c r="AC199" s="1317"/>
      <c r="AD199" s="1317"/>
      <c r="AE199" s="1317"/>
      <c r="AF199" s="1317"/>
      <c r="AG199" s="448"/>
      <c r="AH199" s="448"/>
      <c r="AI199" s="448"/>
      <c r="AJ199" s="448"/>
      <c r="AK199" s="448"/>
      <c r="AL199" s="448"/>
      <c r="AM199" s="448"/>
      <c r="AN199" s="448"/>
      <c r="AO199" s="448"/>
      <c r="AP199" s="448"/>
      <c r="AQ199" s="448"/>
      <c r="AR199" s="448"/>
      <c r="AS199" s="448"/>
      <c r="AT199" s="448"/>
      <c r="AU199" s="448"/>
      <c r="AV199" s="448"/>
      <c r="AW199" s="448"/>
      <c r="AX199" s="448"/>
      <c r="AY199" s="448"/>
      <c r="AZ199" s="448"/>
      <c r="BA199" s="448"/>
    </row>
    <row r="200" spans="1:53" ht="12.75" customHeight="1" x14ac:dyDescent="0.2">
      <c r="A200" s="484">
        <f>'Kalkulation Herstellungskosten'!B316</f>
        <v>0</v>
      </c>
      <c r="B200" s="456"/>
      <c r="C200" s="456">
        <f>'Kalkulation Herstellungskosten'!E316</f>
        <v>0</v>
      </c>
      <c r="D200" s="448"/>
      <c r="E200" s="76"/>
      <c r="F200" s="76"/>
      <c r="G200" s="76"/>
      <c r="H200" s="468">
        <f t="shared" si="23"/>
        <v>0</v>
      </c>
      <c r="I200" s="76"/>
      <c r="J200" s="76"/>
      <c r="K200" s="468">
        <f t="shared" si="24"/>
        <v>0</v>
      </c>
      <c r="L200" s="76"/>
      <c r="M200" s="76"/>
      <c r="N200" s="76"/>
      <c r="O200" s="76"/>
      <c r="P200" s="76"/>
      <c r="Q200" s="76"/>
      <c r="R200" s="76"/>
      <c r="S200" s="76"/>
      <c r="T200" s="76"/>
      <c r="U200" s="468">
        <f t="shared" si="25"/>
        <v>0</v>
      </c>
      <c r="V200" s="448"/>
      <c r="W200" s="1317"/>
      <c r="X200" s="1317"/>
      <c r="Y200" s="1317"/>
      <c r="Z200" s="1317"/>
      <c r="AA200" s="1317"/>
      <c r="AB200" s="1317"/>
      <c r="AC200" s="1317"/>
      <c r="AD200" s="1317"/>
      <c r="AE200" s="1317"/>
      <c r="AF200" s="1317"/>
      <c r="AG200" s="448"/>
      <c r="AH200" s="448"/>
      <c r="AI200" s="448"/>
      <c r="AJ200" s="448"/>
      <c r="AK200" s="448"/>
      <c r="AL200" s="448"/>
      <c r="AM200" s="448"/>
      <c r="AN200" s="448"/>
      <c r="AO200" s="448"/>
      <c r="AP200" s="448"/>
      <c r="AQ200" s="448"/>
      <c r="AR200" s="448"/>
      <c r="AS200" s="448"/>
      <c r="AT200" s="448"/>
      <c r="AU200" s="448"/>
      <c r="AV200" s="448"/>
      <c r="AW200" s="448"/>
      <c r="AX200" s="448"/>
      <c r="AY200" s="448"/>
      <c r="AZ200" s="448"/>
      <c r="BA200" s="448"/>
    </row>
    <row r="201" spans="1:53" ht="12.75" customHeight="1" x14ac:dyDescent="0.2">
      <c r="A201" s="484">
        <f>'Kalkulation Herstellungskosten'!B317</f>
        <v>0</v>
      </c>
      <c r="B201" s="456"/>
      <c r="C201" s="456">
        <f>'Kalkulation Herstellungskosten'!E317</f>
        <v>0</v>
      </c>
      <c r="D201" s="448"/>
      <c r="E201" s="76"/>
      <c r="F201" s="76"/>
      <c r="G201" s="76"/>
      <c r="H201" s="468">
        <f t="shared" si="23"/>
        <v>0</v>
      </c>
      <c r="I201" s="76"/>
      <c r="J201" s="76"/>
      <c r="K201" s="468">
        <f t="shared" si="24"/>
        <v>0</v>
      </c>
      <c r="L201" s="76"/>
      <c r="M201" s="76"/>
      <c r="N201" s="76"/>
      <c r="O201" s="76"/>
      <c r="P201" s="76"/>
      <c r="Q201" s="76"/>
      <c r="R201" s="76"/>
      <c r="S201" s="76"/>
      <c r="T201" s="76"/>
      <c r="U201" s="468">
        <f t="shared" si="25"/>
        <v>0</v>
      </c>
      <c r="V201" s="448"/>
      <c r="W201" s="1317"/>
      <c r="X201" s="1317"/>
      <c r="Y201" s="1317"/>
      <c r="Z201" s="1317"/>
      <c r="AA201" s="1317"/>
      <c r="AB201" s="1317"/>
      <c r="AC201" s="1317"/>
      <c r="AD201" s="1317"/>
      <c r="AE201" s="1317"/>
      <c r="AF201" s="1317"/>
      <c r="AG201" s="448"/>
      <c r="AH201" s="448"/>
      <c r="AI201" s="448"/>
      <c r="AJ201" s="448"/>
      <c r="AK201" s="448"/>
      <c r="AL201" s="448"/>
      <c r="AM201" s="448"/>
      <c r="AN201" s="448"/>
      <c r="AO201" s="448"/>
      <c r="AP201" s="448"/>
      <c r="AQ201" s="448"/>
      <c r="AR201" s="448"/>
      <c r="AS201" s="448"/>
      <c r="AT201" s="448"/>
      <c r="AU201" s="448"/>
      <c r="AV201" s="448"/>
      <c r="AW201" s="448"/>
      <c r="AX201" s="448"/>
      <c r="AY201" s="448"/>
      <c r="AZ201" s="448"/>
      <c r="BA201" s="448"/>
    </row>
    <row r="202" spans="1:53" ht="12.75" customHeight="1" x14ac:dyDescent="0.2">
      <c r="A202" s="484">
        <f>'Kalkulation Herstellungskosten'!B318</f>
        <v>0</v>
      </c>
      <c r="B202" s="456"/>
      <c r="C202" s="456">
        <f>'Kalkulation Herstellungskosten'!E318</f>
        <v>0</v>
      </c>
      <c r="D202" s="448"/>
      <c r="E202" s="76"/>
      <c r="F202" s="76"/>
      <c r="G202" s="76"/>
      <c r="H202" s="468">
        <f t="shared" si="23"/>
        <v>0</v>
      </c>
      <c r="I202" s="76"/>
      <c r="J202" s="76"/>
      <c r="K202" s="468">
        <f t="shared" si="24"/>
        <v>0</v>
      </c>
      <c r="L202" s="76"/>
      <c r="M202" s="76"/>
      <c r="N202" s="76"/>
      <c r="O202" s="76"/>
      <c r="P202" s="76"/>
      <c r="Q202" s="76"/>
      <c r="R202" s="76"/>
      <c r="S202" s="76"/>
      <c r="T202" s="76"/>
      <c r="U202" s="468">
        <f t="shared" si="25"/>
        <v>0</v>
      </c>
      <c r="V202" s="448"/>
      <c r="W202" s="1317"/>
      <c r="X202" s="1317"/>
      <c r="Y202" s="1317"/>
      <c r="Z202" s="1317"/>
      <c r="AA202" s="1317"/>
      <c r="AB202" s="1317"/>
      <c r="AC202" s="1317"/>
      <c r="AD202" s="1317"/>
      <c r="AE202" s="1317"/>
      <c r="AF202" s="1317"/>
      <c r="AG202" s="448"/>
      <c r="AH202" s="448"/>
      <c r="AI202" s="448"/>
      <c r="AJ202" s="448"/>
      <c r="AK202" s="448"/>
      <c r="AL202" s="448"/>
      <c r="AM202" s="448"/>
      <c r="AN202" s="448"/>
      <c r="AO202" s="448"/>
      <c r="AP202" s="448"/>
      <c r="AQ202" s="448"/>
      <c r="AR202" s="448"/>
      <c r="AS202" s="448"/>
      <c r="AT202" s="448"/>
      <c r="AU202" s="448"/>
      <c r="AV202" s="448"/>
      <c r="AW202" s="448"/>
      <c r="AX202" s="448"/>
      <c r="AY202" s="448"/>
      <c r="AZ202" s="448"/>
      <c r="BA202" s="448"/>
    </row>
    <row r="203" spans="1:53" ht="12.75" customHeight="1" x14ac:dyDescent="0.2">
      <c r="A203" s="484">
        <f>'Kalkulation Herstellungskosten'!B319</f>
        <v>0</v>
      </c>
      <c r="B203" s="456"/>
      <c r="C203" s="456">
        <f>'Kalkulation Herstellungskosten'!E319</f>
        <v>0</v>
      </c>
      <c r="D203" s="448"/>
      <c r="E203" s="76"/>
      <c r="F203" s="76"/>
      <c r="G203" s="76"/>
      <c r="H203" s="468">
        <f t="shared" si="23"/>
        <v>0</v>
      </c>
      <c r="I203" s="76"/>
      <c r="J203" s="76"/>
      <c r="K203" s="468">
        <f t="shared" si="24"/>
        <v>0</v>
      </c>
      <c r="L203" s="76"/>
      <c r="M203" s="76"/>
      <c r="N203" s="76"/>
      <c r="O203" s="76"/>
      <c r="P203" s="76"/>
      <c r="Q203" s="76"/>
      <c r="R203" s="76"/>
      <c r="S203" s="76"/>
      <c r="T203" s="76"/>
      <c r="U203" s="468">
        <f t="shared" si="25"/>
        <v>0</v>
      </c>
      <c r="V203" s="448"/>
      <c r="W203" s="1317"/>
      <c r="X203" s="1317"/>
      <c r="Y203" s="1317"/>
      <c r="Z203" s="1317"/>
      <c r="AA203" s="1317"/>
      <c r="AB203" s="1317"/>
      <c r="AC203" s="1317"/>
      <c r="AD203" s="1317"/>
      <c r="AE203" s="1317"/>
      <c r="AF203" s="1317"/>
      <c r="AG203" s="448"/>
      <c r="AH203" s="448"/>
      <c r="AI203" s="448"/>
      <c r="AJ203" s="448"/>
      <c r="AK203" s="448"/>
      <c r="AL203" s="448"/>
      <c r="AM203" s="448"/>
      <c r="AN203" s="448"/>
      <c r="AO203" s="448"/>
      <c r="AP203" s="448"/>
      <c r="AQ203" s="448"/>
      <c r="AR203" s="448"/>
      <c r="AS203" s="448"/>
      <c r="AT203" s="448"/>
      <c r="AU203" s="448"/>
      <c r="AV203" s="448"/>
      <c r="AW203" s="448"/>
      <c r="AX203" s="448"/>
      <c r="AY203" s="448"/>
      <c r="AZ203" s="448"/>
      <c r="BA203" s="448"/>
    </row>
    <row r="204" spans="1:53" ht="12.75" customHeight="1" x14ac:dyDescent="0.2">
      <c r="A204" s="484">
        <f>'Kalkulation Herstellungskosten'!B320</f>
        <v>0</v>
      </c>
      <c r="B204" s="456"/>
      <c r="C204" s="456">
        <f>'Kalkulation Herstellungskosten'!E320</f>
        <v>0</v>
      </c>
      <c r="D204" s="448"/>
      <c r="E204" s="76"/>
      <c r="F204" s="76"/>
      <c r="G204" s="76"/>
      <c r="H204" s="468">
        <f t="shared" si="23"/>
        <v>0</v>
      </c>
      <c r="I204" s="76"/>
      <c r="J204" s="76"/>
      <c r="K204" s="468">
        <f t="shared" si="24"/>
        <v>0</v>
      </c>
      <c r="L204" s="76"/>
      <c r="M204" s="76"/>
      <c r="N204" s="76"/>
      <c r="O204" s="76"/>
      <c r="P204" s="76"/>
      <c r="Q204" s="76"/>
      <c r="R204" s="76"/>
      <c r="S204" s="76"/>
      <c r="T204" s="76"/>
      <c r="U204" s="468">
        <f t="shared" si="25"/>
        <v>0</v>
      </c>
      <c r="V204" s="448"/>
      <c r="W204" s="1317"/>
      <c r="X204" s="1317"/>
      <c r="Y204" s="1317"/>
      <c r="Z204" s="1317"/>
      <c r="AA204" s="1317"/>
      <c r="AB204" s="1317"/>
      <c r="AC204" s="1317"/>
      <c r="AD204" s="1317"/>
      <c r="AE204" s="1317"/>
      <c r="AF204" s="1317"/>
      <c r="AG204" s="448"/>
      <c r="AH204" s="448"/>
      <c r="AI204" s="448"/>
      <c r="AJ204" s="448"/>
      <c r="AK204" s="448"/>
      <c r="AL204" s="448"/>
      <c r="AM204" s="448"/>
      <c r="AN204" s="448"/>
      <c r="AO204" s="448"/>
      <c r="AP204" s="448"/>
      <c r="AQ204" s="448"/>
      <c r="AR204" s="448"/>
      <c r="AS204" s="448"/>
      <c r="AT204" s="448"/>
      <c r="AU204" s="448"/>
      <c r="AV204" s="448"/>
      <c r="AW204" s="448"/>
      <c r="AX204" s="448"/>
      <c r="AY204" s="448"/>
      <c r="AZ204" s="448"/>
      <c r="BA204" s="448"/>
    </row>
    <row r="205" spans="1:53" ht="12.75" customHeight="1" x14ac:dyDescent="0.2">
      <c r="A205" s="484">
        <f>'Kalkulation Herstellungskosten'!B321</f>
        <v>0</v>
      </c>
      <c r="B205" s="456"/>
      <c r="C205" s="456">
        <f>'Kalkulation Herstellungskosten'!E321</f>
        <v>0</v>
      </c>
      <c r="D205" s="448"/>
      <c r="E205" s="76"/>
      <c r="F205" s="76"/>
      <c r="G205" s="76"/>
      <c r="H205" s="468">
        <f t="shared" si="23"/>
        <v>0</v>
      </c>
      <c r="I205" s="76"/>
      <c r="J205" s="76"/>
      <c r="K205" s="468">
        <f t="shared" si="24"/>
        <v>0</v>
      </c>
      <c r="L205" s="76"/>
      <c r="M205" s="76"/>
      <c r="N205" s="76"/>
      <c r="O205" s="76"/>
      <c r="P205" s="76"/>
      <c r="Q205" s="76"/>
      <c r="R205" s="76"/>
      <c r="S205" s="76"/>
      <c r="T205" s="76"/>
      <c r="U205" s="468">
        <f t="shared" si="25"/>
        <v>0</v>
      </c>
      <c r="V205" s="448"/>
      <c r="W205" s="1317"/>
      <c r="X205" s="1317"/>
      <c r="Y205" s="1317"/>
      <c r="Z205" s="1317"/>
      <c r="AA205" s="1317"/>
      <c r="AB205" s="1317"/>
      <c r="AC205" s="1317"/>
      <c r="AD205" s="1317"/>
      <c r="AE205" s="1317"/>
      <c r="AF205" s="1317"/>
      <c r="AG205" s="448"/>
      <c r="AH205" s="448"/>
      <c r="AI205" s="448"/>
      <c r="AJ205" s="448"/>
      <c r="AK205" s="448"/>
      <c r="AL205" s="448"/>
      <c r="AM205" s="448"/>
      <c r="AN205" s="448"/>
      <c r="AO205" s="448"/>
      <c r="AP205" s="448"/>
      <c r="AQ205" s="448"/>
      <c r="AR205" s="448"/>
      <c r="AS205" s="448"/>
      <c r="AT205" s="448"/>
      <c r="AU205" s="448"/>
      <c r="AV205" s="448"/>
      <c r="AW205" s="448"/>
      <c r="AX205" s="448"/>
      <c r="AY205" s="448"/>
      <c r="AZ205" s="448"/>
      <c r="BA205" s="448"/>
    </row>
    <row r="206" spans="1:53" ht="12.75" customHeight="1" x14ac:dyDescent="0.2">
      <c r="A206" s="484">
        <f>'Kalkulation Herstellungskosten'!B322</f>
        <v>0</v>
      </c>
      <c r="B206" s="456"/>
      <c r="C206" s="456">
        <f>'Kalkulation Herstellungskosten'!E322</f>
        <v>0</v>
      </c>
      <c r="D206" s="448"/>
      <c r="E206" s="76"/>
      <c r="F206" s="76"/>
      <c r="G206" s="76"/>
      <c r="H206" s="468">
        <f t="shared" si="23"/>
        <v>0</v>
      </c>
      <c r="I206" s="76"/>
      <c r="J206" s="76"/>
      <c r="K206" s="468">
        <f t="shared" si="24"/>
        <v>0</v>
      </c>
      <c r="L206" s="76"/>
      <c r="M206" s="76"/>
      <c r="N206" s="76"/>
      <c r="O206" s="76"/>
      <c r="P206" s="76"/>
      <c r="Q206" s="76"/>
      <c r="R206" s="76"/>
      <c r="S206" s="76"/>
      <c r="T206" s="76"/>
      <c r="U206" s="468">
        <f t="shared" si="25"/>
        <v>0</v>
      </c>
      <c r="V206" s="448"/>
      <c r="W206" s="1317"/>
      <c r="X206" s="1317"/>
      <c r="Y206" s="1317"/>
      <c r="Z206" s="1317"/>
      <c r="AA206" s="1317"/>
      <c r="AB206" s="1317"/>
      <c r="AC206" s="1317"/>
      <c r="AD206" s="1317"/>
      <c r="AE206" s="1317"/>
      <c r="AF206" s="1317"/>
      <c r="AG206" s="448"/>
      <c r="AH206" s="448"/>
      <c r="AI206" s="448"/>
      <c r="AJ206" s="448"/>
      <c r="AK206" s="448"/>
      <c r="AL206" s="448"/>
      <c r="AM206" s="448"/>
      <c r="AN206" s="448"/>
      <c r="AO206" s="448"/>
      <c r="AP206" s="448"/>
      <c r="AQ206" s="448"/>
      <c r="AR206" s="448"/>
      <c r="AS206" s="448"/>
      <c r="AT206" s="448"/>
      <c r="AU206" s="448"/>
      <c r="AV206" s="448"/>
      <c r="AW206" s="448"/>
      <c r="AX206" s="448"/>
      <c r="AY206" s="448"/>
      <c r="AZ206" s="448"/>
      <c r="BA206" s="448"/>
    </row>
    <row r="207" spans="1:53" ht="12.75" customHeight="1" x14ac:dyDescent="0.2">
      <c r="A207" s="484">
        <f>'Kalkulation Herstellungskosten'!B323</f>
        <v>0</v>
      </c>
      <c r="B207" s="456"/>
      <c r="C207" s="456">
        <f>'Kalkulation Herstellungskosten'!E323</f>
        <v>0</v>
      </c>
      <c r="D207" s="448"/>
      <c r="E207" s="76"/>
      <c r="F207" s="76"/>
      <c r="G207" s="76"/>
      <c r="H207" s="468">
        <f t="shared" si="23"/>
        <v>0</v>
      </c>
      <c r="I207" s="76"/>
      <c r="J207" s="76"/>
      <c r="K207" s="468">
        <f t="shared" si="24"/>
        <v>0</v>
      </c>
      <c r="L207" s="76"/>
      <c r="M207" s="76"/>
      <c r="N207" s="76"/>
      <c r="O207" s="76"/>
      <c r="P207" s="76"/>
      <c r="Q207" s="76"/>
      <c r="R207" s="76"/>
      <c r="S207" s="76"/>
      <c r="T207" s="76"/>
      <c r="U207" s="468">
        <f t="shared" si="25"/>
        <v>0</v>
      </c>
      <c r="V207" s="448"/>
      <c r="W207" s="1317"/>
      <c r="X207" s="1317"/>
      <c r="Y207" s="1317"/>
      <c r="Z207" s="1317"/>
      <c r="AA207" s="1317"/>
      <c r="AB207" s="1317"/>
      <c r="AC207" s="1317"/>
      <c r="AD207" s="1317"/>
      <c r="AE207" s="1317"/>
      <c r="AF207" s="1317"/>
      <c r="AG207" s="448"/>
      <c r="AH207" s="448"/>
      <c r="AI207" s="448"/>
      <c r="AJ207" s="448"/>
      <c r="AK207" s="448"/>
      <c r="AL207" s="448"/>
      <c r="AM207" s="448"/>
      <c r="AN207" s="448"/>
      <c r="AO207" s="448"/>
      <c r="AP207" s="448"/>
      <c r="AQ207" s="448"/>
      <c r="AR207" s="448"/>
      <c r="AS207" s="448"/>
      <c r="AT207" s="448"/>
      <c r="AU207" s="448"/>
      <c r="AV207" s="448"/>
      <c r="AW207" s="448"/>
      <c r="AX207" s="448"/>
      <c r="AY207" s="448"/>
      <c r="AZ207" s="448"/>
      <c r="BA207" s="448"/>
    </row>
    <row r="208" spans="1:53" ht="12.75" customHeight="1" x14ac:dyDescent="0.2">
      <c r="A208" s="448"/>
      <c r="B208" s="448"/>
      <c r="C208" s="212"/>
      <c r="D208" s="448"/>
      <c r="E208" s="459"/>
      <c r="F208" s="460"/>
      <c r="G208" s="461"/>
      <c r="H208" s="461"/>
      <c r="I208" s="460"/>
      <c r="J208" s="460"/>
      <c r="K208" s="460"/>
      <c r="L208" s="460"/>
      <c r="M208" s="460"/>
      <c r="N208" s="462"/>
      <c r="O208" s="462"/>
      <c r="P208" s="448"/>
      <c r="Q208" s="448"/>
      <c r="R208" s="448"/>
      <c r="S208" s="448"/>
      <c r="T208" s="448"/>
      <c r="U208" s="460"/>
      <c r="V208" s="448"/>
      <c r="W208" s="1317"/>
      <c r="X208" s="1317"/>
      <c r="Y208" s="1317"/>
      <c r="Z208" s="1317"/>
      <c r="AA208" s="1317"/>
      <c r="AB208" s="1317"/>
      <c r="AC208" s="1317"/>
      <c r="AD208" s="1317"/>
      <c r="AE208" s="1317"/>
      <c r="AF208" s="1317"/>
      <c r="AG208" s="448"/>
      <c r="AH208" s="448"/>
      <c r="AI208" s="448"/>
      <c r="AJ208" s="448"/>
      <c r="AK208" s="448"/>
      <c r="AL208" s="448"/>
      <c r="AM208" s="448"/>
      <c r="AN208" s="448"/>
      <c r="AO208" s="448"/>
      <c r="AP208" s="448"/>
      <c r="AQ208" s="448"/>
      <c r="AR208" s="448"/>
      <c r="AS208" s="448"/>
      <c r="AT208" s="448"/>
      <c r="AU208" s="448"/>
      <c r="AV208" s="448"/>
      <c r="AW208" s="448"/>
      <c r="AX208" s="448"/>
      <c r="AY208" s="448"/>
      <c r="AZ208" s="448"/>
      <c r="BA208" s="448"/>
    </row>
    <row r="209" spans="1:53" ht="12.75" customHeight="1" x14ac:dyDescent="0.2">
      <c r="A209" s="616" t="s">
        <v>850</v>
      </c>
      <c r="B209" s="616"/>
      <c r="C209" s="716">
        <f ca="1">SUM(C5:C208)</f>
        <v>0</v>
      </c>
      <c r="D209" s="448"/>
      <c r="E209" s="617">
        <f>SUM(E5:E208)</f>
        <v>0</v>
      </c>
      <c r="F209" s="618">
        <f>SUM(F5:F208)</f>
        <v>0</v>
      </c>
      <c r="G209" s="618"/>
      <c r="H209" s="617">
        <f>SUM(H5:H208)</f>
        <v>0</v>
      </c>
      <c r="I209" s="618">
        <f>SUM(I5:I208)</f>
        <v>0</v>
      </c>
      <c r="J209" s="618"/>
      <c r="K209" s="617">
        <f t="shared" ref="K209:S209" si="26">SUM(K5:K208)</f>
        <v>0</v>
      </c>
      <c r="L209" s="618">
        <f t="shared" si="26"/>
        <v>0</v>
      </c>
      <c r="M209" s="618">
        <f t="shared" si="26"/>
        <v>0</v>
      </c>
      <c r="N209" s="618">
        <f t="shared" si="26"/>
        <v>0</v>
      </c>
      <c r="O209" s="618">
        <f t="shared" si="26"/>
        <v>0</v>
      </c>
      <c r="P209" s="618">
        <f t="shared" si="26"/>
        <v>0</v>
      </c>
      <c r="Q209" s="618">
        <f t="shared" si="26"/>
        <v>0</v>
      </c>
      <c r="R209" s="618">
        <f t="shared" si="26"/>
        <v>0</v>
      </c>
      <c r="S209" s="618">
        <f t="shared" si="26"/>
        <v>0</v>
      </c>
      <c r="T209" s="618"/>
      <c r="U209" s="617">
        <f>SUM(U5:U208)</f>
        <v>0</v>
      </c>
      <c r="V209" s="448"/>
      <c r="W209" s="1317"/>
      <c r="X209" s="1317"/>
      <c r="Y209" s="1317"/>
      <c r="Z209" s="1317"/>
      <c r="AA209" s="1317"/>
      <c r="AB209" s="1317"/>
      <c r="AC209" s="1317"/>
      <c r="AD209" s="1317"/>
      <c r="AE209" s="1317"/>
      <c r="AF209" s="1317"/>
      <c r="AG209" s="448"/>
      <c r="AH209" s="448"/>
      <c r="AI209" s="448"/>
      <c r="AJ209" s="448"/>
      <c r="AK209" s="448"/>
      <c r="AL209" s="448"/>
      <c r="AM209" s="448"/>
      <c r="AN209" s="448"/>
      <c r="AO209" s="448"/>
      <c r="AP209" s="448"/>
      <c r="AQ209" s="448"/>
      <c r="AR209" s="448"/>
      <c r="AS209" s="448"/>
      <c r="AT209" s="448"/>
      <c r="AU209" s="448"/>
      <c r="AV209" s="448"/>
      <c r="AW209" s="448"/>
      <c r="AX209" s="448"/>
      <c r="AY209" s="448"/>
      <c r="AZ209" s="448"/>
      <c r="BA209" s="448"/>
    </row>
    <row r="210" spans="1:53" x14ac:dyDescent="0.2">
      <c r="A210" s="448"/>
      <c r="B210" s="448"/>
      <c r="C210" s="448"/>
      <c r="D210" s="448"/>
      <c r="E210" s="459"/>
      <c r="F210" s="460"/>
      <c r="G210" s="461"/>
      <c r="H210" s="461"/>
      <c r="I210" s="460"/>
      <c r="J210" s="460"/>
      <c r="K210" s="460"/>
      <c r="L210" s="460"/>
      <c r="M210" s="460"/>
      <c r="N210" s="462"/>
      <c r="O210" s="462"/>
      <c r="P210" s="448"/>
      <c r="Q210" s="448"/>
      <c r="R210" s="448"/>
      <c r="S210" s="448"/>
      <c r="T210" s="448"/>
      <c r="U210" s="448"/>
      <c r="V210" s="448"/>
      <c r="W210" s="1317"/>
      <c r="X210" s="1317"/>
      <c r="Y210" s="1317"/>
      <c r="Z210" s="1317"/>
      <c r="AA210" s="1317"/>
      <c r="AB210" s="1317"/>
      <c r="AC210" s="1317"/>
      <c r="AD210" s="1317"/>
      <c r="AE210" s="1317"/>
      <c r="AF210" s="1317"/>
      <c r="AG210" s="448"/>
      <c r="AH210" s="448"/>
      <c r="AI210" s="448"/>
      <c r="AJ210" s="448"/>
      <c r="AK210" s="448"/>
      <c r="AL210" s="448"/>
      <c r="AM210" s="448"/>
      <c r="AN210" s="448"/>
      <c r="AO210" s="448"/>
      <c r="AP210" s="448"/>
      <c r="AQ210" s="448"/>
      <c r="AR210" s="448"/>
      <c r="AS210" s="448"/>
      <c r="AT210" s="448"/>
      <c r="AU210" s="448"/>
      <c r="AV210" s="448"/>
      <c r="AW210" s="448"/>
      <c r="AX210" s="448"/>
      <c r="AY210" s="448"/>
      <c r="AZ210" s="448"/>
      <c r="BA210" s="448"/>
    </row>
    <row r="211" spans="1:53" x14ac:dyDescent="0.2">
      <c r="A211" s="452"/>
      <c r="B211" s="452"/>
      <c r="C211" s="448"/>
      <c r="D211" s="448"/>
      <c r="E211" s="459"/>
      <c r="F211" s="460"/>
      <c r="G211" s="461"/>
      <c r="H211" s="461"/>
      <c r="I211" s="460"/>
      <c r="J211" s="460"/>
      <c r="K211" s="460"/>
      <c r="L211" s="460"/>
      <c r="M211" s="460"/>
      <c r="N211" s="462"/>
      <c r="O211" s="462"/>
      <c r="P211" s="448"/>
      <c r="Q211" s="448"/>
      <c r="R211" s="448"/>
      <c r="S211" s="448"/>
      <c r="T211" s="448"/>
      <c r="U211" s="448"/>
      <c r="V211" s="448"/>
      <c r="W211" s="1317"/>
      <c r="X211" s="1317"/>
      <c r="Y211" s="1317"/>
      <c r="Z211" s="1317"/>
      <c r="AA211" s="1317"/>
      <c r="AB211" s="1317"/>
      <c r="AC211" s="1317"/>
      <c r="AD211" s="1317"/>
      <c r="AE211" s="1317"/>
      <c r="AF211" s="1317"/>
      <c r="AG211" s="448"/>
      <c r="AH211" s="448"/>
      <c r="AI211" s="448"/>
      <c r="AJ211" s="448"/>
      <c r="AK211" s="448"/>
      <c r="AL211" s="448"/>
      <c r="AM211" s="448"/>
      <c r="AN211" s="448"/>
      <c r="AO211" s="448"/>
      <c r="AP211" s="448"/>
      <c r="AQ211" s="448"/>
      <c r="AR211" s="448"/>
      <c r="AS211" s="448"/>
      <c r="AT211" s="448"/>
      <c r="AU211" s="448"/>
      <c r="AV211" s="448"/>
      <c r="AW211" s="448"/>
      <c r="AX211" s="448"/>
      <c r="AY211" s="448"/>
      <c r="AZ211" s="448"/>
      <c r="BA211" s="448"/>
    </row>
    <row r="212" spans="1:53" ht="24" customHeight="1" x14ac:dyDescent="0.2">
      <c r="A212" s="590" t="s">
        <v>846</v>
      </c>
      <c r="B212" s="743" t="str">
        <f>IF(Stammblatt!$L$4=1,"Dreh- tage","days")</f>
        <v>Dreh- tage</v>
      </c>
      <c r="C212" s="743" t="str">
        <f>IF(Stammblatt!$L$4=1,"Gage","salary")</f>
        <v>Gage</v>
      </c>
      <c r="D212" s="448"/>
      <c r="E212" s="459"/>
      <c r="F212" s="460"/>
      <c r="G212" s="461"/>
      <c r="H212" s="461"/>
      <c r="I212" s="460"/>
      <c r="J212" s="460"/>
      <c r="K212" s="460"/>
      <c r="L212" s="460"/>
      <c r="M212" s="460"/>
      <c r="N212" s="462"/>
      <c r="O212" s="462"/>
      <c r="P212" s="448"/>
      <c r="Q212" s="448"/>
      <c r="R212" s="448"/>
      <c r="S212" s="448"/>
      <c r="T212" s="448"/>
      <c r="U212" s="448"/>
      <c r="V212" s="448"/>
      <c r="W212" s="1317"/>
      <c r="X212" s="1317"/>
      <c r="Y212" s="1317"/>
      <c r="Z212" s="1317"/>
      <c r="AA212" s="1317"/>
      <c r="AB212" s="1317"/>
      <c r="AC212" s="1317"/>
      <c r="AD212" s="1317"/>
      <c r="AE212" s="1317"/>
      <c r="AF212" s="1317"/>
      <c r="AG212" s="448"/>
      <c r="AH212" s="448"/>
      <c r="AI212" s="448"/>
      <c r="AJ212" s="448"/>
      <c r="AK212" s="448"/>
      <c r="AL212" s="448"/>
      <c r="AM212" s="448"/>
      <c r="AN212" s="448"/>
      <c r="AO212" s="448"/>
      <c r="AP212" s="448"/>
      <c r="AQ212" s="448"/>
      <c r="AR212" s="448"/>
      <c r="AS212" s="448"/>
      <c r="AT212" s="448"/>
      <c r="AU212" s="448"/>
      <c r="AV212" s="448"/>
      <c r="AW212" s="448"/>
      <c r="AX212" s="448"/>
      <c r="AY212" s="448"/>
      <c r="AZ212" s="448"/>
      <c r="BA212" s="448"/>
    </row>
    <row r="213" spans="1:53" ht="12.75" x14ac:dyDescent="0.2">
      <c r="A213" s="544">
        <f>DarstellerInnen!B4</f>
        <v>0</v>
      </c>
      <c r="B213" s="744">
        <f>DarstellerInnen!D4</f>
        <v>0</v>
      </c>
      <c r="C213" s="546">
        <f>DarstellerInnen!G4</f>
        <v>0</v>
      </c>
      <c r="D213" s="448"/>
      <c r="E213" s="588"/>
      <c r="F213" s="588"/>
      <c r="G213" s="588"/>
      <c r="H213" s="471">
        <f t="shared" ref="H213:H262" si="27">F213*G213</f>
        <v>0</v>
      </c>
      <c r="I213" s="588"/>
      <c r="J213" s="588"/>
      <c r="K213" s="471">
        <f t="shared" ref="K213:K262" si="28">I213*J213</f>
        <v>0</v>
      </c>
      <c r="L213" s="588"/>
      <c r="M213" s="588"/>
      <c r="N213" s="588"/>
      <c r="O213" s="588"/>
      <c r="P213" s="588"/>
      <c r="Q213" s="588"/>
      <c r="R213" s="588"/>
      <c r="S213" s="588"/>
      <c r="T213" s="588"/>
      <c r="U213" s="471">
        <f t="shared" ref="U213" si="29">S213*T213</f>
        <v>0</v>
      </c>
      <c r="V213" s="448"/>
      <c r="W213" s="1317"/>
      <c r="X213" s="1317"/>
      <c r="Y213" s="1317"/>
      <c r="Z213" s="1317"/>
      <c r="AA213" s="1317"/>
      <c r="AB213" s="1317"/>
      <c r="AC213" s="1317"/>
      <c r="AD213" s="1317"/>
      <c r="AE213" s="1317"/>
      <c r="AF213" s="1317"/>
      <c r="AG213" s="448"/>
      <c r="AH213" s="448"/>
      <c r="AI213" s="448"/>
      <c r="AJ213" s="448"/>
      <c r="AK213" s="448"/>
      <c r="AL213" s="448"/>
      <c r="AM213" s="448"/>
      <c r="AN213" s="448"/>
      <c r="AO213" s="448"/>
      <c r="AP213" s="448"/>
      <c r="AQ213" s="448"/>
      <c r="AR213" s="448"/>
      <c r="AS213" s="448"/>
      <c r="AT213" s="448"/>
      <c r="AU213" s="448"/>
      <c r="AV213" s="448"/>
      <c r="AW213" s="448"/>
      <c r="AX213" s="448"/>
      <c r="AY213" s="448"/>
      <c r="AZ213" s="448"/>
      <c r="BA213" s="448"/>
    </row>
    <row r="214" spans="1:53" ht="12.75" x14ac:dyDescent="0.2">
      <c r="A214" s="544">
        <f>DarstellerInnen!B5</f>
        <v>0</v>
      </c>
      <c r="B214" s="744">
        <f>DarstellerInnen!D5</f>
        <v>0</v>
      </c>
      <c r="C214" s="546">
        <f>DarstellerInnen!G5</f>
        <v>0</v>
      </c>
      <c r="D214" s="448"/>
      <c r="E214" s="588"/>
      <c r="F214" s="588"/>
      <c r="G214" s="588"/>
      <c r="H214" s="471">
        <f t="shared" si="27"/>
        <v>0</v>
      </c>
      <c r="I214" s="588"/>
      <c r="J214" s="588"/>
      <c r="K214" s="471">
        <f t="shared" si="28"/>
        <v>0</v>
      </c>
      <c r="L214" s="588"/>
      <c r="M214" s="588"/>
      <c r="N214" s="588"/>
      <c r="O214" s="588"/>
      <c r="P214" s="588"/>
      <c r="Q214" s="588"/>
      <c r="R214" s="588"/>
      <c r="S214" s="588"/>
      <c r="T214" s="588"/>
      <c r="U214" s="471">
        <f t="shared" ref="U214:U262" si="30">S214*T214</f>
        <v>0</v>
      </c>
      <c r="V214" s="448"/>
      <c r="W214" s="1317"/>
      <c r="X214" s="1317"/>
      <c r="Y214" s="1317"/>
      <c r="Z214" s="1317"/>
      <c r="AA214" s="1317"/>
      <c r="AB214" s="1317"/>
      <c r="AC214" s="1317"/>
      <c r="AD214" s="1317"/>
      <c r="AE214" s="1317"/>
      <c r="AF214" s="1317"/>
      <c r="AG214" s="448"/>
      <c r="AH214" s="448"/>
      <c r="AI214" s="448"/>
      <c r="AJ214" s="448"/>
      <c r="AK214" s="448"/>
      <c r="AL214" s="448"/>
      <c r="AM214" s="448"/>
      <c r="AN214" s="448"/>
      <c r="AO214" s="448"/>
      <c r="AP214" s="448"/>
      <c r="AQ214" s="448"/>
      <c r="AR214" s="448"/>
      <c r="AS214" s="448"/>
      <c r="AT214" s="448"/>
      <c r="AU214" s="448"/>
      <c r="AV214" s="448"/>
      <c r="AW214" s="448"/>
      <c r="AX214" s="448"/>
      <c r="AY214" s="448"/>
      <c r="AZ214" s="448"/>
      <c r="BA214" s="448"/>
    </row>
    <row r="215" spans="1:53" ht="12.75" x14ac:dyDescent="0.2">
      <c r="A215" s="544">
        <f>DarstellerInnen!B6</f>
        <v>0</v>
      </c>
      <c r="B215" s="744">
        <f>DarstellerInnen!D6</f>
        <v>0</v>
      </c>
      <c r="C215" s="546">
        <f>DarstellerInnen!G6</f>
        <v>0</v>
      </c>
      <c r="D215" s="448"/>
      <c r="E215" s="588"/>
      <c r="F215" s="588"/>
      <c r="G215" s="588"/>
      <c r="H215" s="471">
        <f t="shared" si="27"/>
        <v>0</v>
      </c>
      <c r="I215" s="588"/>
      <c r="J215" s="588"/>
      <c r="K215" s="471">
        <f t="shared" si="28"/>
        <v>0</v>
      </c>
      <c r="L215" s="588"/>
      <c r="M215" s="588"/>
      <c r="N215" s="588"/>
      <c r="O215" s="588"/>
      <c r="P215" s="588"/>
      <c r="Q215" s="588"/>
      <c r="R215" s="588"/>
      <c r="S215" s="588"/>
      <c r="T215" s="588"/>
      <c r="U215" s="471">
        <f t="shared" si="30"/>
        <v>0</v>
      </c>
      <c r="V215" s="448"/>
      <c r="W215" s="1317"/>
      <c r="X215" s="1317"/>
      <c r="Y215" s="1317"/>
      <c r="Z215" s="1317"/>
      <c r="AA215" s="1317"/>
      <c r="AB215" s="1317"/>
      <c r="AC215" s="1317"/>
      <c r="AD215" s="1317"/>
      <c r="AE215" s="1317"/>
      <c r="AF215" s="1317"/>
      <c r="AG215" s="448"/>
      <c r="AH215" s="448"/>
      <c r="AI215" s="448"/>
      <c r="AJ215" s="448"/>
      <c r="AK215" s="448"/>
      <c r="AL215" s="448"/>
      <c r="AM215" s="448"/>
      <c r="AN215" s="448"/>
      <c r="AO215" s="448"/>
      <c r="AP215" s="448"/>
      <c r="AQ215" s="448"/>
      <c r="AR215" s="448"/>
      <c r="AS215" s="448"/>
      <c r="AT215" s="448"/>
      <c r="AU215" s="448"/>
      <c r="AV215" s="448"/>
      <c r="AW215" s="448"/>
      <c r="AX215" s="448"/>
      <c r="AY215" s="448"/>
      <c r="AZ215" s="448"/>
      <c r="BA215" s="448"/>
    </row>
    <row r="216" spans="1:53" ht="12.75" x14ac:dyDescent="0.2">
      <c r="A216" s="544">
        <f>DarstellerInnen!B7</f>
        <v>0</v>
      </c>
      <c r="B216" s="744">
        <f>DarstellerInnen!D7</f>
        <v>0</v>
      </c>
      <c r="C216" s="546">
        <f>DarstellerInnen!G7</f>
        <v>0</v>
      </c>
      <c r="D216" s="448"/>
      <c r="E216" s="588"/>
      <c r="F216" s="588"/>
      <c r="G216" s="588"/>
      <c r="H216" s="471">
        <f t="shared" si="27"/>
        <v>0</v>
      </c>
      <c r="I216" s="588"/>
      <c r="J216" s="588"/>
      <c r="K216" s="471">
        <f t="shared" si="28"/>
        <v>0</v>
      </c>
      <c r="L216" s="588"/>
      <c r="M216" s="588"/>
      <c r="N216" s="588"/>
      <c r="O216" s="588"/>
      <c r="P216" s="588"/>
      <c r="Q216" s="588"/>
      <c r="R216" s="588"/>
      <c r="S216" s="588"/>
      <c r="T216" s="588"/>
      <c r="U216" s="471">
        <f t="shared" si="30"/>
        <v>0</v>
      </c>
      <c r="V216" s="448"/>
      <c r="W216" s="1317"/>
      <c r="X216" s="1317"/>
      <c r="Y216" s="1317"/>
      <c r="Z216" s="1317"/>
      <c r="AA216" s="1317"/>
      <c r="AB216" s="1317"/>
      <c r="AC216" s="1317"/>
      <c r="AD216" s="1317"/>
      <c r="AE216" s="1317"/>
      <c r="AF216" s="1317"/>
      <c r="AG216" s="448"/>
      <c r="AH216" s="448"/>
      <c r="AI216" s="448"/>
      <c r="AJ216" s="448"/>
      <c r="AK216" s="448"/>
      <c r="AL216" s="448"/>
      <c r="AM216" s="448"/>
      <c r="AN216" s="448"/>
      <c r="AO216" s="448"/>
      <c r="AP216" s="448"/>
      <c r="AQ216" s="448"/>
      <c r="AR216" s="448"/>
      <c r="AS216" s="448"/>
      <c r="AT216" s="448"/>
      <c r="AU216" s="448"/>
      <c r="AV216" s="448"/>
      <c r="AW216" s="448"/>
      <c r="AX216" s="448"/>
      <c r="AY216" s="448"/>
      <c r="AZ216" s="448"/>
      <c r="BA216" s="448"/>
    </row>
    <row r="217" spans="1:53" ht="12.75" x14ac:dyDescent="0.2">
      <c r="A217" s="544">
        <f>DarstellerInnen!B8</f>
        <v>0</v>
      </c>
      <c r="B217" s="744">
        <f>DarstellerInnen!D8</f>
        <v>0</v>
      </c>
      <c r="C217" s="546">
        <f>DarstellerInnen!G8</f>
        <v>0</v>
      </c>
      <c r="D217" s="448"/>
      <c r="E217" s="588"/>
      <c r="F217" s="588"/>
      <c r="G217" s="588"/>
      <c r="H217" s="471">
        <f t="shared" si="27"/>
        <v>0</v>
      </c>
      <c r="I217" s="588"/>
      <c r="J217" s="588"/>
      <c r="K217" s="471">
        <f t="shared" si="28"/>
        <v>0</v>
      </c>
      <c r="L217" s="588"/>
      <c r="M217" s="588"/>
      <c r="N217" s="588"/>
      <c r="O217" s="588"/>
      <c r="P217" s="588"/>
      <c r="Q217" s="588"/>
      <c r="R217" s="588"/>
      <c r="S217" s="588"/>
      <c r="T217" s="588"/>
      <c r="U217" s="471">
        <f t="shared" si="30"/>
        <v>0</v>
      </c>
      <c r="V217" s="448"/>
      <c r="W217" s="1317"/>
      <c r="X217" s="1317"/>
      <c r="Y217" s="1317"/>
      <c r="Z217" s="1317"/>
      <c r="AA217" s="1317"/>
      <c r="AB217" s="1317"/>
      <c r="AC217" s="1317"/>
      <c r="AD217" s="1317"/>
      <c r="AE217" s="1317"/>
      <c r="AF217" s="1317"/>
      <c r="AG217" s="448"/>
      <c r="AH217" s="448"/>
      <c r="AI217" s="448"/>
      <c r="AJ217" s="448"/>
      <c r="AK217" s="448"/>
      <c r="AL217" s="448"/>
      <c r="AM217" s="448"/>
      <c r="AN217" s="448"/>
      <c r="AO217" s="448"/>
      <c r="AP217" s="448"/>
      <c r="AQ217" s="448"/>
      <c r="AR217" s="448"/>
      <c r="AS217" s="448"/>
      <c r="AT217" s="448"/>
      <c r="AU217" s="448"/>
      <c r="AV217" s="448"/>
      <c r="AW217" s="448"/>
      <c r="AX217" s="448"/>
      <c r="AY217" s="448"/>
      <c r="AZ217" s="448"/>
      <c r="BA217" s="448"/>
    </row>
    <row r="218" spans="1:53" ht="12.75" x14ac:dyDescent="0.2">
      <c r="A218" s="544">
        <f>DarstellerInnen!B9</f>
        <v>0</v>
      </c>
      <c r="B218" s="744">
        <f>DarstellerInnen!D9</f>
        <v>0</v>
      </c>
      <c r="C218" s="546">
        <f>DarstellerInnen!G9</f>
        <v>0</v>
      </c>
      <c r="D218" s="448"/>
      <c r="E218" s="588"/>
      <c r="F218" s="588"/>
      <c r="G218" s="588"/>
      <c r="H218" s="471">
        <f t="shared" si="27"/>
        <v>0</v>
      </c>
      <c r="I218" s="588"/>
      <c r="J218" s="588"/>
      <c r="K218" s="471">
        <f t="shared" si="28"/>
        <v>0</v>
      </c>
      <c r="L218" s="588"/>
      <c r="M218" s="588"/>
      <c r="N218" s="588"/>
      <c r="O218" s="588"/>
      <c r="P218" s="588"/>
      <c r="Q218" s="588"/>
      <c r="R218" s="588"/>
      <c r="S218" s="588"/>
      <c r="T218" s="588"/>
      <c r="U218" s="471">
        <f t="shared" si="30"/>
        <v>0</v>
      </c>
      <c r="V218" s="448"/>
      <c r="W218" s="1317"/>
      <c r="X218" s="1317"/>
      <c r="Y218" s="1317"/>
      <c r="Z218" s="1317"/>
      <c r="AA218" s="1317"/>
      <c r="AB218" s="1317"/>
      <c r="AC218" s="1317"/>
      <c r="AD218" s="1317"/>
      <c r="AE218" s="1317"/>
      <c r="AF218" s="1317"/>
      <c r="AG218" s="448"/>
      <c r="AH218" s="448"/>
      <c r="AI218" s="448"/>
      <c r="AJ218" s="448"/>
      <c r="AK218" s="448"/>
      <c r="AL218" s="448"/>
      <c r="AM218" s="448"/>
      <c r="AN218" s="448"/>
      <c r="AO218" s="448"/>
      <c r="AP218" s="448"/>
      <c r="AQ218" s="448"/>
      <c r="AR218" s="448"/>
      <c r="AS218" s="448"/>
      <c r="AT218" s="448"/>
      <c r="AU218" s="448"/>
      <c r="AV218" s="448"/>
      <c r="AW218" s="448"/>
      <c r="AX218" s="448"/>
      <c r="AY218" s="448"/>
      <c r="AZ218" s="448"/>
      <c r="BA218" s="448"/>
    </row>
    <row r="219" spans="1:53" ht="12.75" x14ac:dyDescent="0.2">
      <c r="A219" s="544">
        <f>DarstellerInnen!B10</f>
        <v>0</v>
      </c>
      <c r="B219" s="744">
        <f>DarstellerInnen!D10</f>
        <v>0</v>
      </c>
      <c r="C219" s="546">
        <f>DarstellerInnen!G10</f>
        <v>0</v>
      </c>
      <c r="D219" s="448"/>
      <c r="E219" s="588"/>
      <c r="F219" s="588"/>
      <c r="G219" s="588"/>
      <c r="H219" s="471">
        <f t="shared" si="27"/>
        <v>0</v>
      </c>
      <c r="I219" s="588"/>
      <c r="J219" s="588"/>
      <c r="K219" s="471">
        <f t="shared" si="28"/>
        <v>0</v>
      </c>
      <c r="L219" s="588"/>
      <c r="M219" s="588"/>
      <c r="N219" s="588"/>
      <c r="O219" s="588"/>
      <c r="P219" s="588"/>
      <c r="Q219" s="588"/>
      <c r="R219" s="588"/>
      <c r="S219" s="588"/>
      <c r="T219" s="588"/>
      <c r="U219" s="471">
        <f t="shared" si="30"/>
        <v>0</v>
      </c>
      <c r="V219" s="448"/>
      <c r="W219" s="1317"/>
      <c r="X219" s="1317"/>
      <c r="Y219" s="1317"/>
      <c r="Z219" s="1317"/>
      <c r="AA219" s="1317"/>
      <c r="AB219" s="1317"/>
      <c r="AC219" s="1317"/>
      <c r="AD219" s="1317"/>
      <c r="AE219" s="1317"/>
      <c r="AF219" s="1317"/>
      <c r="AG219" s="448"/>
      <c r="AH219" s="448"/>
      <c r="AI219" s="448"/>
      <c r="AJ219" s="448"/>
      <c r="AK219" s="448"/>
      <c r="AL219" s="448"/>
      <c r="AM219" s="448"/>
      <c r="AN219" s="448"/>
      <c r="AO219" s="448"/>
      <c r="AP219" s="448"/>
      <c r="AQ219" s="448"/>
      <c r="AR219" s="448"/>
      <c r="AS219" s="448"/>
      <c r="AT219" s="448"/>
      <c r="AU219" s="448"/>
      <c r="AV219" s="448"/>
      <c r="AW219" s="448"/>
      <c r="AX219" s="448"/>
      <c r="AY219" s="448"/>
      <c r="AZ219" s="448"/>
      <c r="BA219" s="448"/>
    </row>
    <row r="220" spans="1:53" ht="12.75" x14ac:dyDescent="0.2">
      <c r="A220" s="544">
        <f>DarstellerInnen!B11</f>
        <v>0</v>
      </c>
      <c r="B220" s="744">
        <f>DarstellerInnen!D11</f>
        <v>0</v>
      </c>
      <c r="C220" s="546">
        <f>DarstellerInnen!G11</f>
        <v>0</v>
      </c>
      <c r="D220" s="448"/>
      <c r="E220" s="588"/>
      <c r="F220" s="588"/>
      <c r="G220" s="588"/>
      <c r="H220" s="471">
        <f t="shared" si="27"/>
        <v>0</v>
      </c>
      <c r="I220" s="588"/>
      <c r="J220" s="588"/>
      <c r="K220" s="471">
        <f t="shared" si="28"/>
        <v>0</v>
      </c>
      <c r="L220" s="588"/>
      <c r="M220" s="588"/>
      <c r="N220" s="588"/>
      <c r="O220" s="588"/>
      <c r="P220" s="588"/>
      <c r="Q220" s="588"/>
      <c r="R220" s="588"/>
      <c r="S220" s="588"/>
      <c r="T220" s="588"/>
      <c r="U220" s="471">
        <f t="shared" si="30"/>
        <v>0</v>
      </c>
      <c r="V220" s="448"/>
      <c r="W220" s="1317"/>
      <c r="X220" s="1317"/>
      <c r="Y220" s="1317"/>
      <c r="Z220" s="1317"/>
      <c r="AA220" s="1317"/>
      <c r="AB220" s="1317"/>
      <c r="AC220" s="1317"/>
      <c r="AD220" s="1317"/>
      <c r="AE220" s="1317"/>
      <c r="AF220" s="1317"/>
      <c r="AG220" s="448"/>
      <c r="AH220" s="448"/>
      <c r="AI220" s="448"/>
      <c r="AJ220" s="448"/>
      <c r="AK220" s="448"/>
      <c r="AL220" s="448"/>
      <c r="AM220" s="448"/>
      <c r="AN220" s="448"/>
      <c r="AO220" s="448"/>
      <c r="AP220" s="448"/>
      <c r="AQ220" s="448"/>
      <c r="AR220" s="448"/>
      <c r="AS220" s="448"/>
      <c r="AT220" s="448"/>
      <c r="AU220" s="448"/>
      <c r="AV220" s="448"/>
      <c r="AW220" s="448"/>
      <c r="AX220" s="448"/>
      <c r="AY220" s="448"/>
      <c r="AZ220" s="448"/>
      <c r="BA220" s="448"/>
    </row>
    <row r="221" spans="1:53" ht="12.75" x14ac:dyDescent="0.2">
      <c r="A221" s="544">
        <f>DarstellerInnen!B12</f>
        <v>0</v>
      </c>
      <c r="B221" s="744">
        <f>DarstellerInnen!D12</f>
        <v>0</v>
      </c>
      <c r="C221" s="546">
        <f>DarstellerInnen!G12</f>
        <v>0</v>
      </c>
      <c r="D221" s="448"/>
      <c r="E221" s="588"/>
      <c r="F221" s="588"/>
      <c r="G221" s="588"/>
      <c r="H221" s="471">
        <f t="shared" si="27"/>
        <v>0</v>
      </c>
      <c r="I221" s="588"/>
      <c r="J221" s="588"/>
      <c r="K221" s="471">
        <f t="shared" si="28"/>
        <v>0</v>
      </c>
      <c r="L221" s="588"/>
      <c r="M221" s="588"/>
      <c r="N221" s="588"/>
      <c r="O221" s="588"/>
      <c r="P221" s="588"/>
      <c r="Q221" s="588"/>
      <c r="R221" s="588"/>
      <c r="S221" s="588"/>
      <c r="T221" s="588"/>
      <c r="U221" s="471">
        <f t="shared" si="30"/>
        <v>0</v>
      </c>
      <c r="V221" s="448"/>
      <c r="W221" s="1317"/>
      <c r="X221" s="1317"/>
      <c r="Y221" s="1317"/>
      <c r="Z221" s="1317"/>
      <c r="AA221" s="1317"/>
      <c r="AB221" s="1317"/>
      <c r="AC221" s="1317"/>
      <c r="AD221" s="1317"/>
      <c r="AE221" s="1317"/>
      <c r="AF221" s="1317"/>
      <c r="AG221" s="448"/>
      <c r="AH221" s="448"/>
      <c r="AI221" s="448"/>
      <c r="AJ221" s="448"/>
      <c r="AK221" s="448"/>
      <c r="AL221" s="448"/>
      <c r="AM221" s="448"/>
      <c r="AN221" s="448"/>
      <c r="AO221" s="448"/>
      <c r="AP221" s="448"/>
      <c r="AQ221" s="448"/>
      <c r="AR221" s="448"/>
      <c r="AS221" s="448"/>
      <c r="AT221" s="448"/>
      <c r="AU221" s="448"/>
      <c r="AV221" s="448"/>
      <c r="AW221" s="448"/>
      <c r="AX221" s="448"/>
      <c r="AY221" s="448"/>
      <c r="AZ221" s="448"/>
      <c r="BA221" s="448"/>
    </row>
    <row r="222" spans="1:53" ht="12.75" x14ac:dyDescent="0.2">
      <c r="A222" s="544">
        <f>DarstellerInnen!B13</f>
        <v>0</v>
      </c>
      <c r="B222" s="744">
        <f>DarstellerInnen!D13</f>
        <v>0</v>
      </c>
      <c r="C222" s="546">
        <f>DarstellerInnen!G13</f>
        <v>0</v>
      </c>
      <c r="D222" s="448"/>
      <c r="E222" s="588"/>
      <c r="F222" s="588"/>
      <c r="G222" s="588"/>
      <c r="H222" s="471">
        <f t="shared" si="27"/>
        <v>0</v>
      </c>
      <c r="I222" s="588"/>
      <c r="J222" s="588"/>
      <c r="K222" s="471">
        <f t="shared" si="28"/>
        <v>0</v>
      </c>
      <c r="L222" s="588"/>
      <c r="M222" s="588"/>
      <c r="N222" s="588"/>
      <c r="O222" s="588"/>
      <c r="P222" s="588"/>
      <c r="Q222" s="588"/>
      <c r="R222" s="588"/>
      <c r="S222" s="588"/>
      <c r="T222" s="588"/>
      <c r="U222" s="471">
        <f t="shared" si="30"/>
        <v>0</v>
      </c>
      <c r="V222" s="448"/>
      <c r="W222" s="1317"/>
      <c r="X222" s="1317"/>
      <c r="Y222" s="1317"/>
      <c r="Z222" s="1317"/>
      <c r="AA222" s="1317"/>
      <c r="AB222" s="1317"/>
      <c r="AC222" s="1317"/>
      <c r="AD222" s="1317"/>
      <c r="AE222" s="1317"/>
      <c r="AF222" s="1317"/>
      <c r="AG222" s="448"/>
      <c r="AH222" s="448"/>
      <c r="AI222" s="448"/>
      <c r="AJ222" s="448"/>
      <c r="AK222" s="448"/>
      <c r="AL222" s="448"/>
      <c r="AM222" s="448"/>
      <c r="AN222" s="448"/>
      <c r="AO222" s="448"/>
      <c r="AP222" s="448"/>
      <c r="AQ222" s="448"/>
      <c r="AR222" s="448"/>
      <c r="AS222" s="448"/>
      <c r="AT222" s="448"/>
      <c r="AU222" s="448"/>
      <c r="AV222" s="448"/>
      <c r="AW222" s="448"/>
      <c r="AX222" s="448"/>
      <c r="AY222" s="448"/>
      <c r="AZ222" s="448"/>
      <c r="BA222" s="448"/>
    </row>
    <row r="223" spans="1:53" ht="12.75" x14ac:dyDescent="0.2">
      <c r="A223" s="544">
        <f>DarstellerInnen!B14</f>
        <v>0</v>
      </c>
      <c r="B223" s="744">
        <f>DarstellerInnen!D14</f>
        <v>0</v>
      </c>
      <c r="C223" s="546">
        <f>DarstellerInnen!G14</f>
        <v>0</v>
      </c>
      <c r="D223" s="448"/>
      <c r="E223" s="588"/>
      <c r="F223" s="588"/>
      <c r="G223" s="588"/>
      <c r="H223" s="471">
        <f t="shared" si="27"/>
        <v>0</v>
      </c>
      <c r="I223" s="588"/>
      <c r="J223" s="588"/>
      <c r="K223" s="471">
        <f t="shared" si="28"/>
        <v>0</v>
      </c>
      <c r="L223" s="588"/>
      <c r="M223" s="588"/>
      <c r="N223" s="588"/>
      <c r="O223" s="588"/>
      <c r="P223" s="588"/>
      <c r="Q223" s="588"/>
      <c r="R223" s="588"/>
      <c r="S223" s="588"/>
      <c r="T223" s="588"/>
      <c r="U223" s="471">
        <f t="shared" si="30"/>
        <v>0</v>
      </c>
      <c r="V223" s="448"/>
      <c r="W223" s="1317"/>
      <c r="X223" s="1317"/>
      <c r="Y223" s="1317"/>
      <c r="Z223" s="1317"/>
      <c r="AA223" s="1317"/>
      <c r="AB223" s="1317"/>
      <c r="AC223" s="1317"/>
      <c r="AD223" s="1317"/>
      <c r="AE223" s="1317"/>
      <c r="AF223" s="1317"/>
      <c r="AG223" s="448"/>
      <c r="AH223" s="448"/>
      <c r="AI223" s="448"/>
      <c r="AJ223" s="448"/>
      <c r="AK223" s="448"/>
      <c r="AL223" s="448"/>
      <c r="AM223" s="448"/>
      <c r="AN223" s="448"/>
      <c r="AO223" s="448"/>
      <c r="AP223" s="448"/>
      <c r="AQ223" s="448"/>
      <c r="AR223" s="448"/>
      <c r="AS223" s="448"/>
      <c r="AT223" s="448"/>
      <c r="AU223" s="448"/>
      <c r="AV223" s="448"/>
      <c r="AW223" s="448"/>
      <c r="AX223" s="448"/>
      <c r="AY223" s="448"/>
      <c r="AZ223" s="448"/>
      <c r="BA223" s="448"/>
    </row>
    <row r="224" spans="1:53" ht="12.75" x14ac:dyDescent="0.2">
      <c r="A224" s="544">
        <f>DarstellerInnen!B15</f>
        <v>0</v>
      </c>
      <c r="B224" s="744">
        <f>DarstellerInnen!D15</f>
        <v>0</v>
      </c>
      <c r="C224" s="546">
        <f>DarstellerInnen!G15</f>
        <v>0</v>
      </c>
      <c r="D224" s="448"/>
      <c r="E224" s="588"/>
      <c r="F224" s="588"/>
      <c r="G224" s="588"/>
      <c r="H224" s="471">
        <f t="shared" si="27"/>
        <v>0</v>
      </c>
      <c r="I224" s="588"/>
      <c r="J224" s="588"/>
      <c r="K224" s="471">
        <f t="shared" si="28"/>
        <v>0</v>
      </c>
      <c r="L224" s="588"/>
      <c r="M224" s="588"/>
      <c r="N224" s="588"/>
      <c r="O224" s="588"/>
      <c r="P224" s="588"/>
      <c r="Q224" s="588"/>
      <c r="R224" s="588"/>
      <c r="S224" s="588"/>
      <c r="T224" s="588"/>
      <c r="U224" s="471">
        <f t="shared" si="30"/>
        <v>0</v>
      </c>
      <c r="V224" s="448"/>
      <c r="W224" s="1317"/>
      <c r="X224" s="1317"/>
      <c r="Y224" s="1317"/>
      <c r="Z224" s="1317"/>
      <c r="AA224" s="1317"/>
      <c r="AB224" s="1317"/>
      <c r="AC224" s="1317"/>
      <c r="AD224" s="1317"/>
      <c r="AE224" s="1317"/>
      <c r="AF224" s="1317"/>
      <c r="AG224" s="448"/>
      <c r="AH224" s="448"/>
      <c r="AI224" s="448"/>
      <c r="AJ224" s="448"/>
      <c r="AK224" s="448"/>
      <c r="AL224" s="448"/>
      <c r="AM224" s="448"/>
      <c r="AN224" s="448"/>
      <c r="AO224" s="448"/>
      <c r="AP224" s="448"/>
      <c r="AQ224" s="448"/>
      <c r="AR224" s="448"/>
      <c r="AS224" s="448"/>
      <c r="AT224" s="448"/>
      <c r="AU224" s="448"/>
      <c r="AV224" s="448"/>
      <c r="AW224" s="448"/>
      <c r="AX224" s="448"/>
      <c r="AY224" s="448"/>
      <c r="AZ224" s="448"/>
      <c r="BA224" s="448"/>
    </row>
    <row r="225" spans="1:53" ht="12.75" x14ac:dyDescent="0.2">
      <c r="A225" s="544">
        <f>DarstellerInnen!B16</f>
        <v>0</v>
      </c>
      <c r="B225" s="744">
        <f>DarstellerInnen!D16</f>
        <v>0</v>
      </c>
      <c r="C225" s="546">
        <f>DarstellerInnen!G16</f>
        <v>0</v>
      </c>
      <c r="D225" s="448"/>
      <c r="E225" s="588"/>
      <c r="F225" s="588"/>
      <c r="G225" s="588"/>
      <c r="H225" s="471">
        <f t="shared" si="27"/>
        <v>0</v>
      </c>
      <c r="I225" s="588"/>
      <c r="J225" s="588"/>
      <c r="K225" s="471">
        <f t="shared" si="28"/>
        <v>0</v>
      </c>
      <c r="L225" s="588"/>
      <c r="M225" s="588"/>
      <c r="N225" s="588"/>
      <c r="O225" s="588"/>
      <c r="P225" s="588"/>
      <c r="Q225" s="588"/>
      <c r="R225" s="588"/>
      <c r="S225" s="588"/>
      <c r="T225" s="588"/>
      <c r="U225" s="471">
        <f t="shared" si="30"/>
        <v>0</v>
      </c>
      <c r="V225" s="448"/>
      <c r="W225" s="1317"/>
      <c r="X225" s="1317"/>
      <c r="Y225" s="1317"/>
      <c r="Z225" s="1317"/>
      <c r="AA225" s="1317"/>
      <c r="AB225" s="1317"/>
      <c r="AC225" s="1317"/>
      <c r="AD225" s="1317"/>
      <c r="AE225" s="1317"/>
      <c r="AF225" s="1317"/>
      <c r="AG225" s="448"/>
      <c r="AH225" s="448"/>
      <c r="AI225" s="448"/>
      <c r="AJ225" s="448"/>
      <c r="AK225" s="448"/>
      <c r="AL225" s="448"/>
      <c r="AM225" s="448"/>
      <c r="AN225" s="448"/>
      <c r="AO225" s="448"/>
      <c r="AP225" s="448"/>
      <c r="AQ225" s="448"/>
      <c r="AR225" s="448"/>
      <c r="AS225" s="448"/>
      <c r="AT225" s="448"/>
      <c r="AU225" s="448"/>
      <c r="AV225" s="448"/>
      <c r="AW225" s="448"/>
      <c r="AX225" s="448"/>
      <c r="AY225" s="448"/>
      <c r="AZ225" s="448"/>
      <c r="BA225" s="448"/>
    </row>
    <row r="226" spans="1:53" ht="12.75" x14ac:dyDescent="0.2">
      <c r="A226" s="544">
        <f>DarstellerInnen!B17</f>
        <v>0</v>
      </c>
      <c r="B226" s="744">
        <f>DarstellerInnen!D17</f>
        <v>0</v>
      </c>
      <c r="C226" s="546">
        <f>DarstellerInnen!G17</f>
        <v>0</v>
      </c>
      <c r="D226" s="448"/>
      <c r="E226" s="588"/>
      <c r="F226" s="588"/>
      <c r="G226" s="588"/>
      <c r="H226" s="471">
        <f t="shared" si="27"/>
        <v>0</v>
      </c>
      <c r="I226" s="588"/>
      <c r="J226" s="588"/>
      <c r="K226" s="471">
        <f t="shared" si="28"/>
        <v>0</v>
      </c>
      <c r="L226" s="588"/>
      <c r="M226" s="588"/>
      <c r="N226" s="588"/>
      <c r="O226" s="588"/>
      <c r="P226" s="588"/>
      <c r="Q226" s="588"/>
      <c r="R226" s="588"/>
      <c r="S226" s="588"/>
      <c r="T226" s="588"/>
      <c r="U226" s="471">
        <f t="shared" si="30"/>
        <v>0</v>
      </c>
      <c r="V226" s="448"/>
      <c r="W226" s="1317"/>
      <c r="X226" s="1317"/>
      <c r="Y226" s="1317"/>
      <c r="Z226" s="1317"/>
      <c r="AA226" s="1317"/>
      <c r="AB226" s="1317"/>
      <c r="AC226" s="1317"/>
      <c r="AD226" s="1317"/>
      <c r="AE226" s="1317"/>
      <c r="AF226" s="1317"/>
      <c r="AG226" s="448"/>
      <c r="AH226" s="448"/>
      <c r="AI226" s="448"/>
      <c r="AJ226" s="448"/>
      <c r="AK226" s="448"/>
      <c r="AL226" s="448"/>
      <c r="AM226" s="448"/>
      <c r="AN226" s="448"/>
      <c r="AO226" s="448"/>
      <c r="AP226" s="448"/>
      <c r="AQ226" s="448"/>
      <c r="AR226" s="448"/>
      <c r="AS226" s="448"/>
      <c r="AT226" s="448"/>
      <c r="AU226" s="448"/>
      <c r="AV226" s="448"/>
      <c r="AW226" s="448"/>
      <c r="AX226" s="448"/>
      <c r="AY226" s="448"/>
      <c r="AZ226" s="448"/>
      <c r="BA226" s="448"/>
    </row>
    <row r="227" spans="1:53" ht="12.75" x14ac:dyDescent="0.2">
      <c r="A227" s="544">
        <f>DarstellerInnen!B18</f>
        <v>0</v>
      </c>
      <c r="B227" s="744">
        <f>DarstellerInnen!D18</f>
        <v>0</v>
      </c>
      <c r="C227" s="546">
        <f>DarstellerInnen!G18</f>
        <v>0</v>
      </c>
      <c r="D227" s="448"/>
      <c r="E227" s="588"/>
      <c r="F227" s="588"/>
      <c r="G227" s="588"/>
      <c r="H227" s="471">
        <f t="shared" si="27"/>
        <v>0</v>
      </c>
      <c r="I227" s="588"/>
      <c r="J227" s="588"/>
      <c r="K227" s="471">
        <f t="shared" si="28"/>
        <v>0</v>
      </c>
      <c r="L227" s="588"/>
      <c r="M227" s="588"/>
      <c r="N227" s="588"/>
      <c r="O227" s="588"/>
      <c r="P227" s="588"/>
      <c r="Q227" s="588"/>
      <c r="R227" s="588"/>
      <c r="S227" s="588"/>
      <c r="T227" s="588"/>
      <c r="U227" s="471">
        <f t="shared" si="30"/>
        <v>0</v>
      </c>
      <c r="V227" s="448"/>
      <c r="W227" s="1317"/>
      <c r="X227" s="1317"/>
      <c r="Y227" s="1317"/>
      <c r="Z227" s="1317"/>
      <c r="AA227" s="1317"/>
      <c r="AB227" s="1317"/>
      <c r="AC227" s="1317"/>
      <c r="AD227" s="1317"/>
      <c r="AE227" s="1317"/>
      <c r="AF227" s="1317"/>
      <c r="AG227" s="448"/>
      <c r="AH227" s="448"/>
      <c r="AI227" s="448"/>
      <c r="AJ227" s="448"/>
      <c r="AK227" s="448"/>
      <c r="AL227" s="448"/>
      <c r="AM227" s="448"/>
      <c r="AN227" s="448"/>
      <c r="AO227" s="448"/>
      <c r="AP227" s="448"/>
      <c r="AQ227" s="448"/>
      <c r="AR227" s="448"/>
      <c r="AS227" s="448"/>
      <c r="AT227" s="448"/>
      <c r="AU227" s="448"/>
      <c r="AV227" s="448"/>
      <c r="AW227" s="448"/>
      <c r="AX227" s="448"/>
      <c r="AY227" s="448"/>
      <c r="AZ227" s="448"/>
      <c r="BA227" s="448"/>
    </row>
    <row r="228" spans="1:53" ht="12.75" x14ac:dyDescent="0.2">
      <c r="A228" s="544">
        <f>DarstellerInnen!B19</f>
        <v>0</v>
      </c>
      <c r="B228" s="744">
        <f>DarstellerInnen!D19</f>
        <v>0</v>
      </c>
      <c r="C228" s="546">
        <f>DarstellerInnen!G19</f>
        <v>0</v>
      </c>
      <c r="D228" s="448"/>
      <c r="E228" s="588"/>
      <c r="F228" s="588"/>
      <c r="G228" s="588"/>
      <c r="H228" s="471">
        <f t="shared" si="27"/>
        <v>0</v>
      </c>
      <c r="I228" s="588"/>
      <c r="J228" s="588"/>
      <c r="K228" s="471">
        <f t="shared" si="28"/>
        <v>0</v>
      </c>
      <c r="L228" s="588"/>
      <c r="M228" s="588"/>
      <c r="N228" s="588"/>
      <c r="O228" s="588"/>
      <c r="P228" s="588"/>
      <c r="Q228" s="588"/>
      <c r="R228" s="588"/>
      <c r="S228" s="588"/>
      <c r="T228" s="588"/>
      <c r="U228" s="471">
        <f t="shared" si="30"/>
        <v>0</v>
      </c>
      <c r="V228" s="448"/>
      <c r="W228" s="1317"/>
      <c r="X228" s="1317"/>
      <c r="Y228" s="1317"/>
      <c r="Z228" s="1317"/>
      <c r="AA228" s="1317"/>
      <c r="AB228" s="1317"/>
      <c r="AC228" s="1317"/>
      <c r="AD228" s="1317"/>
      <c r="AE228" s="1317"/>
      <c r="AF228" s="1317"/>
      <c r="AG228" s="448"/>
      <c r="AH228" s="448"/>
      <c r="AI228" s="448"/>
      <c r="AJ228" s="448"/>
      <c r="AK228" s="448"/>
      <c r="AL228" s="448"/>
      <c r="AM228" s="448"/>
      <c r="AN228" s="448"/>
      <c r="AO228" s="448"/>
      <c r="AP228" s="448"/>
      <c r="AQ228" s="448"/>
      <c r="AR228" s="448"/>
      <c r="AS228" s="448"/>
      <c r="AT228" s="448"/>
      <c r="AU228" s="448"/>
      <c r="AV228" s="448"/>
      <c r="AW228" s="448"/>
      <c r="AX228" s="448"/>
      <c r="AY228" s="448"/>
      <c r="AZ228" s="448"/>
      <c r="BA228" s="448"/>
    </row>
    <row r="229" spans="1:53" ht="12.75" x14ac:dyDescent="0.2">
      <c r="A229" s="544">
        <f>DarstellerInnen!B20</f>
        <v>0</v>
      </c>
      <c r="B229" s="744">
        <f>DarstellerInnen!D20</f>
        <v>0</v>
      </c>
      <c r="C229" s="546">
        <f>DarstellerInnen!G20</f>
        <v>0</v>
      </c>
      <c r="D229" s="448"/>
      <c r="E229" s="588"/>
      <c r="F229" s="588"/>
      <c r="G229" s="588"/>
      <c r="H229" s="471">
        <f t="shared" si="27"/>
        <v>0</v>
      </c>
      <c r="I229" s="588"/>
      <c r="J229" s="588"/>
      <c r="K229" s="471">
        <f t="shared" si="28"/>
        <v>0</v>
      </c>
      <c r="L229" s="588"/>
      <c r="M229" s="588"/>
      <c r="N229" s="588"/>
      <c r="O229" s="588"/>
      <c r="P229" s="588"/>
      <c r="Q229" s="588"/>
      <c r="R229" s="588"/>
      <c r="S229" s="588"/>
      <c r="T229" s="588"/>
      <c r="U229" s="471">
        <f t="shared" si="30"/>
        <v>0</v>
      </c>
      <c r="V229" s="448"/>
      <c r="W229" s="1317"/>
      <c r="X229" s="1317"/>
      <c r="Y229" s="1317"/>
      <c r="Z229" s="1317"/>
      <c r="AA229" s="1317"/>
      <c r="AB229" s="1317"/>
      <c r="AC229" s="1317"/>
      <c r="AD229" s="1317"/>
      <c r="AE229" s="1317"/>
      <c r="AF229" s="1317"/>
      <c r="AG229" s="448"/>
      <c r="AH229" s="448"/>
      <c r="AI229" s="448"/>
      <c r="AJ229" s="448"/>
      <c r="AK229" s="448"/>
      <c r="AL229" s="448"/>
      <c r="AM229" s="448"/>
      <c r="AN229" s="448"/>
      <c r="AO229" s="448"/>
      <c r="AP229" s="448"/>
      <c r="AQ229" s="448"/>
      <c r="AR229" s="448"/>
      <c r="AS229" s="448"/>
      <c r="AT229" s="448"/>
      <c r="AU229" s="448"/>
      <c r="AV229" s="448"/>
      <c r="AW229" s="448"/>
      <c r="AX229" s="448"/>
      <c r="AY229" s="448"/>
      <c r="AZ229" s="448"/>
      <c r="BA229" s="448"/>
    </row>
    <row r="230" spans="1:53" ht="12.75" x14ac:dyDescent="0.2">
      <c r="A230" s="544">
        <f>DarstellerInnen!B21</f>
        <v>0</v>
      </c>
      <c r="B230" s="744">
        <f>DarstellerInnen!D21</f>
        <v>0</v>
      </c>
      <c r="C230" s="546">
        <f>DarstellerInnen!G21</f>
        <v>0</v>
      </c>
      <c r="D230" s="448"/>
      <c r="E230" s="588"/>
      <c r="F230" s="588"/>
      <c r="G230" s="588"/>
      <c r="H230" s="471">
        <f t="shared" si="27"/>
        <v>0</v>
      </c>
      <c r="I230" s="588"/>
      <c r="J230" s="588"/>
      <c r="K230" s="471">
        <f t="shared" si="28"/>
        <v>0</v>
      </c>
      <c r="L230" s="588"/>
      <c r="M230" s="588"/>
      <c r="N230" s="588"/>
      <c r="O230" s="588"/>
      <c r="P230" s="588"/>
      <c r="Q230" s="588"/>
      <c r="R230" s="588"/>
      <c r="S230" s="588"/>
      <c r="T230" s="588"/>
      <c r="U230" s="471">
        <f t="shared" si="30"/>
        <v>0</v>
      </c>
      <c r="V230" s="448"/>
      <c r="W230" s="1317"/>
      <c r="X230" s="1317"/>
      <c r="Y230" s="1317"/>
      <c r="Z230" s="1317"/>
      <c r="AA230" s="1317"/>
      <c r="AB230" s="1317"/>
      <c r="AC230" s="1317"/>
      <c r="AD230" s="1317"/>
      <c r="AE230" s="1317"/>
      <c r="AF230" s="1317"/>
      <c r="AG230" s="448"/>
      <c r="AH230" s="448"/>
      <c r="AI230" s="448"/>
      <c r="AJ230" s="448"/>
      <c r="AK230" s="448"/>
      <c r="AL230" s="448"/>
      <c r="AM230" s="448"/>
      <c r="AN230" s="448"/>
      <c r="AO230" s="448"/>
      <c r="AP230" s="448"/>
      <c r="AQ230" s="448"/>
      <c r="AR230" s="448"/>
      <c r="AS230" s="448"/>
      <c r="AT230" s="448"/>
      <c r="AU230" s="448"/>
      <c r="AV230" s="448"/>
      <c r="AW230" s="448"/>
      <c r="AX230" s="448"/>
      <c r="AY230" s="448"/>
      <c r="AZ230" s="448"/>
      <c r="BA230" s="448"/>
    </row>
    <row r="231" spans="1:53" ht="12.75" x14ac:dyDescent="0.2">
      <c r="A231" s="544">
        <f>DarstellerInnen!B22</f>
        <v>0</v>
      </c>
      <c r="B231" s="744">
        <f>DarstellerInnen!D22</f>
        <v>0</v>
      </c>
      <c r="C231" s="546">
        <f>DarstellerInnen!G22</f>
        <v>0</v>
      </c>
      <c r="D231" s="448"/>
      <c r="E231" s="588"/>
      <c r="F231" s="588"/>
      <c r="G231" s="588"/>
      <c r="H231" s="471">
        <f t="shared" si="27"/>
        <v>0</v>
      </c>
      <c r="I231" s="588"/>
      <c r="J231" s="588"/>
      <c r="K231" s="471">
        <f t="shared" si="28"/>
        <v>0</v>
      </c>
      <c r="L231" s="588"/>
      <c r="M231" s="588"/>
      <c r="N231" s="588"/>
      <c r="O231" s="588"/>
      <c r="P231" s="588"/>
      <c r="Q231" s="588"/>
      <c r="R231" s="588"/>
      <c r="S231" s="588"/>
      <c r="T231" s="588"/>
      <c r="U231" s="471">
        <f t="shared" si="30"/>
        <v>0</v>
      </c>
      <c r="V231" s="448"/>
      <c r="W231" s="1317"/>
      <c r="X231" s="1317"/>
      <c r="Y231" s="1317"/>
      <c r="Z231" s="1317"/>
      <c r="AA231" s="1317"/>
      <c r="AB231" s="1317"/>
      <c r="AC231" s="1317"/>
      <c r="AD231" s="1317"/>
      <c r="AE231" s="1317"/>
      <c r="AF231" s="1317"/>
      <c r="AG231" s="448"/>
      <c r="AH231" s="448"/>
      <c r="AI231" s="448"/>
      <c r="AJ231" s="448"/>
      <c r="AK231" s="448"/>
      <c r="AL231" s="448"/>
      <c r="AM231" s="448"/>
      <c r="AN231" s="448"/>
      <c r="AO231" s="448"/>
      <c r="AP231" s="448"/>
      <c r="AQ231" s="448"/>
      <c r="AR231" s="448"/>
      <c r="AS231" s="448"/>
      <c r="AT231" s="448"/>
      <c r="AU231" s="448"/>
      <c r="AV231" s="448"/>
      <c r="AW231" s="448"/>
      <c r="AX231" s="448"/>
      <c r="AY231" s="448"/>
      <c r="AZ231" s="448"/>
      <c r="BA231" s="448"/>
    </row>
    <row r="232" spans="1:53" ht="12.75" x14ac:dyDescent="0.2">
      <c r="A232" s="544">
        <f>DarstellerInnen!B23</f>
        <v>0</v>
      </c>
      <c r="B232" s="744">
        <f>DarstellerInnen!D23</f>
        <v>0</v>
      </c>
      <c r="C232" s="546">
        <f>DarstellerInnen!G23</f>
        <v>0</v>
      </c>
      <c r="D232" s="448"/>
      <c r="E232" s="588"/>
      <c r="F232" s="588"/>
      <c r="G232" s="588"/>
      <c r="H232" s="471">
        <f t="shared" si="27"/>
        <v>0</v>
      </c>
      <c r="I232" s="588"/>
      <c r="J232" s="588"/>
      <c r="K232" s="471">
        <f t="shared" si="28"/>
        <v>0</v>
      </c>
      <c r="L232" s="588"/>
      <c r="M232" s="588"/>
      <c r="N232" s="588"/>
      <c r="O232" s="588"/>
      <c r="P232" s="588"/>
      <c r="Q232" s="588"/>
      <c r="R232" s="588"/>
      <c r="S232" s="588"/>
      <c r="T232" s="588"/>
      <c r="U232" s="471">
        <f t="shared" si="30"/>
        <v>0</v>
      </c>
      <c r="V232" s="448"/>
      <c r="W232" s="1317"/>
      <c r="X232" s="1317"/>
      <c r="Y232" s="1317"/>
      <c r="Z232" s="1317"/>
      <c r="AA232" s="1317"/>
      <c r="AB232" s="1317"/>
      <c r="AC232" s="1317"/>
      <c r="AD232" s="1317"/>
      <c r="AE232" s="1317"/>
      <c r="AF232" s="1317"/>
      <c r="AG232" s="448"/>
      <c r="AH232" s="448"/>
      <c r="AI232" s="448"/>
      <c r="AJ232" s="448"/>
      <c r="AK232" s="448"/>
      <c r="AL232" s="448"/>
      <c r="AM232" s="448"/>
      <c r="AN232" s="448"/>
      <c r="AO232" s="448"/>
      <c r="AP232" s="448"/>
      <c r="AQ232" s="448"/>
      <c r="AR232" s="448"/>
      <c r="AS232" s="448"/>
      <c r="AT232" s="448"/>
      <c r="AU232" s="448"/>
      <c r="AV232" s="448"/>
      <c r="AW232" s="448"/>
      <c r="AX232" s="448"/>
      <c r="AY232" s="448"/>
      <c r="AZ232" s="448"/>
      <c r="BA232" s="448"/>
    </row>
    <row r="233" spans="1:53" ht="12.75" x14ac:dyDescent="0.2">
      <c r="A233" s="544">
        <f>DarstellerInnen!B24</f>
        <v>0</v>
      </c>
      <c r="B233" s="744">
        <f>DarstellerInnen!D24</f>
        <v>0</v>
      </c>
      <c r="C233" s="546">
        <f>DarstellerInnen!G24</f>
        <v>0</v>
      </c>
      <c r="D233" s="448"/>
      <c r="E233" s="588"/>
      <c r="F233" s="588"/>
      <c r="G233" s="588"/>
      <c r="H233" s="471">
        <f t="shared" si="27"/>
        <v>0</v>
      </c>
      <c r="I233" s="588"/>
      <c r="J233" s="588"/>
      <c r="K233" s="471">
        <f t="shared" si="28"/>
        <v>0</v>
      </c>
      <c r="L233" s="588"/>
      <c r="M233" s="588"/>
      <c r="N233" s="588"/>
      <c r="O233" s="588"/>
      <c r="P233" s="588"/>
      <c r="Q233" s="588"/>
      <c r="R233" s="588"/>
      <c r="S233" s="588"/>
      <c r="T233" s="588"/>
      <c r="U233" s="471">
        <f t="shared" si="30"/>
        <v>0</v>
      </c>
      <c r="V233" s="448"/>
      <c r="W233" s="1317"/>
      <c r="X233" s="1317"/>
      <c r="Y233" s="1317"/>
      <c r="Z233" s="1317"/>
      <c r="AA233" s="1317"/>
      <c r="AB233" s="1317"/>
      <c r="AC233" s="1317"/>
      <c r="AD233" s="1317"/>
      <c r="AE233" s="1317"/>
      <c r="AF233" s="1317"/>
      <c r="AG233" s="448"/>
      <c r="AH233" s="448"/>
      <c r="AI233" s="448"/>
      <c r="AJ233" s="448"/>
      <c r="AK233" s="448"/>
      <c r="AL233" s="448"/>
      <c r="AM233" s="448"/>
      <c r="AN233" s="448"/>
      <c r="AO233" s="448"/>
      <c r="AP233" s="448"/>
      <c r="AQ233" s="448"/>
      <c r="AR233" s="448"/>
      <c r="AS233" s="448"/>
      <c r="AT233" s="448"/>
      <c r="AU233" s="448"/>
      <c r="AV233" s="448"/>
      <c r="AW233" s="448"/>
      <c r="AX233" s="448"/>
      <c r="AY233" s="448"/>
      <c r="AZ233" s="448"/>
      <c r="BA233" s="448"/>
    </row>
    <row r="234" spans="1:53" ht="12.75" x14ac:dyDescent="0.2">
      <c r="A234" s="544">
        <f>DarstellerInnen!B25</f>
        <v>0</v>
      </c>
      <c r="B234" s="744">
        <f>DarstellerInnen!D25</f>
        <v>0</v>
      </c>
      <c r="C234" s="546">
        <f>DarstellerInnen!G25</f>
        <v>0</v>
      </c>
      <c r="D234" s="448"/>
      <c r="E234" s="588"/>
      <c r="F234" s="588"/>
      <c r="G234" s="588"/>
      <c r="H234" s="471">
        <f t="shared" si="27"/>
        <v>0</v>
      </c>
      <c r="I234" s="588"/>
      <c r="J234" s="588"/>
      <c r="K234" s="471">
        <f t="shared" si="28"/>
        <v>0</v>
      </c>
      <c r="L234" s="588"/>
      <c r="M234" s="588"/>
      <c r="N234" s="588"/>
      <c r="O234" s="588"/>
      <c r="P234" s="588"/>
      <c r="Q234" s="588"/>
      <c r="R234" s="588"/>
      <c r="S234" s="588"/>
      <c r="T234" s="588"/>
      <c r="U234" s="471">
        <f t="shared" si="30"/>
        <v>0</v>
      </c>
      <c r="V234" s="448"/>
      <c r="W234" s="1317"/>
      <c r="X234" s="1317"/>
      <c r="Y234" s="1317"/>
      <c r="Z234" s="1317"/>
      <c r="AA234" s="1317"/>
      <c r="AB234" s="1317"/>
      <c r="AC234" s="1317"/>
      <c r="AD234" s="1317"/>
      <c r="AE234" s="1317"/>
      <c r="AF234" s="1317"/>
      <c r="AG234" s="448"/>
      <c r="AH234" s="448"/>
      <c r="AI234" s="448"/>
      <c r="AJ234" s="448"/>
      <c r="AK234" s="448"/>
      <c r="AL234" s="448"/>
      <c r="AM234" s="448"/>
      <c r="AN234" s="448"/>
      <c r="AO234" s="448"/>
      <c r="AP234" s="448"/>
      <c r="AQ234" s="448"/>
      <c r="AR234" s="448"/>
      <c r="AS234" s="448"/>
      <c r="AT234" s="448"/>
      <c r="AU234" s="448"/>
      <c r="AV234" s="448"/>
      <c r="AW234" s="448"/>
      <c r="AX234" s="448"/>
      <c r="AY234" s="448"/>
      <c r="AZ234" s="448"/>
      <c r="BA234" s="448"/>
    </row>
    <row r="235" spans="1:53" ht="12.75" x14ac:dyDescent="0.2">
      <c r="A235" s="544">
        <f>DarstellerInnen!B26</f>
        <v>0</v>
      </c>
      <c r="B235" s="744">
        <f>DarstellerInnen!D26</f>
        <v>0</v>
      </c>
      <c r="C235" s="546">
        <f>DarstellerInnen!G26</f>
        <v>0</v>
      </c>
      <c r="D235" s="448"/>
      <c r="E235" s="588"/>
      <c r="F235" s="588"/>
      <c r="G235" s="588"/>
      <c r="H235" s="471">
        <f t="shared" si="27"/>
        <v>0</v>
      </c>
      <c r="I235" s="588"/>
      <c r="J235" s="588"/>
      <c r="K235" s="471">
        <f t="shared" si="28"/>
        <v>0</v>
      </c>
      <c r="L235" s="588"/>
      <c r="M235" s="588"/>
      <c r="N235" s="588"/>
      <c r="O235" s="588"/>
      <c r="P235" s="588"/>
      <c r="Q235" s="588"/>
      <c r="R235" s="588"/>
      <c r="S235" s="588"/>
      <c r="T235" s="588"/>
      <c r="U235" s="471">
        <f t="shared" si="30"/>
        <v>0</v>
      </c>
      <c r="V235" s="448"/>
      <c r="W235" s="1317"/>
      <c r="X235" s="1317"/>
      <c r="Y235" s="1317"/>
      <c r="Z235" s="1317"/>
      <c r="AA235" s="1317"/>
      <c r="AB235" s="1317"/>
      <c r="AC235" s="1317"/>
      <c r="AD235" s="1317"/>
      <c r="AE235" s="1317"/>
      <c r="AF235" s="1317"/>
      <c r="AG235" s="448"/>
      <c r="AH235" s="448"/>
      <c r="AI235" s="448"/>
      <c r="AJ235" s="448"/>
      <c r="AK235" s="448"/>
      <c r="AL235" s="448"/>
      <c r="AM235" s="448"/>
      <c r="AN235" s="448"/>
      <c r="AO235" s="448"/>
      <c r="AP235" s="448"/>
      <c r="AQ235" s="448"/>
      <c r="AR235" s="448"/>
      <c r="AS235" s="448"/>
      <c r="AT235" s="448"/>
      <c r="AU235" s="448"/>
      <c r="AV235" s="448"/>
      <c r="AW235" s="448"/>
      <c r="AX235" s="448"/>
      <c r="AY235" s="448"/>
      <c r="AZ235" s="448"/>
      <c r="BA235" s="448"/>
    </row>
    <row r="236" spans="1:53" ht="12.75" x14ac:dyDescent="0.2">
      <c r="A236" s="544">
        <f>DarstellerInnen!B27</f>
        <v>0</v>
      </c>
      <c r="B236" s="744">
        <f>DarstellerInnen!D27</f>
        <v>0</v>
      </c>
      <c r="C236" s="546">
        <f>DarstellerInnen!G27</f>
        <v>0</v>
      </c>
      <c r="D236" s="448"/>
      <c r="E236" s="588"/>
      <c r="F236" s="588"/>
      <c r="G236" s="588"/>
      <c r="H236" s="471">
        <f t="shared" si="27"/>
        <v>0</v>
      </c>
      <c r="I236" s="588"/>
      <c r="J236" s="588"/>
      <c r="K236" s="471">
        <f t="shared" si="28"/>
        <v>0</v>
      </c>
      <c r="L236" s="588"/>
      <c r="M236" s="588"/>
      <c r="N236" s="588"/>
      <c r="O236" s="588"/>
      <c r="P236" s="588"/>
      <c r="Q236" s="588"/>
      <c r="R236" s="588"/>
      <c r="S236" s="588"/>
      <c r="T236" s="588"/>
      <c r="U236" s="471">
        <f t="shared" si="30"/>
        <v>0</v>
      </c>
      <c r="V236" s="448"/>
      <c r="W236" s="1317"/>
      <c r="X236" s="1317"/>
      <c r="Y236" s="1317"/>
      <c r="Z236" s="1317"/>
      <c r="AA236" s="1317"/>
      <c r="AB236" s="1317"/>
      <c r="AC236" s="1317"/>
      <c r="AD236" s="1317"/>
      <c r="AE236" s="1317"/>
      <c r="AF236" s="1317"/>
      <c r="AG236" s="448"/>
      <c r="AH236" s="448"/>
      <c r="AI236" s="448"/>
      <c r="AJ236" s="448"/>
      <c r="AK236" s="448"/>
      <c r="AL236" s="448"/>
      <c r="AM236" s="448"/>
      <c r="AN236" s="448"/>
      <c r="AO236" s="448"/>
      <c r="AP236" s="448"/>
      <c r="AQ236" s="448"/>
      <c r="AR236" s="448"/>
      <c r="AS236" s="448"/>
      <c r="AT236" s="448"/>
      <c r="AU236" s="448"/>
      <c r="AV236" s="448"/>
      <c r="AW236" s="448"/>
      <c r="AX236" s="448"/>
      <c r="AY236" s="448"/>
      <c r="AZ236" s="448"/>
      <c r="BA236" s="448"/>
    </row>
    <row r="237" spans="1:53" ht="12.75" x14ac:dyDescent="0.2">
      <c r="A237" s="544">
        <f>DarstellerInnen!B28</f>
        <v>0</v>
      </c>
      <c r="B237" s="744">
        <f>DarstellerInnen!D28</f>
        <v>0</v>
      </c>
      <c r="C237" s="546">
        <f>DarstellerInnen!G28</f>
        <v>0</v>
      </c>
      <c r="D237" s="448"/>
      <c r="E237" s="588"/>
      <c r="F237" s="588"/>
      <c r="G237" s="588"/>
      <c r="H237" s="471">
        <f t="shared" si="27"/>
        <v>0</v>
      </c>
      <c r="I237" s="588"/>
      <c r="J237" s="588"/>
      <c r="K237" s="471">
        <f t="shared" si="28"/>
        <v>0</v>
      </c>
      <c r="L237" s="588"/>
      <c r="M237" s="588"/>
      <c r="N237" s="588"/>
      <c r="O237" s="588"/>
      <c r="P237" s="588"/>
      <c r="Q237" s="588"/>
      <c r="R237" s="588"/>
      <c r="S237" s="588"/>
      <c r="T237" s="588"/>
      <c r="U237" s="471">
        <f t="shared" si="30"/>
        <v>0</v>
      </c>
      <c r="V237" s="448"/>
      <c r="W237" s="1317"/>
      <c r="X237" s="1317"/>
      <c r="Y237" s="1317"/>
      <c r="Z237" s="1317"/>
      <c r="AA237" s="1317"/>
      <c r="AB237" s="1317"/>
      <c r="AC237" s="1317"/>
      <c r="AD237" s="1317"/>
      <c r="AE237" s="1317"/>
      <c r="AF237" s="1317"/>
      <c r="AG237" s="448"/>
      <c r="AH237" s="448"/>
      <c r="AI237" s="448"/>
      <c r="AJ237" s="448"/>
      <c r="AK237" s="448"/>
      <c r="AL237" s="448"/>
      <c r="AM237" s="448"/>
      <c r="AN237" s="448"/>
      <c r="AO237" s="448"/>
      <c r="AP237" s="448"/>
      <c r="AQ237" s="448"/>
      <c r="AR237" s="448"/>
      <c r="AS237" s="448"/>
      <c r="AT237" s="448"/>
      <c r="AU237" s="448"/>
      <c r="AV237" s="448"/>
      <c r="AW237" s="448"/>
      <c r="AX237" s="448"/>
      <c r="AY237" s="448"/>
      <c r="AZ237" s="448"/>
      <c r="BA237" s="448"/>
    </row>
    <row r="238" spans="1:53" ht="12.75" x14ac:dyDescent="0.2">
      <c r="A238" s="544">
        <f>DarstellerInnen!B29</f>
        <v>0</v>
      </c>
      <c r="B238" s="744">
        <f>DarstellerInnen!D29</f>
        <v>0</v>
      </c>
      <c r="C238" s="546">
        <f>DarstellerInnen!G29</f>
        <v>0</v>
      </c>
      <c r="D238" s="448"/>
      <c r="E238" s="588"/>
      <c r="F238" s="588"/>
      <c r="G238" s="588"/>
      <c r="H238" s="471">
        <f t="shared" si="27"/>
        <v>0</v>
      </c>
      <c r="I238" s="588"/>
      <c r="J238" s="588"/>
      <c r="K238" s="471">
        <f t="shared" si="28"/>
        <v>0</v>
      </c>
      <c r="L238" s="588"/>
      <c r="M238" s="588"/>
      <c r="N238" s="588"/>
      <c r="O238" s="588"/>
      <c r="P238" s="588"/>
      <c r="Q238" s="588"/>
      <c r="R238" s="588"/>
      <c r="S238" s="588"/>
      <c r="T238" s="588"/>
      <c r="U238" s="471">
        <f t="shared" si="30"/>
        <v>0</v>
      </c>
      <c r="V238" s="448"/>
      <c r="W238" s="1317"/>
      <c r="X238" s="1317"/>
      <c r="Y238" s="1317"/>
      <c r="Z238" s="1317"/>
      <c r="AA238" s="1317"/>
      <c r="AB238" s="1317"/>
      <c r="AC238" s="1317"/>
      <c r="AD238" s="1317"/>
      <c r="AE238" s="1317"/>
      <c r="AF238" s="1317"/>
      <c r="AG238" s="448"/>
      <c r="AH238" s="448"/>
      <c r="AI238" s="448"/>
      <c r="AJ238" s="448"/>
      <c r="AK238" s="448"/>
      <c r="AL238" s="448"/>
      <c r="AM238" s="448"/>
      <c r="AN238" s="448"/>
      <c r="AO238" s="448"/>
      <c r="AP238" s="448"/>
      <c r="AQ238" s="448"/>
      <c r="AR238" s="448"/>
      <c r="AS238" s="448"/>
      <c r="AT238" s="448"/>
      <c r="AU238" s="448"/>
      <c r="AV238" s="448"/>
      <c r="AW238" s="448"/>
      <c r="AX238" s="448"/>
      <c r="AY238" s="448"/>
      <c r="AZ238" s="448"/>
      <c r="BA238" s="448"/>
    </row>
    <row r="239" spans="1:53" ht="12.75" x14ac:dyDescent="0.2">
      <c r="A239" s="544">
        <f>DarstellerInnen!B30</f>
        <v>0</v>
      </c>
      <c r="B239" s="744">
        <f>DarstellerInnen!D30</f>
        <v>0</v>
      </c>
      <c r="C239" s="546">
        <f>DarstellerInnen!G30</f>
        <v>0</v>
      </c>
      <c r="D239" s="448"/>
      <c r="E239" s="588"/>
      <c r="F239" s="588"/>
      <c r="G239" s="588"/>
      <c r="H239" s="471">
        <f t="shared" si="27"/>
        <v>0</v>
      </c>
      <c r="I239" s="588"/>
      <c r="J239" s="588"/>
      <c r="K239" s="471">
        <f t="shared" si="28"/>
        <v>0</v>
      </c>
      <c r="L239" s="588"/>
      <c r="M239" s="588"/>
      <c r="N239" s="588"/>
      <c r="O239" s="588"/>
      <c r="P239" s="588"/>
      <c r="Q239" s="588"/>
      <c r="R239" s="588"/>
      <c r="S239" s="588"/>
      <c r="T239" s="588"/>
      <c r="U239" s="471">
        <f t="shared" si="30"/>
        <v>0</v>
      </c>
      <c r="V239" s="448"/>
      <c r="W239" s="1317"/>
      <c r="X239" s="1317"/>
      <c r="Y239" s="1317"/>
      <c r="Z239" s="1317"/>
      <c r="AA239" s="1317"/>
      <c r="AB239" s="1317"/>
      <c r="AC239" s="1317"/>
      <c r="AD239" s="1317"/>
      <c r="AE239" s="1317"/>
      <c r="AF239" s="1317"/>
      <c r="AG239" s="448"/>
      <c r="AH239" s="448"/>
      <c r="AI239" s="448"/>
      <c r="AJ239" s="448"/>
      <c r="AK239" s="448"/>
      <c r="AL239" s="448"/>
      <c r="AM239" s="448"/>
      <c r="AN239" s="448"/>
      <c r="AO239" s="448"/>
      <c r="AP239" s="448"/>
      <c r="AQ239" s="448"/>
      <c r="AR239" s="448"/>
      <c r="AS239" s="448"/>
      <c r="AT239" s="448"/>
      <c r="AU239" s="448"/>
      <c r="AV239" s="448"/>
      <c r="AW239" s="448"/>
      <c r="AX239" s="448"/>
      <c r="AY239" s="448"/>
      <c r="AZ239" s="448"/>
      <c r="BA239" s="448"/>
    </row>
    <row r="240" spans="1:53" ht="12.75" x14ac:dyDescent="0.2">
      <c r="A240" s="544">
        <f>DarstellerInnen!B31</f>
        <v>0</v>
      </c>
      <c r="B240" s="744">
        <f>DarstellerInnen!D31</f>
        <v>0</v>
      </c>
      <c r="C240" s="546">
        <f>DarstellerInnen!G31</f>
        <v>0</v>
      </c>
      <c r="D240" s="448"/>
      <c r="E240" s="588"/>
      <c r="F240" s="588"/>
      <c r="G240" s="588"/>
      <c r="H240" s="471">
        <f t="shared" si="27"/>
        <v>0</v>
      </c>
      <c r="I240" s="588"/>
      <c r="J240" s="588"/>
      <c r="K240" s="471">
        <f t="shared" si="28"/>
        <v>0</v>
      </c>
      <c r="L240" s="588"/>
      <c r="M240" s="588"/>
      <c r="N240" s="588"/>
      <c r="O240" s="588"/>
      <c r="P240" s="588"/>
      <c r="Q240" s="588"/>
      <c r="R240" s="588"/>
      <c r="S240" s="588"/>
      <c r="T240" s="588"/>
      <c r="U240" s="471">
        <f t="shared" si="30"/>
        <v>0</v>
      </c>
      <c r="V240" s="448"/>
      <c r="W240" s="1317"/>
      <c r="X240" s="1317"/>
      <c r="Y240" s="1317"/>
      <c r="Z240" s="1317"/>
      <c r="AA240" s="1317"/>
      <c r="AB240" s="1317"/>
      <c r="AC240" s="1317"/>
      <c r="AD240" s="1317"/>
      <c r="AE240" s="1317"/>
      <c r="AF240" s="1317"/>
      <c r="AG240" s="448"/>
      <c r="AH240" s="448"/>
      <c r="AI240" s="448"/>
      <c r="AJ240" s="448"/>
      <c r="AK240" s="448"/>
      <c r="AL240" s="448"/>
      <c r="AM240" s="448"/>
      <c r="AN240" s="448"/>
      <c r="AO240" s="448"/>
      <c r="AP240" s="448"/>
      <c r="AQ240" s="448"/>
      <c r="AR240" s="448"/>
      <c r="AS240" s="448"/>
      <c r="AT240" s="448"/>
      <c r="AU240" s="448"/>
      <c r="AV240" s="448"/>
      <c r="AW240" s="448"/>
      <c r="AX240" s="448"/>
      <c r="AY240" s="448"/>
      <c r="AZ240" s="448"/>
      <c r="BA240" s="448"/>
    </row>
    <row r="241" spans="1:53" ht="12.75" x14ac:dyDescent="0.2">
      <c r="A241" s="544">
        <f>DarstellerInnen!B32</f>
        <v>0</v>
      </c>
      <c r="B241" s="744">
        <f>DarstellerInnen!D32</f>
        <v>0</v>
      </c>
      <c r="C241" s="546">
        <f>DarstellerInnen!G32</f>
        <v>0</v>
      </c>
      <c r="D241" s="448"/>
      <c r="E241" s="588"/>
      <c r="F241" s="588"/>
      <c r="G241" s="588"/>
      <c r="H241" s="471">
        <f t="shared" si="27"/>
        <v>0</v>
      </c>
      <c r="I241" s="588"/>
      <c r="J241" s="588"/>
      <c r="K241" s="471">
        <f t="shared" si="28"/>
        <v>0</v>
      </c>
      <c r="L241" s="588"/>
      <c r="M241" s="588"/>
      <c r="N241" s="588"/>
      <c r="O241" s="588"/>
      <c r="P241" s="588"/>
      <c r="Q241" s="588"/>
      <c r="R241" s="588"/>
      <c r="S241" s="588"/>
      <c r="T241" s="588"/>
      <c r="U241" s="471">
        <f t="shared" si="30"/>
        <v>0</v>
      </c>
      <c r="V241" s="448"/>
      <c r="W241" s="1317"/>
      <c r="X241" s="1317"/>
      <c r="Y241" s="1317"/>
      <c r="Z241" s="1317"/>
      <c r="AA241" s="1317"/>
      <c r="AB241" s="1317"/>
      <c r="AC241" s="1317"/>
      <c r="AD241" s="1317"/>
      <c r="AE241" s="1317"/>
      <c r="AF241" s="1317"/>
      <c r="AG241" s="448"/>
      <c r="AH241" s="448"/>
      <c r="AI241" s="448"/>
      <c r="AJ241" s="448"/>
      <c r="AK241" s="448"/>
      <c r="AL241" s="448"/>
      <c r="AM241" s="448"/>
      <c r="AN241" s="448"/>
      <c r="AO241" s="448"/>
      <c r="AP241" s="448"/>
      <c r="AQ241" s="448"/>
      <c r="AR241" s="448"/>
      <c r="AS241" s="448"/>
      <c r="AT241" s="448"/>
      <c r="AU241" s="448"/>
      <c r="AV241" s="448"/>
      <c r="AW241" s="448"/>
      <c r="AX241" s="448"/>
      <c r="AY241" s="448"/>
      <c r="AZ241" s="448"/>
      <c r="BA241" s="448"/>
    </row>
    <row r="242" spans="1:53" ht="12.75" x14ac:dyDescent="0.2">
      <c r="A242" s="544">
        <f>DarstellerInnen!B33</f>
        <v>0</v>
      </c>
      <c r="B242" s="744">
        <f>DarstellerInnen!D33</f>
        <v>0</v>
      </c>
      <c r="C242" s="546">
        <f>DarstellerInnen!G33</f>
        <v>0</v>
      </c>
      <c r="D242" s="448"/>
      <c r="E242" s="588"/>
      <c r="F242" s="588"/>
      <c r="G242" s="588"/>
      <c r="H242" s="471">
        <f t="shared" si="27"/>
        <v>0</v>
      </c>
      <c r="I242" s="588"/>
      <c r="J242" s="588"/>
      <c r="K242" s="471">
        <f t="shared" si="28"/>
        <v>0</v>
      </c>
      <c r="L242" s="588"/>
      <c r="M242" s="588"/>
      <c r="N242" s="588"/>
      <c r="O242" s="588"/>
      <c r="P242" s="588"/>
      <c r="Q242" s="588"/>
      <c r="R242" s="588"/>
      <c r="S242" s="588"/>
      <c r="T242" s="588"/>
      <c r="U242" s="471">
        <f t="shared" si="30"/>
        <v>0</v>
      </c>
      <c r="V242" s="448"/>
      <c r="W242" s="1317"/>
      <c r="X242" s="1317"/>
      <c r="Y242" s="1317"/>
      <c r="Z242" s="1317"/>
      <c r="AA242" s="1317"/>
      <c r="AB242" s="1317"/>
      <c r="AC242" s="1317"/>
      <c r="AD242" s="1317"/>
      <c r="AE242" s="1317"/>
      <c r="AF242" s="1317"/>
      <c r="AG242" s="448"/>
      <c r="AH242" s="448"/>
      <c r="AI242" s="448"/>
      <c r="AJ242" s="448"/>
      <c r="AK242" s="448"/>
      <c r="AL242" s="448"/>
      <c r="AM242" s="448"/>
      <c r="AN242" s="448"/>
      <c r="AO242" s="448"/>
      <c r="AP242" s="448"/>
      <c r="AQ242" s="448"/>
      <c r="AR242" s="448"/>
      <c r="AS242" s="448"/>
      <c r="AT242" s="448"/>
      <c r="AU242" s="448"/>
      <c r="AV242" s="448"/>
      <c r="AW242" s="448"/>
      <c r="AX242" s="448"/>
      <c r="AY242" s="448"/>
      <c r="AZ242" s="448"/>
      <c r="BA242" s="448"/>
    </row>
    <row r="243" spans="1:53" ht="12.75" x14ac:dyDescent="0.2">
      <c r="A243" s="544">
        <f>DarstellerInnen!B34</f>
        <v>0</v>
      </c>
      <c r="B243" s="744">
        <f>DarstellerInnen!D34</f>
        <v>0</v>
      </c>
      <c r="C243" s="546">
        <f>DarstellerInnen!G34</f>
        <v>0</v>
      </c>
      <c r="D243" s="448"/>
      <c r="E243" s="588"/>
      <c r="F243" s="588"/>
      <c r="G243" s="588"/>
      <c r="H243" s="471">
        <f t="shared" si="27"/>
        <v>0</v>
      </c>
      <c r="I243" s="588"/>
      <c r="J243" s="588"/>
      <c r="K243" s="471">
        <f t="shared" si="28"/>
        <v>0</v>
      </c>
      <c r="L243" s="588"/>
      <c r="M243" s="588"/>
      <c r="N243" s="588"/>
      <c r="O243" s="588"/>
      <c r="P243" s="588"/>
      <c r="Q243" s="588"/>
      <c r="R243" s="588"/>
      <c r="S243" s="588"/>
      <c r="T243" s="588"/>
      <c r="U243" s="471">
        <f t="shared" si="30"/>
        <v>0</v>
      </c>
      <c r="V243" s="448"/>
      <c r="W243" s="1317"/>
      <c r="X243" s="1317"/>
      <c r="Y243" s="1317"/>
      <c r="Z243" s="1317"/>
      <c r="AA243" s="1317"/>
      <c r="AB243" s="1317"/>
      <c r="AC243" s="1317"/>
      <c r="AD243" s="1317"/>
      <c r="AE243" s="1317"/>
      <c r="AF243" s="1317"/>
      <c r="AG243" s="448"/>
      <c r="AH243" s="448"/>
      <c r="AI243" s="448"/>
      <c r="AJ243" s="448"/>
      <c r="AK243" s="448"/>
      <c r="AL243" s="448"/>
      <c r="AM243" s="448"/>
      <c r="AN243" s="448"/>
      <c r="AO243" s="448"/>
      <c r="AP243" s="448"/>
      <c r="AQ243" s="448"/>
      <c r="AR243" s="448"/>
      <c r="AS243" s="448"/>
      <c r="AT243" s="448"/>
      <c r="AU243" s="448"/>
      <c r="AV243" s="448"/>
      <c r="AW243" s="448"/>
      <c r="AX243" s="448"/>
      <c r="AY243" s="448"/>
      <c r="AZ243" s="448"/>
      <c r="BA243" s="448"/>
    </row>
    <row r="244" spans="1:53" ht="12.75" x14ac:dyDescent="0.2">
      <c r="A244" s="544">
        <f>DarstellerInnen!B35</f>
        <v>0</v>
      </c>
      <c r="B244" s="744">
        <f>DarstellerInnen!D35</f>
        <v>0</v>
      </c>
      <c r="C244" s="546">
        <f>DarstellerInnen!G35</f>
        <v>0</v>
      </c>
      <c r="D244" s="448"/>
      <c r="E244" s="588"/>
      <c r="F244" s="588"/>
      <c r="G244" s="588"/>
      <c r="H244" s="471">
        <f t="shared" si="27"/>
        <v>0</v>
      </c>
      <c r="I244" s="588"/>
      <c r="J244" s="588"/>
      <c r="K244" s="471">
        <f t="shared" si="28"/>
        <v>0</v>
      </c>
      <c r="L244" s="588"/>
      <c r="M244" s="588"/>
      <c r="N244" s="588"/>
      <c r="O244" s="588"/>
      <c r="P244" s="588"/>
      <c r="Q244" s="588"/>
      <c r="R244" s="588"/>
      <c r="S244" s="588"/>
      <c r="T244" s="588"/>
      <c r="U244" s="471">
        <f t="shared" si="30"/>
        <v>0</v>
      </c>
      <c r="V244" s="448"/>
      <c r="W244" s="1317"/>
      <c r="X244" s="1317"/>
      <c r="Y244" s="1317"/>
      <c r="Z244" s="1317"/>
      <c r="AA244" s="1317"/>
      <c r="AB244" s="1317"/>
      <c r="AC244" s="1317"/>
      <c r="AD244" s="1317"/>
      <c r="AE244" s="1317"/>
      <c r="AF244" s="1317"/>
      <c r="AG244" s="448"/>
      <c r="AH244" s="448"/>
      <c r="AI244" s="448"/>
      <c r="AJ244" s="448"/>
      <c r="AK244" s="448"/>
      <c r="AL244" s="448"/>
      <c r="AM244" s="448"/>
      <c r="AN244" s="448"/>
      <c r="AO244" s="448"/>
      <c r="AP244" s="448"/>
      <c r="AQ244" s="448"/>
      <c r="AR244" s="448"/>
      <c r="AS244" s="448"/>
      <c r="AT244" s="448"/>
      <c r="AU244" s="448"/>
      <c r="AV244" s="448"/>
      <c r="AW244" s="448"/>
      <c r="AX244" s="448"/>
      <c r="AY244" s="448"/>
      <c r="AZ244" s="448"/>
      <c r="BA244" s="448"/>
    </row>
    <row r="245" spans="1:53" ht="12.75" x14ac:dyDescent="0.2">
      <c r="A245" s="544">
        <f>DarstellerInnen!B36</f>
        <v>0</v>
      </c>
      <c r="B245" s="744">
        <f>DarstellerInnen!D36</f>
        <v>0</v>
      </c>
      <c r="C245" s="546">
        <f>DarstellerInnen!G36</f>
        <v>0</v>
      </c>
      <c r="D245" s="448"/>
      <c r="E245" s="588"/>
      <c r="F245" s="588"/>
      <c r="G245" s="588"/>
      <c r="H245" s="471">
        <f t="shared" si="27"/>
        <v>0</v>
      </c>
      <c r="I245" s="588"/>
      <c r="J245" s="588"/>
      <c r="K245" s="471">
        <f t="shared" si="28"/>
        <v>0</v>
      </c>
      <c r="L245" s="588"/>
      <c r="M245" s="588"/>
      <c r="N245" s="588"/>
      <c r="O245" s="588"/>
      <c r="P245" s="588"/>
      <c r="Q245" s="588"/>
      <c r="R245" s="588"/>
      <c r="S245" s="588"/>
      <c r="T245" s="588"/>
      <c r="U245" s="471">
        <f t="shared" si="30"/>
        <v>0</v>
      </c>
      <c r="V245" s="448"/>
      <c r="W245" s="1317"/>
      <c r="X245" s="1317"/>
      <c r="Y245" s="1317"/>
      <c r="Z245" s="1317"/>
      <c r="AA245" s="1317"/>
      <c r="AB245" s="1317"/>
      <c r="AC245" s="1317"/>
      <c r="AD245" s="1317"/>
      <c r="AE245" s="1317"/>
      <c r="AF245" s="1317"/>
      <c r="AG245" s="448"/>
      <c r="AH245" s="448"/>
      <c r="AI245" s="448"/>
      <c r="AJ245" s="448"/>
      <c r="AK245" s="448"/>
      <c r="AL245" s="448"/>
      <c r="AM245" s="448"/>
      <c r="AN245" s="448"/>
      <c r="AO245" s="448"/>
      <c r="AP245" s="448"/>
      <c r="AQ245" s="448"/>
      <c r="AR245" s="448"/>
      <c r="AS245" s="448"/>
      <c r="AT245" s="448"/>
      <c r="AU245" s="448"/>
      <c r="AV245" s="448"/>
      <c r="AW245" s="448"/>
      <c r="AX245" s="448"/>
      <c r="AY245" s="448"/>
      <c r="AZ245" s="448"/>
      <c r="BA245" s="448"/>
    </row>
    <row r="246" spans="1:53" ht="12.75" x14ac:dyDescent="0.2">
      <c r="A246" s="544">
        <f>DarstellerInnen!B37</f>
        <v>0</v>
      </c>
      <c r="B246" s="744">
        <f>DarstellerInnen!D37</f>
        <v>0</v>
      </c>
      <c r="C246" s="546">
        <f>DarstellerInnen!G37</f>
        <v>0</v>
      </c>
      <c r="D246" s="448"/>
      <c r="E246" s="588"/>
      <c r="F246" s="588"/>
      <c r="G246" s="588"/>
      <c r="H246" s="471">
        <f t="shared" si="27"/>
        <v>0</v>
      </c>
      <c r="I246" s="588"/>
      <c r="J246" s="588"/>
      <c r="K246" s="471">
        <f t="shared" si="28"/>
        <v>0</v>
      </c>
      <c r="L246" s="588"/>
      <c r="M246" s="588"/>
      <c r="N246" s="588"/>
      <c r="O246" s="588"/>
      <c r="P246" s="588"/>
      <c r="Q246" s="588"/>
      <c r="R246" s="588"/>
      <c r="S246" s="588"/>
      <c r="T246" s="588"/>
      <c r="U246" s="471">
        <f t="shared" si="30"/>
        <v>0</v>
      </c>
      <c r="V246" s="448"/>
      <c r="W246" s="1317"/>
      <c r="X246" s="1317"/>
      <c r="Y246" s="1317"/>
      <c r="Z246" s="1317"/>
      <c r="AA246" s="1317"/>
      <c r="AB246" s="1317"/>
      <c r="AC246" s="1317"/>
      <c r="AD246" s="1317"/>
      <c r="AE246" s="1317"/>
      <c r="AF246" s="1317"/>
      <c r="AG246" s="448"/>
      <c r="AH246" s="448"/>
      <c r="AI246" s="448"/>
      <c r="AJ246" s="448"/>
      <c r="AK246" s="448"/>
      <c r="AL246" s="448"/>
      <c r="AM246" s="448"/>
      <c r="AN246" s="448"/>
      <c r="AO246" s="448"/>
      <c r="AP246" s="448"/>
      <c r="AQ246" s="448"/>
      <c r="AR246" s="448"/>
      <c r="AS246" s="448"/>
      <c r="AT246" s="448"/>
      <c r="AU246" s="448"/>
      <c r="AV246" s="448"/>
      <c r="AW246" s="448"/>
      <c r="AX246" s="448"/>
      <c r="AY246" s="448"/>
      <c r="AZ246" s="448"/>
      <c r="BA246" s="448"/>
    </row>
    <row r="247" spans="1:53" ht="12.75" x14ac:dyDescent="0.2">
      <c r="A247" s="544">
        <f>DarstellerInnen!B38</f>
        <v>0</v>
      </c>
      <c r="B247" s="744">
        <f>DarstellerInnen!D38</f>
        <v>0</v>
      </c>
      <c r="C247" s="546">
        <f>DarstellerInnen!G38</f>
        <v>0</v>
      </c>
      <c r="D247" s="448"/>
      <c r="E247" s="588"/>
      <c r="F247" s="588"/>
      <c r="G247" s="588"/>
      <c r="H247" s="471">
        <f t="shared" si="27"/>
        <v>0</v>
      </c>
      <c r="I247" s="588"/>
      <c r="J247" s="588"/>
      <c r="K247" s="471">
        <f t="shared" si="28"/>
        <v>0</v>
      </c>
      <c r="L247" s="588"/>
      <c r="M247" s="588"/>
      <c r="N247" s="588"/>
      <c r="O247" s="588"/>
      <c r="P247" s="588"/>
      <c r="Q247" s="588"/>
      <c r="R247" s="588"/>
      <c r="S247" s="588"/>
      <c r="T247" s="588"/>
      <c r="U247" s="471">
        <f t="shared" si="30"/>
        <v>0</v>
      </c>
      <c r="V247" s="448"/>
      <c r="W247" s="1317"/>
      <c r="X247" s="1317"/>
      <c r="Y247" s="1317"/>
      <c r="Z247" s="1317"/>
      <c r="AA247" s="1317"/>
      <c r="AB247" s="1317"/>
      <c r="AC247" s="1317"/>
      <c r="AD247" s="1317"/>
      <c r="AE247" s="1317"/>
      <c r="AF247" s="1317"/>
      <c r="AG247" s="448"/>
      <c r="AH247" s="448"/>
      <c r="AI247" s="448"/>
      <c r="AJ247" s="448"/>
      <c r="AK247" s="448"/>
      <c r="AL247" s="448"/>
      <c r="AM247" s="448"/>
      <c r="AN247" s="448"/>
      <c r="AO247" s="448"/>
      <c r="AP247" s="448"/>
      <c r="AQ247" s="448"/>
      <c r="AR247" s="448"/>
      <c r="AS247" s="448"/>
      <c r="AT247" s="448"/>
      <c r="AU247" s="448"/>
      <c r="AV247" s="448"/>
      <c r="AW247" s="448"/>
      <c r="AX247" s="448"/>
      <c r="AY247" s="448"/>
      <c r="AZ247" s="448"/>
      <c r="BA247" s="448"/>
    </row>
    <row r="248" spans="1:53" ht="12.75" x14ac:dyDescent="0.2">
      <c r="A248" s="544">
        <f>DarstellerInnen!B39</f>
        <v>0</v>
      </c>
      <c r="B248" s="744">
        <f>DarstellerInnen!D39</f>
        <v>0</v>
      </c>
      <c r="C248" s="546">
        <f>DarstellerInnen!G39</f>
        <v>0</v>
      </c>
      <c r="D248" s="448"/>
      <c r="E248" s="588"/>
      <c r="F248" s="588"/>
      <c r="G248" s="588"/>
      <c r="H248" s="471">
        <f t="shared" si="27"/>
        <v>0</v>
      </c>
      <c r="I248" s="588"/>
      <c r="J248" s="588"/>
      <c r="K248" s="471">
        <f t="shared" si="28"/>
        <v>0</v>
      </c>
      <c r="L248" s="588"/>
      <c r="M248" s="588"/>
      <c r="N248" s="588"/>
      <c r="O248" s="588"/>
      <c r="P248" s="588"/>
      <c r="Q248" s="588"/>
      <c r="R248" s="588"/>
      <c r="S248" s="588"/>
      <c r="T248" s="588"/>
      <c r="U248" s="471">
        <f t="shared" si="30"/>
        <v>0</v>
      </c>
      <c r="V248" s="448"/>
      <c r="W248" s="1317"/>
      <c r="X248" s="1317"/>
      <c r="Y248" s="1317"/>
      <c r="Z248" s="1317"/>
      <c r="AA248" s="1317"/>
      <c r="AB248" s="1317"/>
      <c r="AC248" s="1317"/>
      <c r="AD248" s="1317"/>
      <c r="AE248" s="1317"/>
      <c r="AF248" s="1317"/>
      <c r="AG248" s="448"/>
      <c r="AH248" s="448"/>
      <c r="AI248" s="448"/>
      <c r="AJ248" s="448"/>
      <c r="AK248" s="448"/>
      <c r="AL248" s="448"/>
      <c r="AM248" s="448"/>
      <c r="AN248" s="448"/>
      <c r="AO248" s="448"/>
      <c r="AP248" s="448"/>
      <c r="AQ248" s="448"/>
      <c r="AR248" s="448"/>
      <c r="AS248" s="448"/>
      <c r="AT248" s="448"/>
      <c r="AU248" s="448"/>
      <c r="AV248" s="448"/>
      <c r="AW248" s="448"/>
      <c r="AX248" s="448"/>
      <c r="AY248" s="448"/>
      <c r="AZ248" s="448"/>
      <c r="BA248" s="448"/>
    </row>
    <row r="249" spans="1:53" ht="12.75" x14ac:dyDescent="0.2">
      <c r="A249" s="544">
        <f>DarstellerInnen!B40</f>
        <v>0</v>
      </c>
      <c r="B249" s="744">
        <f>DarstellerInnen!D40</f>
        <v>0</v>
      </c>
      <c r="C249" s="546">
        <f>DarstellerInnen!G40</f>
        <v>0</v>
      </c>
      <c r="D249" s="448"/>
      <c r="E249" s="588"/>
      <c r="F249" s="588"/>
      <c r="G249" s="588"/>
      <c r="H249" s="471">
        <f t="shared" si="27"/>
        <v>0</v>
      </c>
      <c r="I249" s="588"/>
      <c r="J249" s="588"/>
      <c r="K249" s="471">
        <f t="shared" si="28"/>
        <v>0</v>
      </c>
      <c r="L249" s="588"/>
      <c r="M249" s="588"/>
      <c r="N249" s="588"/>
      <c r="O249" s="588"/>
      <c r="P249" s="588"/>
      <c r="Q249" s="588"/>
      <c r="R249" s="588"/>
      <c r="S249" s="588"/>
      <c r="T249" s="588"/>
      <c r="U249" s="471">
        <f t="shared" si="30"/>
        <v>0</v>
      </c>
      <c r="V249" s="448"/>
      <c r="W249" s="1317"/>
      <c r="X249" s="1317"/>
      <c r="Y249" s="1317"/>
      <c r="Z249" s="1317"/>
      <c r="AA249" s="1317"/>
      <c r="AB249" s="1317"/>
      <c r="AC249" s="1317"/>
      <c r="AD249" s="1317"/>
      <c r="AE249" s="1317"/>
      <c r="AF249" s="1317"/>
      <c r="AG249" s="448"/>
      <c r="AH249" s="448"/>
      <c r="AI249" s="448"/>
      <c r="AJ249" s="448"/>
      <c r="AK249" s="448"/>
      <c r="AL249" s="448"/>
      <c r="AM249" s="448"/>
      <c r="AN249" s="448"/>
      <c r="AO249" s="448"/>
      <c r="AP249" s="448"/>
      <c r="AQ249" s="448"/>
      <c r="AR249" s="448"/>
      <c r="AS249" s="448"/>
      <c r="AT249" s="448"/>
      <c r="AU249" s="448"/>
      <c r="AV249" s="448"/>
      <c r="AW249" s="448"/>
      <c r="AX249" s="448"/>
      <c r="AY249" s="448"/>
      <c r="AZ249" s="448"/>
      <c r="BA249" s="448"/>
    </row>
    <row r="250" spans="1:53" ht="12.75" x14ac:dyDescent="0.2">
      <c r="A250" s="544">
        <f>DarstellerInnen!B41</f>
        <v>0</v>
      </c>
      <c r="B250" s="744">
        <f>DarstellerInnen!D41</f>
        <v>0</v>
      </c>
      <c r="C250" s="546">
        <f>DarstellerInnen!G41</f>
        <v>0</v>
      </c>
      <c r="D250" s="448"/>
      <c r="E250" s="588"/>
      <c r="F250" s="588"/>
      <c r="G250" s="588"/>
      <c r="H250" s="471">
        <f t="shared" si="27"/>
        <v>0</v>
      </c>
      <c r="I250" s="588"/>
      <c r="J250" s="588"/>
      <c r="K250" s="471">
        <f t="shared" si="28"/>
        <v>0</v>
      </c>
      <c r="L250" s="588"/>
      <c r="M250" s="588"/>
      <c r="N250" s="588"/>
      <c r="O250" s="588"/>
      <c r="P250" s="588"/>
      <c r="Q250" s="588"/>
      <c r="R250" s="588"/>
      <c r="S250" s="588"/>
      <c r="T250" s="588"/>
      <c r="U250" s="471">
        <f t="shared" si="30"/>
        <v>0</v>
      </c>
      <c r="V250" s="448"/>
      <c r="W250" s="1317"/>
      <c r="X250" s="1317"/>
      <c r="Y250" s="1317"/>
      <c r="Z250" s="1317"/>
      <c r="AA250" s="1317"/>
      <c r="AB250" s="1317"/>
      <c r="AC250" s="1317"/>
      <c r="AD250" s="1317"/>
      <c r="AE250" s="1317"/>
      <c r="AF250" s="1317"/>
      <c r="AG250" s="448"/>
      <c r="AH250" s="448"/>
      <c r="AI250" s="448"/>
      <c r="AJ250" s="448"/>
      <c r="AK250" s="448"/>
      <c r="AL250" s="448"/>
      <c r="AM250" s="448"/>
      <c r="AN250" s="448"/>
      <c r="AO250" s="448"/>
      <c r="AP250" s="448"/>
      <c r="AQ250" s="448"/>
      <c r="AR250" s="448"/>
      <c r="AS250" s="448"/>
      <c r="AT250" s="448"/>
      <c r="AU250" s="448"/>
      <c r="AV250" s="448"/>
      <c r="AW250" s="448"/>
      <c r="AX250" s="448"/>
      <c r="AY250" s="448"/>
      <c r="AZ250" s="448"/>
      <c r="BA250" s="448"/>
    </row>
    <row r="251" spans="1:53" ht="12.75" x14ac:dyDescent="0.2">
      <c r="A251" s="544">
        <f>DarstellerInnen!B42</f>
        <v>0</v>
      </c>
      <c r="B251" s="744">
        <f>DarstellerInnen!D42</f>
        <v>0</v>
      </c>
      <c r="C251" s="546">
        <f>DarstellerInnen!G42</f>
        <v>0</v>
      </c>
      <c r="D251" s="448"/>
      <c r="E251" s="588"/>
      <c r="F251" s="588"/>
      <c r="G251" s="588"/>
      <c r="H251" s="471">
        <f t="shared" si="27"/>
        <v>0</v>
      </c>
      <c r="I251" s="588"/>
      <c r="J251" s="588"/>
      <c r="K251" s="471">
        <f t="shared" si="28"/>
        <v>0</v>
      </c>
      <c r="L251" s="588"/>
      <c r="M251" s="588"/>
      <c r="N251" s="588"/>
      <c r="O251" s="588"/>
      <c r="P251" s="588"/>
      <c r="Q251" s="588"/>
      <c r="R251" s="588"/>
      <c r="S251" s="588"/>
      <c r="T251" s="588"/>
      <c r="U251" s="471">
        <f t="shared" si="30"/>
        <v>0</v>
      </c>
      <c r="V251" s="448"/>
      <c r="W251" s="1317"/>
      <c r="X251" s="1317"/>
      <c r="Y251" s="1317"/>
      <c r="Z251" s="1317"/>
      <c r="AA251" s="1317"/>
      <c r="AB251" s="1317"/>
      <c r="AC251" s="1317"/>
      <c r="AD251" s="1317"/>
      <c r="AE251" s="1317"/>
      <c r="AF251" s="1317"/>
      <c r="AG251" s="448"/>
      <c r="AH251" s="448"/>
      <c r="AI251" s="448"/>
      <c r="AJ251" s="448"/>
      <c r="AK251" s="448"/>
      <c r="AL251" s="448"/>
      <c r="AM251" s="448"/>
      <c r="AN251" s="448"/>
      <c r="AO251" s="448"/>
      <c r="AP251" s="448"/>
      <c r="AQ251" s="448"/>
      <c r="AR251" s="448"/>
      <c r="AS251" s="448"/>
      <c r="AT251" s="448"/>
      <c r="AU251" s="448"/>
      <c r="AV251" s="448"/>
      <c r="AW251" s="448"/>
      <c r="AX251" s="448"/>
      <c r="AY251" s="448"/>
      <c r="AZ251" s="448"/>
      <c r="BA251" s="448"/>
    </row>
    <row r="252" spans="1:53" ht="12.75" x14ac:dyDescent="0.2">
      <c r="A252" s="544">
        <f>DarstellerInnen!B43</f>
        <v>0</v>
      </c>
      <c r="B252" s="744">
        <f>DarstellerInnen!D43</f>
        <v>0</v>
      </c>
      <c r="C252" s="546">
        <f>DarstellerInnen!G43</f>
        <v>0</v>
      </c>
      <c r="D252" s="448"/>
      <c r="E252" s="588"/>
      <c r="F252" s="588"/>
      <c r="G252" s="588"/>
      <c r="H252" s="471">
        <f t="shared" si="27"/>
        <v>0</v>
      </c>
      <c r="I252" s="588"/>
      <c r="J252" s="588"/>
      <c r="K252" s="471">
        <f t="shared" si="28"/>
        <v>0</v>
      </c>
      <c r="L252" s="588"/>
      <c r="M252" s="588"/>
      <c r="N252" s="588"/>
      <c r="O252" s="588"/>
      <c r="P252" s="588"/>
      <c r="Q252" s="588"/>
      <c r="R252" s="588"/>
      <c r="S252" s="588"/>
      <c r="T252" s="588"/>
      <c r="U252" s="471">
        <f t="shared" si="30"/>
        <v>0</v>
      </c>
      <c r="V252" s="448"/>
      <c r="W252" s="1317"/>
      <c r="X252" s="1317"/>
      <c r="Y252" s="1317"/>
      <c r="Z252" s="1317"/>
      <c r="AA252" s="1317"/>
      <c r="AB252" s="1317"/>
      <c r="AC252" s="1317"/>
      <c r="AD252" s="1317"/>
      <c r="AE252" s="1317"/>
      <c r="AF252" s="1317"/>
      <c r="AG252" s="448"/>
      <c r="AH252" s="448"/>
      <c r="AI252" s="448"/>
      <c r="AJ252" s="448"/>
      <c r="AK252" s="448"/>
      <c r="AL252" s="448"/>
      <c r="AM252" s="448"/>
      <c r="AN252" s="448"/>
      <c r="AO252" s="448"/>
      <c r="AP252" s="448"/>
      <c r="AQ252" s="448"/>
      <c r="AR252" s="448"/>
      <c r="AS252" s="448"/>
      <c r="AT252" s="448"/>
      <c r="AU252" s="448"/>
      <c r="AV252" s="448"/>
      <c r="AW252" s="448"/>
      <c r="AX252" s="448"/>
      <c r="AY252" s="448"/>
      <c r="AZ252" s="448"/>
      <c r="BA252" s="448"/>
    </row>
    <row r="253" spans="1:53" ht="12.75" x14ac:dyDescent="0.2">
      <c r="A253" s="544">
        <f>DarstellerInnen!B44</f>
        <v>0</v>
      </c>
      <c r="B253" s="744">
        <f>DarstellerInnen!D44</f>
        <v>0</v>
      </c>
      <c r="C253" s="546">
        <f>DarstellerInnen!G44</f>
        <v>0</v>
      </c>
      <c r="D253" s="448"/>
      <c r="E253" s="588"/>
      <c r="F253" s="588"/>
      <c r="G253" s="588"/>
      <c r="H253" s="471">
        <f t="shared" si="27"/>
        <v>0</v>
      </c>
      <c r="I253" s="588"/>
      <c r="J253" s="588"/>
      <c r="K253" s="471">
        <f t="shared" si="28"/>
        <v>0</v>
      </c>
      <c r="L253" s="588"/>
      <c r="M253" s="588"/>
      <c r="N253" s="588"/>
      <c r="O253" s="588"/>
      <c r="P253" s="588"/>
      <c r="Q253" s="588"/>
      <c r="R253" s="588"/>
      <c r="S253" s="588"/>
      <c r="T253" s="588"/>
      <c r="U253" s="471">
        <f t="shared" si="30"/>
        <v>0</v>
      </c>
      <c r="V253" s="448"/>
      <c r="W253" s="1317"/>
      <c r="X253" s="1317"/>
      <c r="Y253" s="1317"/>
      <c r="Z253" s="1317"/>
      <c r="AA253" s="1317"/>
      <c r="AB253" s="1317"/>
      <c r="AC253" s="1317"/>
      <c r="AD253" s="1317"/>
      <c r="AE253" s="1317"/>
      <c r="AF253" s="1317"/>
      <c r="AG253" s="448"/>
      <c r="AH253" s="448"/>
      <c r="AI253" s="448"/>
      <c r="AJ253" s="448"/>
      <c r="AK253" s="448"/>
      <c r="AL253" s="448"/>
      <c r="AM253" s="448"/>
      <c r="AN253" s="448"/>
      <c r="AO253" s="448"/>
      <c r="AP253" s="448"/>
      <c r="AQ253" s="448"/>
      <c r="AR253" s="448"/>
      <c r="AS253" s="448"/>
      <c r="AT253" s="448"/>
      <c r="AU253" s="448"/>
      <c r="AV253" s="448"/>
      <c r="AW253" s="448"/>
      <c r="AX253" s="448"/>
      <c r="AY253" s="448"/>
      <c r="AZ253" s="448"/>
      <c r="BA253" s="448"/>
    </row>
    <row r="254" spans="1:53" ht="12.75" x14ac:dyDescent="0.2">
      <c r="A254" s="544">
        <f>DarstellerInnen!B45</f>
        <v>0</v>
      </c>
      <c r="B254" s="744">
        <f>DarstellerInnen!D45</f>
        <v>0</v>
      </c>
      <c r="C254" s="546">
        <f>DarstellerInnen!G45</f>
        <v>0</v>
      </c>
      <c r="D254" s="448"/>
      <c r="E254" s="588"/>
      <c r="F254" s="588"/>
      <c r="G254" s="588"/>
      <c r="H254" s="471">
        <f t="shared" si="27"/>
        <v>0</v>
      </c>
      <c r="I254" s="588"/>
      <c r="J254" s="588"/>
      <c r="K254" s="471">
        <f t="shared" si="28"/>
        <v>0</v>
      </c>
      <c r="L254" s="588"/>
      <c r="M254" s="588"/>
      <c r="N254" s="588"/>
      <c r="O254" s="588"/>
      <c r="P254" s="588"/>
      <c r="Q254" s="588"/>
      <c r="R254" s="588"/>
      <c r="S254" s="588"/>
      <c r="T254" s="588"/>
      <c r="U254" s="471">
        <f t="shared" si="30"/>
        <v>0</v>
      </c>
      <c r="V254" s="448"/>
      <c r="W254" s="1317"/>
      <c r="X254" s="1317"/>
      <c r="Y254" s="1317"/>
      <c r="Z254" s="1317"/>
      <c r="AA254" s="1317"/>
      <c r="AB254" s="1317"/>
      <c r="AC254" s="1317"/>
      <c r="AD254" s="1317"/>
      <c r="AE254" s="1317"/>
      <c r="AF254" s="1317"/>
      <c r="AG254" s="448"/>
      <c r="AH254" s="448"/>
      <c r="AI254" s="448"/>
      <c r="AJ254" s="448"/>
      <c r="AK254" s="448"/>
      <c r="AL254" s="448"/>
      <c r="AM254" s="448"/>
      <c r="AN254" s="448"/>
      <c r="AO254" s="448"/>
      <c r="AP254" s="448"/>
      <c r="AQ254" s="448"/>
      <c r="AR254" s="448"/>
      <c r="AS254" s="448"/>
      <c r="AT254" s="448"/>
      <c r="AU254" s="448"/>
      <c r="AV254" s="448"/>
      <c r="AW254" s="448"/>
      <c r="AX254" s="448"/>
      <c r="AY254" s="448"/>
      <c r="AZ254" s="448"/>
      <c r="BA254" s="448"/>
    </row>
    <row r="255" spans="1:53" ht="12.75" x14ac:dyDescent="0.2">
      <c r="A255" s="544">
        <f>DarstellerInnen!B46</f>
        <v>0</v>
      </c>
      <c r="B255" s="744">
        <f>DarstellerInnen!D46</f>
        <v>0</v>
      </c>
      <c r="C255" s="546">
        <f>DarstellerInnen!G46</f>
        <v>0</v>
      </c>
      <c r="D255" s="448"/>
      <c r="E255" s="588"/>
      <c r="F255" s="588"/>
      <c r="G255" s="588"/>
      <c r="H255" s="471">
        <f t="shared" si="27"/>
        <v>0</v>
      </c>
      <c r="I255" s="588"/>
      <c r="J255" s="588"/>
      <c r="K255" s="471">
        <f t="shared" si="28"/>
        <v>0</v>
      </c>
      <c r="L255" s="588"/>
      <c r="M255" s="588"/>
      <c r="N255" s="588"/>
      <c r="O255" s="588"/>
      <c r="P255" s="588"/>
      <c r="Q255" s="588"/>
      <c r="R255" s="588"/>
      <c r="S255" s="588"/>
      <c r="T255" s="588"/>
      <c r="U255" s="471">
        <f t="shared" si="30"/>
        <v>0</v>
      </c>
      <c r="V255" s="448"/>
      <c r="W255" s="1317"/>
      <c r="X255" s="1317"/>
      <c r="Y255" s="1317"/>
      <c r="Z255" s="1317"/>
      <c r="AA255" s="1317"/>
      <c r="AB255" s="1317"/>
      <c r="AC255" s="1317"/>
      <c r="AD255" s="1317"/>
      <c r="AE255" s="1317"/>
      <c r="AF255" s="1317"/>
      <c r="AG255" s="448"/>
      <c r="AH255" s="448"/>
      <c r="AI255" s="448"/>
      <c r="AJ255" s="448"/>
      <c r="AK255" s="448"/>
      <c r="AL255" s="448"/>
      <c r="AM255" s="448"/>
      <c r="AN255" s="448"/>
      <c r="AO255" s="448"/>
      <c r="AP255" s="448"/>
      <c r="AQ255" s="448"/>
      <c r="AR255" s="448"/>
      <c r="AS255" s="448"/>
      <c r="AT255" s="448"/>
      <c r="AU255" s="448"/>
      <c r="AV255" s="448"/>
      <c r="AW255" s="448"/>
      <c r="AX255" s="448"/>
      <c r="AY255" s="448"/>
      <c r="AZ255" s="448"/>
      <c r="BA255" s="448"/>
    </row>
    <row r="256" spans="1:53" ht="12.75" x14ac:dyDescent="0.2">
      <c r="A256" s="544">
        <f>DarstellerInnen!B47</f>
        <v>0</v>
      </c>
      <c r="B256" s="744">
        <f>DarstellerInnen!D47</f>
        <v>0</v>
      </c>
      <c r="C256" s="546">
        <f>DarstellerInnen!G47</f>
        <v>0</v>
      </c>
      <c r="D256" s="448"/>
      <c r="E256" s="588"/>
      <c r="F256" s="588"/>
      <c r="G256" s="588"/>
      <c r="H256" s="471">
        <f t="shared" si="27"/>
        <v>0</v>
      </c>
      <c r="I256" s="588"/>
      <c r="J256" s="588"/>
      <c r="K256" s="471">
        <f t="shared" si="28"/>
        <v>0</v>
      </c>
      <c r="L256" s="588"/>
      <c r="M256" s="588"/>
      <c r="N256" s="588"/>
      <c r="O256" s="588"/>
      <c r="P256" s="588"/>
      <c r="Q256" s="588"/>
      <c r="R256" s="588"/>
      <c r="S256" s="588"/>
      <c r="T256" s="588"/>
      <c r="U256" s="471">
        <f t="shared" si="30"/>
        <v>0</v>
      </c>
      <c r="V256" s="448"/>
      <c r="W256" s="1317"/>
      <c r="X256" s="1317"/>
      <c r="Y256" s="1317"/>
      <c r="Z256" s="1317"/>
      <c r="AA256" s="1317"/>
      <c r="AB256" s="1317"/>
      <c r="AC256" s="1317"/>
      <c r="AD256" s="1317"/>
      <c r="AE256" s="1317"/>
      <c r="AF256" s="1317"/>
      <c r="AG256" s="448"/>
      <c r="AH256" s="448"/>
      <c r="AI256" s="448"/>
      <c r="AJ256" s="448"/>
      <c r="AK256" s="448"/>
      <c r="AL256" s="448"/>
      <c r="AM256" s="448"/>
      <c r="AN256" s="448"/>
      <c r="AO256" s="448"/>
      <c r="AP256" s="448"/>
      <c r="AQ256" s="448"/>
      <c r="AR256" s="448"/>
      <c r="AS256" s="448"/>
      <c r="AT256" s="448"/>
      <c r="AU256" s="448"/>
      <c r="AV256" s="448"/>
      <c r="AW256" s="448"/>
      <c r="AX256" s="448"/>
      <c r="AY256" s="448"/>
      <c r="AZ256" s="448"/>
      <c r="BA256" s="448"/>
    </row>
    <row r="257" spans="1:53" ht="12.75" x14ac:dyDescent="0.2">
      <c r="A257" s="544">
        <f>DarstellerInnen!B48</f>
        <v>0</v>
      </c>
      <c r="B257" s="744">
        <f>DarstellerInnen!D48</f>
        <v>0</v>
      </c>
      <c r="C257" s="546">
        <f>DarstellerInnen!G48</f>
        <v>0</v>
      </c>
      <c r="D257" s="448"/>
      <c r="E257" s="588"/>
      <c r="F257" s="588"/>
      <c r="G257" s="588"/>
      <c r="H257" s="471">
        <f t="shared" si="27"/>
        <v>0</v>
      </c>
      <c r="I257" s="588"/>
      <c r="J257" s="588"/>
      <c r="K257" s="471">
        <f t="shared" si="28"/>
        <v>0</v>
      </c>
      <c r="L257" s="588"/>
      <c r="M257" s="588"/>
      <c r="N257" s="588"/>
      <c r="O257" s="588"/>
      <c r="P257" s="588"/>
      <c r="Q257" s="588"/>
      <c r="R257" s="588"/>
      <c r="S257" s="588"/>
      <c r="T257" s="588"/>
      <c r="U257" s="471">
        <f t="shared" si="30"/>
        <v>0</v>
      </c>
      <c r="V257" s="448"/>
      <c r="W257" s="1317"/>
      <c r="X257" s="1317"/>
      <c r="Y257" s="1317"/>
      <c r="Z257" s="1317"/>
      <c r="AA257" s="1317"/>
      <c r="AB257" s="1317"/>
      <c r="AC257" s="1317"/>
      <c r="AD257" s="1317"/>
      <c r="AE257" s="1317"/>
      <c r="AF257" s="1317"/>
      <c r="AG257" s="448"/>
      <c r="AH257" s="448"/>
      <c r="AI257" s="448"/>
      <c r="AJ257" s="448"/>
      <c r="AK257" s="448"/>
      <c r="AL257" s="448"/>
      <c r="AM257" s="448"/>
      <c r="AN257" s="448"/>
      <c r="AO257" s="448"/>
      <c r="AP257" s="448"/>
      <c r="AQ257" s="448"/>
      <c r="AR257" s="448"/>
      <c r="AS257" s="448"/>
      <c r="AT257" s="448"/>
      <c r="AU257" s="448"/>
      <c r="AV257" s="448"/>
      <c r="AW257" s="448"/>
      <c r="AX257" s="448"/>
      <c r="AY257" s="448"/>
      <c r="AZ257" s="448"/>
      <c r="BA257" s="448"/>
    </row>
    <row r="258" spans="1:53" ht="12.75" x14ac:dyDescent="0.2">
      <c r="A258" s="544">
        <f>DarstellerInnen!B49</f>
        <v>0</v>
      </c>
      <c r="B258" s="744">
        <f>DarstellerInnen!D49</f>
        <v>0</v>
      </c>
      <c r="C258" s="546">
        <f>DarstellerInnen!G49</f>
        <v>0</v>
      </c>
      <c r="D258" s="448"/>
      <c r="E258" s="588"/>
      <c r="F258" s="588"/>
      <c r="G258" s="588"/>
      <c r="H258" s="471">
        <f t="shared" si="27"/>
        <v>0</v>
      </c>
      <c r="I258" s="588"/>
      <c r="J258" s="588"/>
      <c r="K258" s="471">
        <f t="shared" si="28"/>
        <v>0</v>
      </c>
      <c r="L258" s="588"/>
      <c r="M258" s="588"/>
      <c r="N258" s="588"/>
      <c r="O258" s="588"/>
      <c r="P258" s="588"/>
      <c r="Q258" s="588"/>
      <c r="R258" s="588"/>
      <c r="S258" s="588"/>
      <c r="T258" s="588"/>
      <c r="U258" s="471">
        <f t="shared" si="30"/>
        <v>0</v>
      </c>
      <c r="V258" s="448"/>
      <c r="W258" s="1317"/>
      <c r="X258" s="1317"/>
      <c r="Y258" s="1317"/>
      <c r="Z258" s="1317"/>
      <c r="AA258" s="1317"/>
      <c r="AB258" s="1317"/>
      <c r="AC258" s="1317"/>
      <c r="AD258" s="1317"/>
      <c r="AE258" s="1317"/>
      <c r="AF258" s="1317"/>
      <c r="AG258" s="448"/>
      <c r="AH258" s="448"/>
      <c r="AI258" s="448"/>
      <c r="AJ258" s="448"/>
      <c r="AK258" s="448"/>
      <c r="AL258" s="448"/>
      <c r="AM258" s="448"/>
      <c r="AN258" s="448"/>
      <c r="AO258" s="448"/>
      <c r="AP258" s="448"/>
      <c r="AQ258" s="448"/>
      <c r="AR258" s="448"/>
      <c r="AS258" s="448"/>
      <c r="AT258" s="448"/>
      <c r="AU258" s="448"/>
      <c r="AV258" s="448"/>
      <c r="AW258" s="448"/>
      <c r="AX258" s="448"/>
      <c r="AY258" s="448"/>
      <c r="AZ258" s="448"/>
      <c r="BA258" s="448"/>
    </row>
    <row r="259" spans="1:53" ht="12.75" x14ac:dyDescent="0.2">
      <c r="A259" s="544">
        <f>DarstellerInnen!B50</f>
        <v>0</v>
      </c>
      <c r="B259" s="744">
        <f>DarstellerInnen!D50</f>
        <v>0</v>
      </c>
      <c r="C259" s="546">
        <f>DarstellerInnen!G50</f>
        <v>0</v>
      </c>
      <c r="D259" s="448"/>
      <c r="E259" s="588"/>
      <c r="F259" s="588"/>
      <c r="G259" s="588"/>
      <c r="H259" s="471">
        <f t="shared" si="27"/>
        <v>0</v>
      </c>
      <c r="I259" s="588"/>
      <c r="J259" s="588"/>
      <c r="K259" s="471">
        <f t="shared" si="28"/>
        <v>0</v>
      </c>
      <c r="L259" s="588"/>
      <c r="M259" s="588"/>
      <c r="N259" s="588"/>
      <c r="O259" s="588"/>
      <c r="P259" s="588"/>
      <c r="Q259" s="588"/>
      <c r="R259" s="588"/>
      <c r="S259" s="588"/>
      <c r="T259" s="588"/>
      <c r="U259" s="471">
        <f t="shared" si="30"/>
        <v>0</v>
      </c>
      <c r="V259" s="448"/>
      <c r="W259" s="1317"/>
      <c r="X259" s="1317"/>
      <c r="Y259" s="1317"/>
      <c r="Z259" s="1317"/>
      <c r="AA259" s="1317"/>
      <c r="AB259" s="1317"/>
      <c r="AC259" s="1317"/>
      <c r="AD259" s="1317"/>
      <c r="AE259" s="1317"/>
      <c r="AF259" s="1317"/>
      <c r="AG259" s="448"/>
      <c r="AH259" s="448"/>
      <c r="AI259" s="448"/>
      <c r="AJ259" s="448"/>
      <c r="AK259" s="448"/>
      <c r="AL259" s="448"/>
      <c r="AM259" s="448"/>
      <c r="AN259" s="448"/>
      <c r="AO259" s="448"/>
      <c r="AP259" s="448"/>
      <c r="AQ259" s="448"/>
      <c r="AR259" s="448"/>
      <c r="AS259" s="448"/>
      <c r="AT259" s="448"/>
      <c r="AU259" s="448"/>
      <c r="AV259" s="448"/>
      <c r="AW259" s="448"/>
      <c r="AX259" s="448"/>
      <c r="AY259" s="448"/>
      <c r="AZ259" s="448"/>
      <c r="BA259" s="448"/>
    </row>
    <row r="260" spans="1:53" ht="12.75" x14ac:dyDescent="0.2">
      <c r="A260" s="544">
        <f>DarstellerInnen!B51</f>
        <v>0</v>
      </c>
      <c r="B260" s="744">
        <f>DarstellerInnen!D51</f>
        <v>0</v>
      </c>
      <c r="C260" s="546">
        <f>DarstellerInnen!G51</f>
        <v>0</v>
      </c>
      <c r="D260" s="448"/>
      <c r="E260" s="588"/>
      <c r="F260" s="588"/>
      <c r="G260" s="588"/>
      <c r="H260" s="471">
        <f t="shared" si="27"/>
        <v>0</v>
      </c>
      <c r="I260" s="588"/>
      <c r="J260" s="588"/>
      <c r="K260" s="471">
        <f t="shared" si="28"/>
        <v>0</v>
      </c>
      <c r="L260" s="588"/>
      <c r="M260" s="588"/>
      <c r="N260" s="588"/>
      <c r="O260" s="588"/>
      <c r="P260" s="588"/>
      <c r="Q260" s="588"/>
      <c r="R260" s="588"/>
      <c r="S260" s="588"/>
      <c r="T260" s="588"/>
      <c r="U260" s="471">
        <f t="shared" si="30"/>
        <v>0</v>
      </c>
      <c r="V260" s="448"/>
      <c r="W260" s="1317"/>
      <c r="X260" s="1317"/>
      <c r="Y260" s="1317"/>
      <c r="Z260" s="1317"/>
      <c r="AA260" s="1317"/>
      <c r="AB260" s="1317"/>
      <c r="AC260" s="1317"/>
      <c r="AD260" s="1317"/>
      <c r="AE260" s="1317"/>
      <c r="AF260" s="1317"/>
      <c r="AG260" s="448"/>
      <c r="AH260" s="448"/>
      <c r="AI260" s="448"/>
      <c r="AJ260" s="448"/>
      <c r="AK260" s="448"/>
      <c r="AL260" s="448"/>
      <c r="AM260" s="448"/>
      <c r="AN260" s="448"/>
      <c r="AO260" s="448"/>
      <c r="AP260" s="448"/>
      <c r="AQ260" s="448"/>
      <c r="AR260" s="448"/>
      <c r="AS260" s="448"/>
      <c r="AT260" s="448"/>
      <c r="AU260" s="448"/>
      <c r="AV260" s="448"/>
      <c r="AW260" s="448"/>
      <c r="AX260" s="448"/>
      <c r="AY260" s="448"/>
      <c r="AZ260" s="448"/>
      <c r="BA260" s="448"/>
    </row>
    <row r="261" spans="1:53" ht="12.75" x14ac:dyDescent="0.2">
      <c r="A261" s="544">
        <f>DarstellerInnen!B52</f>
        <v>0</v>
      </c>
      <c r="B261" s="744">
        <f>DarstellerInnen!D52</f>
        <v>0</v>
      </c>
      <c r="C261" s="546">
        <f>DarstellerInnen!G52</f>
        <v>0</v>
      </c>
      <c r="D261" s="448"/>
      <c r="E261" s="588"/>
      <c r="F261" s="588"/>
      <c r="G261" s="588"/>
      <c r="H261" s="471">
        <f t="shared" si="27"/>
        <v>0</v>
      </c>
      <c r="I261" s="588"/>
      <c r="J261" s="588"/>
      <c r="K261" s="471">
        <f t="shared" si="28"/>
        <v>0</v>
      </c>
      <c r="L261" s="588"/>
      <c r="M261" s="588"/>
      <c r="N261" s="588"/>
      <c r="O261" s="588"/>
      <c r="P261" s="588"/>
      <c r="Q261" s="588"/>
      <c r="R261" s="588"/>
      <c r="S261" s="588"/>
      <c r="T261" s="588"/>
      <c r="U261" s="471">
        <f t="shared" si="30"/>
        <v>0</v>
      </c>
      <c r="V261" s="448"/>
      <c r="W261" s="1317"/>
      <c r="X261" s="1317"/>
      <c r="Y261" s="1317"/>
      <c r="Z261" s="1317"/>
      <c r="AA261" s="1317"/>
      <c r="AB261" s="1317"/>
      <c r="AC261" s="1317"/>
      <c r="AD261" s="1317"/>
      <c r="AE261" s="1317"/>
      <c r="AF261" s="1317"/>
      <c r="AG261" s="448"/>
      <c r="AH261" s="448"/>
      <c r="AI261" s="448"/>
      <c r="AJ261" s="448"/>
      <c r="AK261" s="448"/>
      <c r="AL261" s="448"/>
      <c r="AM261" s="448"/>
      <c r="AN261" s="448"/>
      <c r="AO261" s="448"/>
      <c r="AP261" s="448"/>
      <c r="AQ261" s="448"/>
      <c r="AR261" s="448"/>
      <c r="AS261" s="448"/>
      <c r="AT261" s="448"/>
      <c r="AU261" s="448"/>
      <c r="AV261" s="448"/>
      <c r="AW261" s="448"/>
      <c r="AX261" s="448"/>
      <c r="AY261" s="448"/>
      <c r="AZ261" s="448"/>
      <c r="BA261" s="448"/>
    </row>
    <row r="262" spans="1:53" ht="12.75" x14ac:dyDescent="0.2">
      <c r="A262" s="544">
        <f>DarstellerInnen!B53</f>
        <v>0</v>
      </c>
      <c r="B262" s="744">
        <f>DarstellerInnen!D53</f>
        <v>0</v>
      </c>
      <c r="C262" s="546">
        <f>DarstellerInnen!G53</f>
        <v>0</v>
      </c>
      <c r="D262" s="448"/>
      <c r="E262" s="588"/>
      <c r="F262" s="588"/>
      <c r="G262" s="588"/>
      <c r="H262" s="471">
        <f t="shared" si="27"/>
        <v>0</v>
      </c>
      <c r="I262" s="588"/>
      <c r="J262" s="588"/>
      <c r="K262" s="471">
        <f t="shared" si="28"/>
        <v>0</v>
      </c>
      <c r="L262" s="588"/>
      <c r="M262" s="588"/>
      <c r="N262" s="588"/>
      <c r="O262" s="588"/>
      <c r="P262" s="588"/>
      <c r="Q262" s="588"/>
      <c r="R262" s="588"/>
      <c r="S262" s="588"/>
      <c r="T262" s="588"/>
      <c r="U262" s="471">
        <f t="shared" si="30"/>
        <v>0</v>
      </c>
      <c r="V262" s="448"/>
      <c r="W262" s="1317"/>
      <c r="X262" s="1317"/>
      <c r="Y262" s="1317"/>
      <c r="Z262" s="1317"/>
      <c r="AA262" s="1317"/>
      <c r="AB262" s="1317"/>
      <c r="AC262" s="1317"/>
      <c r="AD262" s="1317"/>
      <c r="AE262" s="1317"/>
      <c r="AF262" s="1317"/>
      <c r="AG262" s="448"/>
      <c r="AH262" s="448"/>
      <c r="AI262" s="448"/>
      <c r="AJ262" s="448"/>
      <c r="AK262" s="448"/>
      <c r="AL262" s="448"/>
      <c r="AM262" s="448"/>
      <c r="AN262" s="448"/>
      <c r="AO262" s="448"/>
      <c r="AP262" s="448"/>
      <c r="AQ262" s="448"/>
      <c r="AR262" s="448"/>
      <c r="AS262" s="448"/>
      <c r="AT262" s="448"/>
      <c r="AU262" s="448"/>
      <c r="AV262" s="448"/>
      <c r="AW262" s="448"/>
      <c r="AX262" s="448"/>
      <c r="AY262" s="448"/>
      <c r="AZ262" s="448"/>
      <c r="BA262" s="448"/>
    </row>
    <row r="263" spans="1:53" ht="12.75" x14ac:dyDescent="0.2">
      <c r="A263" s="534"/>
      <c r="B263" s="534"/>
      <c r="C263" s="458"/>
      <c r="D263" s="448"/>
      <c r="E263" s="448"/>
      <c r="F263" s="448"/>
      <c r="G263" s="448"/>
      <c r="H263" s="448"/>
      <c r="I263" s="448"/>
      <c r="J263" s="448"/>
      <c r="K263" s="448"/>
      <c r="L263" s="448"/>
      <c r="M263" s="448"/>
      <c r="N263" s="448"/>
      <c r="O263" s="448"/>
      <c r="P263" s="448"/>
      <c r="Q263" s="448"/>
      <c r="R263" s="448"/>
      <c r="S263" s="448"/>
      <c r="T263" s="448"/>
      <c r="U263" s="448"/>
      <c r="V263" s="448"/>
      <c r="W263" s="1317"/>
      <c r="X263" s="1317"/>
      <c r="Y263" s="1317"/>
      <c r="Z263" s="1317"/>
      <c r="AA263" s="1317"/>
      <c r="AB263" s="1317"/>
      <c r="AC263" s="1317"/>
      <c r="AD263" s="1317"/>
      <c r="AE263" s="1317"/>
      <c r="AF263" s="1317"/>
      <c r="AG263" s="448"/>
      <c r="AH263" s="448"/>
      <c r="AI263" s="448"/>
      <c r="AJ263" s="448"/>
      <c r="AK263" s="448"/>
      <c r="AL263" s="448"/>
      <c r="AM263" s="448"/>
      <c r="AN263" s="448"/>
      <c r="AO263" s="448"/>
      <c r="AP263" s="448"/>
      <c r="AQ263" s="448"/>
      <c r="AR263" s="448"/>
      <c r="AS263" s="448"/>
      <c r="AT263" s="448"/>
      <c r="AU263" s="448"/>
      <c r="AV263" s="448"/>
      <c r="AW263" s="448"/>
      <c r="AX263" s="448"/>
      <c r="AY263" s="448"/>
      <c r="AZ263" s="448"/>
      <c r="BA263" s="448"/>
    </row>
    <row r="264" spans="1:53" ht="12.75" x14ac:dyDescent="0.2">
      <c r="A264" s="616" t="s">
        <v>851</v>
      </c>
      <c r="B264" s="616"/>
      <c r="C264" s="716">
        <f>SUM(C213:C263)</f>
        <v>0</v>
      </c>
      <c r="D264" s="448"/>
      <c r="E264" s="617">
        <f>SUM(E213:E263)</f>
        <v>0</v>
      </c>
      <c r="F264" s="618">
        <f>SUM(F213:F263)</f>
        <v>0</v>
      </c>
      <c r="G264" s="618"/>
      <c r="H264" s="617">
        <f>SUM(H213:H263)</f>
        <v>0</v>
      </c>
      <c r="I264" s="618">
        <f>SUM(I213:I263)</f>
        <v>0</v>
      </c>
      <c r="J264" s="618"/>
      <c r="K264" s="617">
        <f t="shared" ref="K264:S264" si="31">SUM(K213:K263)</f>
        <v>0</v>
      </c>
      <c r="L264" s="618">
        <f t="shared" si="31"/>
        <v>0</v>
      </c>
      <c r="M264" s="618">
        <f t="shared" si="31"/>
        <v>0</v>
      </c>
      <c r="N264" s="618">
        <f t="shared" si="31"/>
        <v>0</v>
      </c>
      <c r="O264" s="618">
        <f t="shared" si="31"/>
        <v>0</v>
      </c>
      <c r="P264" s="618">
        <f t="shared" si="31"/>
        <v>0</v>
      </c>
      <c r="Q264" s="618">
        <f t="shared" si="31"/>
        <v>0</v>
      </c>
      <c r="R264" s="618">
        <f t="shared" si="31"/>
        <v>0</v>
      </c>
      <c r="S264" s="618">
        <f t="shared" si="31"/>
        <v>0</v>
      </c>
      <c r="T264" s="618"/>
      <c r="U264" s="617">
        <f>SUM(U213:U263)</f>
        <v>0</v>
      </c>
      <c r="V264" s="448"/>
      <c r="W264" s="1317"/>
      <c r="X264" s="1317"/>
      <c r="Y264" s="1317"/>
      <c r="Z264" s="1317"/>
      <c r="AA264" s="1317"/>
      <c r="AB264" s="1317"/>
      <c r="AC264" s="1317"/>
      <c r="AD264" s="1317"/>
      <c r="AE264" s="1317"/>
      <c r="AF264" s="1317"/>
      <c r="AG264" s="448"/>
      <c r="AH264" s="448"/>
      <c r="AI264" s="448"/>
      <c r="AJ264" s="448"/>
      <c r="AK264" s="448"/>
      <c r="AL264" s="448"/>
      <c r="AM264" s="448"/>
      <c r="AN264" s="448"/>
      <c r="AO264" s="448"/>
      <c r="AP264" s="448"/>
      <c r="AQ264" s="448"/>
      <c r="AR264" s="448"/>
      <c r="AS264" s="448"/>
      <c r="AT264" s="448"/>
      <c r="AU264" s="448"/>
      <c r="AV264" s="448"/>
      <c r="AW264" s="448"/>
      <c r="AX264" s="448"/>
      <c r="AY264" s="448"/>
      <c r="AZ264" s="448"/>
      <c r="BA264" s="448"/>
    </row>
    <row r="265" spans="1:53" x14ac:dyDescent="0.2">
      <c r="A265" s="448"/>
      <c r="B265" s="448"/>
      <c r="C265" s="448"/>
      <c r="D265" s="448"/>
      <c r="E265" s="459"/>
      <c r="F265" s="460"/>
      <c r="G265" s="461"/>
      <c r="H265" s="461"/>
      <c r="I265" s="460"/>
      <c r="J265" s="460"/>
      <c r="K265" s="460"/>
      <c r="L265" s="460"/>
      <c r="M265" s="460"/>
      <c r="N265" s="462"/>
      <c r="O265" s="462"/>
      <c r="P265" s="448"/>
      <c r="Q265" s="448"/>
      <c r="R265" s="448"/>
      <c r="S265" s="448"/>
      <c r="T265" s="448"/>
      <c r="U265" s="448"/>
      <c r="V265" s="448"/>
      <c r="W265" s="1317"/>
      <c r="X265" s="1317"/>
      <c r="Y265" s="1317"/>
      <c r="Z265" s="1317"/>
      <c r="AA265" s="1317"/>
      <c r="AB265" s="1317"/>
      <c r="AC265" s="1317"/>
      <c r="AD265" s="1317"/>
      <c r="AE265" s="1317"/>
      <c r="AF265" s="1317"/>
      <c r="AG265" s="448"/>
      <c r="AH265" s="448"/>
      <c r="AI265" s="448"/>
      <c r="AJ265" s="448"/>
      <c r="AK265" s="448"/>
      <c r="AL265" s="448"/>
      <c r="AM265" s="448"/>
      <c r="AN265" s="448"/>
      <c r="AO265" s="448"/>
      <c r="AP265" s="448"/>
      <c r="AQ265" s="448"/>
      <c r="AR265" s="448"/>
      <c r="AS265" s="448"/>
      <c r="AT265" s="448"/>
      <c r="AU265" s="448"/>
      <c r="AV265" s="448"/>
      <c r="AW265" s="448"/>
      <c r="AX265" s="448"/>
      <c r="AY265" s="448"/>
      <c r="AZ265" s="448"/>
      <c r="BA265" s="448"/>
    </row>
    <row r="266" spans="1:53" ht="12.75" customHeight="1" x14ac:dyDescent="0.2">
      <c r="A266" s="552" t="str">
        <f>IF(Stammblatt!$L$4=1,"Kleindarsteller","Background actors")</f>
        <v>Kleindarsteller</v>
      </c>
      <c r="B266" s="552"/>
      <c r="C266" s="587">
        <f>DarstellerInnen!G59</f>
        <v>0</v>
      </c>
      <c r="D266" s="448"/>
      <c r="E266" s="588"/>
      <c r="F266" s="460"/>
      <c r="G266" s="461"/>
      <c r="H266" s="461">
        <f t="shared" ref="H266" si="32">F266*G266</f>
        <v>0</v>
      </c>
      <c r="I266" s="588"/>
      <c r="J266" s="588"/>
      <c r="K266" s="471">
        <f t="shared" ref="K266:K267" si="33">I266*J266</f>
        <v>0</v>
      </c>
      <c r="L266" s="588"/>
      <c r="M266" s="588"/>
      <c r="N266" s="588"/>
      <c r="O266" s="588"/>
      <c r="P266" s="588"/>
      <c r="Q266" s="588"/>
      <c r="R266" s="588"/>
      <c r="S266" s="588"/>
      <c r="T266" s="588"/>
      <c r="U266" s="471">
        <f t="shared" ref="U266:U267" si="34">S266*T266</f>
        <v>0</v>
      </c>
      <c r="V266" s="448"/>
      <c r="W266" s="1317"/>
      <c r="X266" s="1317"/>
      <c r="Y266" s="1317"/>
      <c r="Z266" s="1317"/>
      <c r="AA266" s="1317"/>
      <c r="AB266" s="1317"/>
      <c r="AC266" s="1317"/>
      <c r="AD266" s="1317"/>
      <c r="AE266" s="1317"/>
      <c r="AF266" s="1317"/>
      <c r="AG266" s="448"/>
      <c r="AH266" s="448"/>
      <c r="AI266" s="448"/>
      <c r="AJ266" s="448"/>
      <c r="AK266" s="448"/>
      <c r="AL266" s="448"/>
      <c r="AM266" s="448"/>
      <c r="AN266" s="448"/>
      <c r="AO266" s="448"/>
      <c r="AP266" s="448"/>
      <c r="AQ266" s="448"/>
      <c r="AR266" s="448"/>
      <c r="AS266" s="448"/>
      <c r="AT266" s="448"/>
      <c r="AU266" s="448"/>
      <c r="AV266" s="448"/>
      <c r="AW266" s="448"/>
      <c r="AX266" s="448"/>
      <c r="AY266" s="448"/>
      <c r="AZ266" s="448"/>
      <c r="BA266" s="448"/>
    </row>
    <row r="267" spans="1:53" ht="12.75" customHeight="1" x14ac:dyDescent="0.2">
      <c r="A267" s="552" t="str">
        <f>IF(Stammblatt!$L$4=1,"Komparsen","Extras")</f>
        <v>Komparsen</v>
      </c>
      <c r="B267" s="552"/>
      <c r="C267" s="587">
        <f>DarstellerInnen!G60</f>
        <v>0</v>
      </c>
      <c r="D267" s="448"/>
      <c r="E267" s="588"/>
      <c r="F267" s="460"/>
      <c r="G267" s="461"/>
      <c r="H267" s="461">
        <f t="shared" ref="H267" si="35">F267*G267</f>
        <v>0</v>
      </c>
      <c r="I267" s="588"/>
      <c r="J267" s="588"/>
      <c r="K267" s="471">
        <f t="shared" si="33"/>
        <v>0</v>
      </c>
      <c r="L267" s="588"/>
      <c r="M267" s="588"/>
      <c r="N267" s="588"/>
      <c r="O267" s="588"/>
      <c r="P267" s="588"/>
      <c r="Q267" s="588"/>
      <c r="R267" s="588"/>
      <c r="S267" s="588"/>
      <c r="T267" s="588"/>
      <c r="U267" s="471">
        <f t="shared" si="34"/>
        <v>0</v>
      </c>
      <c r="V267" s="448"/>
      <c r="W267" s="1317"/>
      <c r="X267" s="1317"/>
      <c r="Y267" s="1317"/>
      <c r="Z267" s="1317"/>
      <c r="AA267" s="1317"/>
      <c r="AB267" s="1317"/>
      <c r="AC267" s="1317"/>
      <c r="AD267" s="1317"/>
      <c r="AE267" s="1317"/>
      <c r="AF267" s="1317"/>
      <c r="AG267" s="448"/>
      <c r="AH267" s="448"/>
      <c r="AI267" s="448"/>
      <c r="AJ267" s="448"/>
      <c r="AK267" s="448"/>
      <c r="AL267" s="448"/>
      <c r="AM267" s="448"/>
      <c r="AN267" s="448"/>
      <c r="AO267" s="448"/>
      <c r="AP267" s="448"/>
      <c r="AQ267" s="448"/>
      <c r="AR267" s="448"/>
      <c r="AS267" s="448"/>
      <c r="AT267" s="448"/>
      <c r="AU267" s="448"/>
      <c r="AV267" s="448"/>
      <c r="AW267" s="448"/>
      <c r="AX267" s="448"/>
      <c r="AY267" s="448"/>
      <c r="AZ267" s="448"/>
      <c r="BA267" s="448"/>
    </row>
    <row r="268" spans="1:53" x14ac:dyDescent="0.2">
      <c r="A268" s="448"/>
      <c r="B268" s="448"/>
      <c r="C268" s="448"/>
      <c r="D268" s="448"/>
      <c r="E268" s="459"/>
      <c r="F268" s="460"/>
      <c r="G268" s="461"/>
      <c r="H268" s="461"/>
      <c r="I268" s="460"/>
      <c r="J268" s="460"/>
      <c r="K268" s="460"/>
      <c r="L268" s="460"/>
      <c r="M268" s="460"/>
      <c r="N268" s="462"/>
      <c r="O268" s="462"/>
      <c r="P268" s="448"/>
      <c r="Q268" s="448"/>
      <c r="R268" s="448"/>
      <c r="S268" s="448"/>
      <c r="T268" s="448"/>
      <c r="U268" s="448"/>
      <c r="V268" s="448"/>
      <c r="W268" s="1317"/>
      <c r="X268" s="1317"/>
      <c r="Y268" s="1317"/>
      <c r="Z268" s="1317"/>
      <c r="AA268" s="1317"/>
      <c r="AB268" s="1317"/>
      <c r="AC268" s="1317"/>
      <c r="AD268" s="1317"/>
      <c r="AE268" s="1317"/>
      <c r="AF268" s="1317"/>
      <c r="AG268" s="448"/>
      <c r="AH268" s="448"/>
      <c r="AI268" s="448"/>
      <c r="AJ268" s="448"/>
      <c r="AK268" s="448"/>
      <c r="AL268" s="448"/>
      <c r="AM268" s="448"/>
      <c r="AN268" s="448"/>
      <c r="AO268" s="448"/>
      <c r="AP268" s="448"/>
      <c r="AQ268" s="448"/>
      <c r="AR268" s="448"/>
      <c r="AS268" s="448"/>
      <c r="AT268" s="448"/>
      <c r="AU268" s="448"/>
      <c r="AV268" s="448"/>
      <c r="AW268" s="448"/>
      <c r="AX268" s="448"/>
      <c r="AY268" s="448"/>
      <c r="AZ268" s="448"/>
      <c r="BA268" s="448"/>
    </row>
    <row r="269" spans="1:53" ht="12.75" customHeight="1" x14ac:dyDescent="0.2">
      <c r="A269" s="616" t="s">
        <v>852</v>
      </c>
      <c r="B269" s="616"/>
      <c r="C269" s="716">
        <f>SUM(C266:C268)</f>
        <v>0</v>
      </c>
      <c r="D269" s="448"/>
      <c r="E269" s="617">
        <f>SUM(E266:E268)</f>
        <v>0</v>
      </c>
      <c r="F269" s="460"/>
      <c r="G269" s="461"/>
      <c r="H269" s="461"/>
      <c r="I269" s="618">
        <f t="shared" ref="I269:U269" si="36">SUM(I266:I268)</f>
        <v>0</v>
      </c>
      <c r="J269" s="618"/>
      <c r="K269" s="617">
        <f t="shared" si="36"/>
        <v>0</v>
      </c>
      <c r="L269" s="618">
        <f t="shared" si="36"/>
        <v>0</v>
      </c>
      <c r="M269" s="618">
        <f t="shared" si="36"/>
        <v>0</v>
      </c>
      <c r="N269" s="618">
        <f t="shared" si="36"/>
        <v>0</v>
      </c>
      <c r="O269" s="618">
        <f t="shared" si="36"/>
        <v>0</v>
      </c>
      <c r="P269" s="618">
        <f t="shared" si="36"/>
        <v>0</v>
      </c>
      <c r="Q269" s="618">
        <f t="shared" si="36"/>
        <v>0</v>
      </c>
      <c r="R269" s="618">
        <f t="shared" si="36"/>
        <v>0</v>
      </c>
      <c r="S269" s="618">
        <f t="shared" si="36"/>
        <v>0</v>
      </c>
      <c r="T269" s="618"/>
      <c r="U269" s="617">
        <f t="shared" si="36"/>
        <v>0</v>
      </c>
      <c r="V269" s="448"/>
      <c r="W269" s="1317"/>
      <c r="X269" s="1317"/>
      <c r="Y269" s="1317"/>
      <c r="Z269" s="1317"/>
      <c r="AA269" s="1317"/>
      <c r="AB269" s="1317"/>
      <c r="AC269" s="1317"/>
      <c r="AD269" s="1317"/>
      <c r="AE269" s="1317"/>
      <c r="AF269" s="1317"/>
      <c r="AG269" s="448"/>
      <c r="AH269" s="448"/>
      <c r="AI269" s="448"/>
      <c r="AJ269" s="448"/>
      <c r="AK269" s="448"/>
      <c r="AL269" s="448"/>
      <c r="AM269" s="448"/>
      <c r="AN269" s="448"/>
      <c r="AO269" s="448"/>
      <c r="AP269" s="448"/>
      <c r="AQ269" s="448"/>
      <c r="AR269" s="448"/>
      <c r="AS269" s="448"/>
      <c r="AT269" s="448"/>
      <c r="AU269" s="448"/>
      <c r="AV269" s="448"/>
      <c r="AW269" s="448"/>
      <c r="AX269" s="448"/>
      <c r="AY269" s="448"/>
      <c r="AZ269" s="448"/>
      <c r="BA269" s="448"/>
    </row>
    <row r="270" spans="1:53" x14ac:dyDescent="0.2">
      <c r="A270" s="448"/>
      <c r="B270" s="448"/>
      <c r="C270" s="448"/>
      <c r="D270" s="448"/>
      <c r="E270" s="459"/>
      <c r="F270" s="460"/>
      <c r="G270" s="461"/>
      <c r="H270" s="461"/>
      <c r="I270" s="460"/>
      <c r="J270" s="460"/>
      <c r="K270" s="460"/>
      <c r="L270" s="460"/>
      <c r="M270" s="460"/>
      <c r="N270" s="462"/>
      <c r="O270" s="462"/>
      <c r="P270" s="448"/>
      <c r="Q270" s="448"/>
      <c r="R270" s="448"/>
      <c r="S270" s="448"/>
      <c r="T270" s="448"/>
      <c r="U270" s="448"/>
      <c r="V270" s="448"/>
      <c r="W270" s="1317"/>
      <c r="X270" s="1317"/>
      <c r="Y270" s="1317"/>
      <c r="Z270" s="1317"/>
      <c r="AA270" s="1317"/>
      <c r="AB270" s="1317"/>
      <c r="AC270" s="1317"/>
      <c r="AD270" s="1317"/>
      <c r="AE270" s="1317"/>
      <c r="AF270" s="1317"/>
      <c r="AG270" s="448"/>
      <c r="AH270" s="448"/>
      <c r="AI270" s="448"/>
      <c r="AJ270" s="448"/>
      <c r="AK270" s="448"/>
      <c r="AL270" s="448"/>
      <c r="AM270" s="448"/>
      <c r="AN270" s="448"/>
      <c r="AO270" s="448"/>
      <c r="AP270" s="448"/>
      <c r="AQ270" s="448"/>
      <c r="AR270" s="448"/>
      <c r="AS270" s="448"/>
      <c r="AT270" s="448"/>
      <c r="AU270" s="448"/>
      <c r="AV270" s="448"/>
      <c r="AW270" s="448"/>
      <c r="AX270" s="448"/>
      <c r="AY270" s="448"/>
      <c r="AZ270" s="448"/>
      <c r="BA270" s="448"/>
    </row>
    <row r="271" spans="1:53" x14ac:dyDescent="0.2">
      <c r="A271" s="448"/>
      <c r="B271" s="448"/>
      <c r="C271" s="448"/>
      <c r="D271" s="448"/>
      <c r="E271" s="459"/>
      <c r="F271" s="460"/>
      <c r="G271" s="461"/>
      <c r="H271" s="461"/>
      <c r="I271" s="460"/>
      <c r="J271" s="460"/>
      <c r="K271" s="460"/>
      <c r="L271" s="460"/>
      <c r="M271" s="460"/>
      <c r="N271" s="462"/>
      <c r="O271" s="462"/>
      <c r="P271" s="448"/>
      <c r="Q271" s="448"/>
      <c r="R271" s="448"/>
      <c r="S271" s="448"/>
      <c r="T271" s="448"/>
      <c r="U271" s="448"/>
      <c r="V271" s="448"/>
      <c r="W271" s="1317"/>
      <c r="X271" s="1317"/>
      <c r="Y271" s="1317"/>
      <c r="Z271" s="1317"/>
      <c r="AA271" s="1317"/>
      <c r="AB271" s="1317"/>
      <c r="AC271" s="1317"/>
      <c r="AD271" s="1317"/>
      <c r="AE271" s="1317"/>
      <c r="AF271" s="1317"/>
      <c r="AG271" s="448"/>
      <c r="AH271" s="448"/>
      <c r="AI271" s="448"/>
      <c r="AJ271" s="448"/>
      <c r="AK271" s="448"/>
      <c r="AL271" s="448"/>
      <c r="AM271" s="448"/>
      <c r="AN271" s="448"/>
      <c r="AO271" s="448"/>
      <c r="AP271" s="448"/>
      <c r="AQ271" s="448"/>
      <c r="AR271" s="448"/>
      <c r="AS271" s="448"/>
      <c r="AT271" s="448"/>
      <c r="AU271" s="448"/>
      <c r="AV271" s="448"/>
      <c r="AW271" s="448"/>
      <c r="AX271" s="448"/>
      <c r="AY271" s="448"/>
      <c r="AZ271" s="448"/>
      <c r="BA271" s="448"/>
    </row>
    <row r="272" spans="1:53" x14ac:dyDescent="0.2">
      <c r="A272" s="448"/>
      <c r="B272" s="448"/>
      <c r="C272" s="448"/>
      <c r="D272" s="448"/>
      <c r="E272" s="459"/>
      <c r="F272" s="460"/>
      <c r="G272" s="461"/>
      <c r="H272" s="461"/>
      <c r="I272" s="460"/>
      <c r="J272" s="460"/>
      <c r="K272" s="460"/>
      <c r="L272" s="460"/>
      <c r="M272" s="460"/>
      <c r="N272" s="462"/>
      <c r="O272" s="462"/>
      <c r="P272" s="448"/>
      <c r="Q272" s="448"/>
      <c r="R272" s="448"/>
      <c r="S272" s="448"/>
      <c r="T272" s="448"/>
      <c r="U272" s="448"/>
      <c r="V272" s="448"/>
      <c r="W272" s="1317"/>
      <c r="X272" s="1317"/>
      <c r="Y272" s="1317"/>
      <c r="Z272" s="1317"/>
      <c r="AA272" s="1317"/>
      <c r="AB272" s="1317"/>
      <c r="AC272" s="1317"/>
      <c r="AD272" s="1317"/>
      <c r="AE272" s="1317"/>
      <c r="AF272" s="1317"/>
      <c r="AG272" s="448"/>
      <c r="AH272" s="448"/>
      <c r="AI272" s="448"/>
      <c r="AJ272" s="448"/>
      <c r="AK272" s="448"/>
      <c r="AL272" s="448"/>
      <c r="AM272" s="448"/>
      <c r="AN272" s="448"/>
      <c r="AO272" s="448"/>
      <c r="AP272" s="448"/>
      <c r="AQ272" s="448"/>
      <c r="AR272" s="448"/>
      <c r="AS272" s="448"/>
      <c r="AT272" s="448"/>
      <c r="AU272" s="448"/>
      <c r="AV272" s="448"/>
      <c r="AW272" s="448"/>
      <c r="AX272" s="448"/>
      <c r="AY272" s="448"/>
      <c r="AZ272" s="448"/>
      <c r="BA272" s="448"/>
    </row>
    <row r="273" spans="1:53" x14ac:dyDescent="0.2">
      <c r="A273" s="448"/>
      <c r="B273" s="448"/>
      <c r="C273" s="448"/>
      <c r="D273" s="448"/>
      <c r="E273" s="459"/>
      <c r="F273" s="460"/>
      <c r="G273" s="461"/>
      <c r="H273" s="461"/>
      <c r="I273" s="460"/>
      <c r="J273" s="460"/>
      <c r="K273" s="460"/>
      <c r="L273" s="460"/>
      <c r="M273" s="460"/>
      <c r="N273" s="462"/>
      <c r="O273" s="462"/>
      <c r="P273" s="448"/>
      <c r="Q273" s="448"/>
      <c r="R273" s="448"/>
      <c r="S273" s="448"/>
      <c r="T273" s="448"/>
      <c r="U273" s="448"/>
      <c r="V273" s="448"/>
      <c r="W273" s="1317"/>
      <c r="X273" s="1317"/>
      <c r="Y273" s="1317"/>
      <c r="Z273" s="1317"/>
      <c r="AA273" s="1317"/>
      <c r="AB273" s="1317"/>
      <c r="AC273" s="1317"/>
      <c r="AD273" s="1317"/>
      <c r="AE273" s="1317"/>
      <c r="AF273" s="1317"/>
      <c r="AG273" s="448"/>
      <c r="AH273" s="448"/>
      <c r="AI273" s="448"/>
      <c r="AJ273" s="448"/>
      <c r="AK273" s="448"/>
      <c r="AL273" s="448"/>
      <c r="AM273" s="448"/>
      <c r="AN273" s="448"/>
      <c r="AO273" s="448"/>
      <c r="AP273" s="448"/>
      <c r="AQ273" s="448"/>
      <c r="AR273" s="448"/>
      <c r="AS273" s="448"/>
      <c r="AT273" s="448"/>
      <c r="AU273" s="448"/>
      <c r="AV273" s="448"/>
      <c r="AW273" s="448"/>
      <c r="AX273" s="448"/>
      <c r="AY273" s="448"/>
      <c r="AZ273" s="448"/>
      <c r="BA273" s="448"/>
    </row>
    <row r="274" spans="1:53" x14ac:dyDescent="0.2">
      <c r="A274" s="448"/>
      <c r="B274" s="448"/>
      <c r="C274" s="448"/>
      <c r="D274" s="448"/>
      <c r="E274" s="459"/>
      <c r="F274" s="460"/>
      <c r="G274" s="461"/>
      <c r="H274" s="461"/>
      <c r="I274" s="460"/>
      <c r="J274" s="460"/>
      <c r="K274" s="460"/>
      <c r="L274" s="460"/>
      <c r="M274" s="460"/>
      <c r="N274" s="462"/>
      <c r="O274" s="462"/>
      <c r="P274" s="448"/>
      <c r="Q274" s="448"/>
      <c r="R274" s="448"/>
      <c r="S274" s="448"/>
      <c r="T274" s="448"/>
      <c r="U274" s="448"/>
      <c r="V274" s="448"/>
      <c r="W274" s="1317"/>
      <c r="X274" s="1317"/>
      <c r="Y274" s="1317"/>
      <c r="Z274" s="1317"/>
      <c r="AA274" s="1317"/>
      <c r="AB274" s="1317"/>
      <c r="AC274" s="1317"/>
      <c r="AD274" s="1317"/>
      <c r="AE274" s="1317"/>
      <c r="AF274" s="1317"/>
      <c r="AG274" s="448"/>
      <c r="AH274" s="448"/>
      <c r="AI274" s="448"/>
      <c r="AJ274" s="448"/>
      <c r="AK274" s="448"/>
      <c r="AL274" s="448"/>
      <c r="AM274" s="448"/>
      <c r="AN274" s="448"/>
      <c r="AO274" s="448"/>
      <c r="AP274" s="448"/>
      <c r="AQ274" s="448"/>
      <c r="AR274" s="448"/>
      <c r="AS274" s="448"/>
      <c r="AT274" s="448"/>
      <c r="AU274" s="448"/>
      <c r="AV274" s="448"/>
      <c r="AW274" s="448"/>
      <c r="AX274" s="448"/>
      <c r="AY274" s="448"/>
      <c r="AZ274" s="448"/>
      <c r="BA274" s="448"/>
    </row>
    <row r="275" spans="1:53" x14ac:dyDescent="0.2">
      <c r="A275" s="448"/>
      <c r="B275" s="448"/>
      <c r="C275" s="448"/>
      <c r="D275" s="448"/>
      <c r="E275" s="459"/>
      <c r="F275" s="460"/>
      <c r="G275" s="461"/>
      <c r="H275" s="461"/>
      <c r="I275" s="460"/>
      <c r="J275" s="460"/>
      <c r="K275" s="460"/>
      <c r="L275" s="460"/>
      <c r="M275" s="460"/>
      <c r="N275" s="462"/>
      <c r="O275" s="462"/>
      <c r="P275" s="448"/>
      <c r="Q275" s="448"/>
      <c r="R275" s="448"/>
      <c r="S275" s="448"/>
      <c r="T275" s="448"/>
      <c r="U275" s="448"/>
      <c r="V275" s="448"/>
      <c r="W275" s="1317"/>
      <c r="X275" s="1317"/>
      <c r="Y275" s="1317"/>
      <c r="Z275" s="1317"/>
      <c r="AA275" s="1317"/>
      <c r="AB275" s="1317"/>
      <c r="AC275" s="1317"/>
      <c r="AD275" s="1317"/>
      <c r="AE275" s="1317"/>
      <c r="AF275" s="1317"/>
      <c r="AG275" s="448"/>
      <c r="AH275" s="448"/>
      <c r="AI275" s="448"/>
      <c r="AJ275" s="448"/>
      <c r="AK275" s="448"/>
      <c r="AL275" s="448"/>
      <c r="AM275" s="448"/>
      <c r="AN275" s="448"/>
      <c r="AO275" s="448"/>
      <c r="AP275" s="448"/>
      <c r="AQ275" s="448"/>
      <c r="AR275" s="448"/>
      <c r="AS275" s="448"/>
      <c r="AT275" s="448"/>
      <c r="AU275" s="448"/>
      <c r="AV275" s="448"/>
      <c r="AW275" s="448"/>
      <c r="AX275" s="448"/>
      <c r="AY275" s="448"/>
      <c r="AZ275" s="448"/>
      <c r="BA275" s="448"/>
    </row>
    <row r="276" spans="1:53" x14ac:dyDescent="0.2">
      <c r="A276" s="448"/>
      <c r="B276" s="448"/>
      <c r="C276" s="448"/>
      <c r="D276" s="448"/>
      <c r="E276" s="459"/>
      <c r="F276" s="460"/>
      <c r="G276" s="461"/>
      <c r="H276" s="461"/>
      <c r="I276" s="460"/>
      <c r="J276" s="460"/>
      <c r="K276" s="460"/>
      <c r="L276" s="460"/>
      <c r="M276" s="460"/>
      <c r="N276" s="462"/>
      <c r="O276" s="462"/>
      <c r="P276" s="448"/>
      <c r="Q276" s="448"/>
      <c r="R276" s="448"/>
      <c r="S276" s="448"/>
      <c r="T276" s="448"/>
      <c r="U276" s="448"/>
      <c r="V276" s="448"/>
      <c r="W276" s="1317"/>
      <c r="X276" s="1317"/>
      <c r="Y276" s="1317"/>
      <c r="Z276" s="1317"/>
      <c r="AA276" s="1317"/>
      <c r="AB276" s="1317"/>
      <c r="AC276" s="1317"/>
      <c r="AD276" s="1317"/>
      <c r="AE276" s="1317"/>
      <c r="AF276" s="1317"/>
      <c r="AG276" s="448"/>
      <c r="AH276" s="448"/>
      <c r="AI276" s="448"/>
      <c r="AJ276" s="448"/>
      <c r="AK276" s="448"/>
      <c r="AL276" s="448"/>
      <c r="AM276" s="448"/>
      <c r="AN276" s="448"/>
      <c r="AO276" s="448"/>
      <c r="AP276" s="448"/>
      <c r="AQ276" s="448"/>
      <c r="AR276" s="448"/>
      <c r="AS276" s="448"/>
      <c r="AT276" s="448"/>
      <c r="AU276" s="448"/>
      <c r="AV276" s="448"/>
      <c r="AW276" s="448"/>
      <c r="AX276" s="448"/>
      <c r="AY276" s="448"/>
      <c r="AZ276" s="448"/>
      <c r="BA276" s="448"/>
    </row>
    <row r="277" spans="1:53" x14ac:dyDescent="0.2">
      <c r="A277" s="448"/>
      <c r="B277" s="448"/>
      <c r="C277" s="448"/>
      <c r="D277" s="448"/>
      <c r="E277" s="459"/>
      <c r="F277" s="460"/>
      <c r="G277" s="461"/>
      <c r="H277" s="461"/>
      <c r="I277" s="460"/>
      <c r="J277" s="460"/>
      <c r="K277" s="460"/>
      <c r="L277" s="460"/>
      <c r="M277" s="460"/>
      <c r="N277" s="462"/>
      <c r="O277" s="462"/>
      <c r="P277" s="448"/>
      <c r="Q277" s="448"/>
      <c r="R277" s="448"/>
      <c r="S277" s="448"/>
      <c r="T277" s="448"/>
      <c r="U277" s="448"/>
      <c r="V277" s="448"/>
      <c r="W277" s="1317"/>
      <c r="X277" s="1317"/>
      <c r="Y277" s="1317"/>
      <c r="Z277" s="1317"/>
      <c r="AA277" s="1317"/>
      <c r="AB277" s="1317"/>
      <c r="AC277" s="1317"/>
      <c r="AD277" s="1317"/>
      <c r="AE277" s="1317"/>
      <c r="AF277" s="1317"/>
      <c r="AG277" s="448"/>
      <c r="AH277" s="448"/>
      <c r="AI277" s="448"/>
      <c r="AJ277" s="448"/>
      <c r="AK277" s="448"/>
      <c r="AL277" s="448"/>
      <c r="AM277" s="448"/>
      <c r="AN277" s="448"/>
      <c r="AO277" s="448"/>
      <c r="AP277" s="448"/>
      <c r="AQ277" s="448"/>
      <c r="AR277" s="448"/>
      <c r="AS277" s="448"/>
      <c r="AT277" s="448"/>
      <c r="AU277" s="448"/>
      <c r="AV277" s="448"/>
      <c r="AW277" s="448"/>
      <c r="AX277" s="448"/>
      <c r="AY277" s="448"/>
      <c r="AZ277" s="448"/>
      <c r="BA277" s="448"/>
    </row>
    <row r="278" spans="1:53" x14ac:dyDescent="0.2">
      <c r="A278" s="448"/>
      <c r="B278" s="448"/>
      <c r="C278" s="448"/>
      <c r="D278" s="448"/>
      <c r="E278" s="459"/>
      <c r="F278" s="460"/>
      <c r="G278" s="461"/>
      <c r="H278" s="461"/>
      <c r="I278" s="460"/>
      <c r="J278" s="460"/>
      <c r="K278" s="460"/>
      <c r="L278" s="460"/>
      <c r="M278" s="460"/>
      <c r="N278" s="462"/>
      <c r="O278" s="462"/>
      <c r="P278" s="448"/>
      <c r="Q278" s="448"/>
      <c r="R278" s="448"/>
      <c r="S278" s="448"/>
      <c r="T278" s="448"/>
      <c r="U278" s="448"/>
      <c r="V278" s="448"/>
      <c r="W278" s="1317"/>
      <c r="X278" s="1317"/>
      <c r="Y278" s="1317"/>
      <c r="Z278" s="1317"/>
      <c r="AA278" s="1317"/>
      <c r="AB278" s="1317"/>
      <c r="AC278" s="1317"/>
      <c r="AD278" s="1317"/>
      <c r="AE278" s="1317"/>
      <c r="AF278" s="1317"/>
      <c r="AG278" s="448"/>
      <c r="AH278" s="448"/>
      <c r="AI278" s="448"/>
      <c r="AJ278" s="448"/>
      <c r="AK278" s="448"/>
      <c r="AL278" s="448"/>
      <c r="AM278" s="448"/>
      <c r="AN278" s="448"/>
      <c r="AO278" s="448"/>
      <c r="AP278" s="448"/>
      <c r="AQ278" s="448"/>
      <c r="AR278" s="448"/>
      <c r="AS278" s="448"/>
      <c r="AT278" s="448"/>
      <c r="AU278" s="448"/>
      <c r="AV278" s="448"/>
      <c r="AW278" s="448"/>
      <c r="AX278" s="448"/>
      <c r="AY278" s="448"/>
      <c r="AZ278" s="448"/>
      <c r="BA278" s="448"/>
    </row>
    <row r="279" spans="1:53" x14ac:dyDescent="0.2">
      <c r="A279" s="448"/>
      <c r="B279" s="448"/>
      <c r="C279" s="448"/>
      <c r="D279" s="448"/>
      <c r="E279" s="459"/>
      <c r="F279" s="460"/>
      <c r="G279" s="461"/>
      <c r="H279" s="461"/>
      <c r="I279" s="460"/>
      <c r="J279" s="460"/>
      <c r="K279" s="460"/>
      <c r="L279" s="460"/>
      <c r="M279" s="460"/>
      <c r="N279" s="462"/>
      <c r="O279" s="462"/>
      <c r="P279" s="448"/>
      <c r="Q279" s="448"/>
      <c r="R279" s="448"/>
      <c r="S279" s="448"/>
      <c r="T279" s="448"/>
      <c r="U279" s="448"/>
      <c r="V279" s="448"/>
      <c r="W279" s="1317"/>
      <c r="X279" s="1317"/>
      <c r="Y279" s="1317"/>
      <c r="Z279" s="1317"/>
      <c r="AA279" s="1317"/>
      <c r="AB279" s="1317"/>
      <c r="AC279" s="1317"/>
      <c r="AD279" s="1317"/>
      <c r="AE279" s="1317"/>
      <c r="AF279" s="1317"/>
      <c r="AG279" s="448"/>
      <c r="AH279" s="448"/>
      <c r="AI279" s="448"/>
      <c r="AJ279" s="448"/>
      <c r="AK279" s="448"/>
      <c r="AL279" s="448"/>
      <c r="AM279" s="448"/>
      <c r="AN279" s="448"/>
      <c r="AO279" s="448"/>
      <c r="AP279" s="448"/>
      <c r="AQ279" s="448"/>
      <c r="AR279" s="448"/>
      <c r="AS279" s="448"/>
      <c r="AT279" s="448"/>
      <c r="AU279" s="448"/>
      <c r="AV279" s="448"/>
      <c r="AW279" s="448"/>
      <c r="AX279" s="448"/>
      <c r="AY279" s="448"/>
      <c r="AZ279" s="448"/>
      <c r="BA279" s="448"/>
    </row>
    <row r="280" spans="1:53" x14ac:dyDescent="0.2">
      <c r="A280" s="448"/>
      <c r="B280" s="448"/>
      <c r="C280" s="448"/>
      <c r="D280" s="448"/>
      <c r="E280" s="459"/>
      <c r="F280" s="460"/>
      <c r="G280" s="461"/>
      <c r="H280" s="461"/>
      <c r="I280" s="460"/>
      <c r="J280" s="460"/>
      <c r="K280" s="460"/>
      <c r="L280" s="460"/>
      <c r="M280" s="460"/>
      <c r="N280" s="462"/>
      <c r="O280" s="462"/>
      <c r="P280" s="448"/>
      <c r="Q280" s="448"/>
      <c r="R280" s="448"/>
      <c r="S280" s="448"/>
      <c r="T280" s="448"/>
      <c r="U280" s="448"/>
      <c r="V280" s="448"/>
      <c r="W280" s="1317"/>
      <c r="X280" s="1317"/>
      <c r="Y280" s="1317"/>
      <c r="Z280" s="1317"/>
      <c r="AA280" s="1317"/>
      <c r="AB280" s="1317"/>
      <c r="AC280" s="1317"/>
      <c r="AD280" s="1317"/>
      <c r="AE280" s="1317"/>
      <c r="AF280" s="1317"/>
      <c r="AG280" s="448"/>
      <c r="AH280" s="448"/>
      <c r="AI280" s="448"/>
      <c r="AJ280" s="448"/>
      <c r="AK280" s="448"/>
      <c r="AL280" s="448"/>
      <c r="AM280" s="448"/>
      <c r="AN280" s="448"/>
      <c r="AO280" s="448"/>
      <c r="AP280" s="448"/>
      <c r="AQ280" s="448"/>
      <c r="AR280" s="448"/>
      <c r="AS280" s="448"/>
      <c r="AT280" s="448"/>
      <c r="AU280" s="448"/>
      <c r="AV280" s="448"/>
      <c r="AW280" s="448"/>
      <c r="AX280" s="448"/>
      <c r="AY280" s="448"/>
      <c r="AZ280" s="448"/>
      <c r="BA280" s="448"/>
    </row>
    <row r="281" spans="1:53" x14ac:dyDescent="0.2">
      <c r="A281" s="448"/>
      <c r="B281" s="448"/>
      <c r="C281" s="448"/>
      <c r="D281" s="448"/>
      <c r="E281" s="459"/>
      <c r="F281" s="460"/>
      <c r="G281" s="461"/>
      <c r="H281" s="461"/>
      <c r="I281" s="460"/>
      <c r="J281" s="460"/>
      <c r="K281" s="460"/>
      <c r="L281" s="460"/>
      <c r="M281" s="460"/>
      <c r="N281" s="462"/>
      <c r="O281" s="462"/>
      <c r="P281" s="448"/>
      <c r="Q281" s="448"/>
      <c r="R281" s="448"/>
      <c r="S281" s="448"/>
      <c r="T281" s="448"/>
      <c r="U281" s="448"/>
      <c r="V281" s="448"/>
      <c r="W281" s="1317"/>
      <c r="X281" s="1317"/>
      <c r="Y281" s="1317"/>
      <c r="Z281" s="1317"/>
      <c r="AA281" s="1317"/>
      <c r="AB281" s="1317"/>
      <c r="AC281" s="1317"/>
      <c r="AD281" s="1317"/>
      <c r="AE281" s="1317"/>
      <c r="AF281" s="1317"/>
      <c r="AG281" s="448"/>
      <c r="AH281" s="448"/>
      <c r="AI281" s="448"/>
      <c r="AJ281" s="448"/>
      <c r="AK281" s="448"/>
      <c r="AL281" s="448"/>
      <c r="AM281" s="448"/>
      <c r="AN281" s="448"/>
      <c r="AO281" s="448"/>
      <c r="AP281" s="448"/>
      <c r="AQ281" s="448"/>
      <c r="AR281" s="448"/>
      <c r="AS281" s="448"/>
      <c r="AT281" s="448"/>
      <c r="AU281" s="448"/>
      <c r="AV281" s="448"/>
      <c r="AW281" s="448"/>
      <c r="AX281" s="448"/>
      <c r="AY281" s="448"/>
      <c r="AZ281" s="448"/>
      <c r="BA281" s="448"/>
    </row>
    <row r="282" spans="1:53" x14ac:dyDescent="0.2">
      <c r="A282" s="448"/>
      <c r="B282" s="448"/>
      <c r="C282" s="448"/>
      <c r="D282" s="448"/>
      <c r="E282" s="459"/>
      <c r="F282" s="460"/>
      <c r="G282" s="461"/>
      <c r="H282" s="461"/>
      <c r="I282" s="460"/>
      <c r="J282" s="460"/>
      <c r="K282" s="460"/>
      <c r="L282" s="460"/>
      <c r="M282" s="460"/>
      <c r="N282" s="462"/>
      <c r="O282" s="462"/>
      <c r="P282" s="448"/>
      <c r="Q282" s="448"/>
      <c r="R282" s="448"/>
      <c r="S282" s="448"/>
      <c r="T282" s="448"/>
      <c r="U282" s="448"/>
      <c r="V282" s="448"/>
      <c r="W282" s="1317"/>
      <c r="X282" s="1317"/>
      <c r="Y282" s="1317"/>
      <c r="Z282" s="1317"/>
      <c r="AA282" s="1317"/>
      <c r="AB282" s="1317"/>
      <c r="AC282" s="1317"/>
      <c r="AD282" s="1317"/>
      <c r="AE282" s="1317"/>
      <c r="AF282" s="1317"/>
      <c r="AG282" s="448"/>
      <c r="AH282" s="448"/>
      <c r="AI282" s="448"/>
      <c r="AJ282" s="448"/>
      <c r="AK282" s="448"/>
      <c r="AL282" s="448"/>
      <c r="AM282" s="448"/>
      <c r="AN282" s="448"/>
      <c r="AO282" s="448"/>
      <c r="AP282" s="448"/>
      <c r="AQ282" s="448"/>
      <c r="AR282" s="448"/>
      <c r="AS282" s="448"/>
      <c r="AT282" s="448"/>
      <c r="AU282" s="448"/>
      <c r="AV282" s="448"/>
      <c r="AW282" s="448"/>
      <c r="AX282" s="448"/>
      <c r="AY282" s="448"/>
      <c r="AZ282" s="448"/>
      <c r="BA282" s="448"/>
    </row>
    <row r="283" spans="1:53" x14ac:dyDescent="0.2">
      <c r="A283" s="448"/>
      <c r="B283" s="448"/>
      <c r="C283" s="448"/>
      <c r="D283" s="448"/>
      <c r="E283" s="459"/>
      <c r="F283" s="460"/>
      <c r="G283" s="461"/>
      <c r="H283" s="461"/>
      <c r="I283" s="460"/>
      <c r="J283" s="460"/>
      <c r="K283" s="460"/>
      <c r="L283" s="460"/>
      <c r="M283" s="460"/>
      <c r="N283" s="462"/>
      <c r="O283" s="462"/>
      <c r="P283" s="448"/>
      <c r="Q283" s="448"/>
      <c r="R283" s="448"/>
      <c r="S283" s="448"/>
      <c r="T283" s="448"/>
      <c r="U283" s="448"/>
      <c r="V283" s="448"/>
      <c r="W283" s="1317"/>
      <c r="X283" s="1317"/>
      <c r="Y283" s="1317"/>
      <c r="Z283" s="1317"/>
      <c r="AA283" s="1317"/>
      <c r="AB283" s="1317"/>
      <c r="AC283" s="1317"/>
      <c r="AD283" s="1317"/>
      <c r="AE283" s="1317"/>
      <c r="AF283" s="1317"/>
      <c r="AG283" s="448"/>
      <c r="AH283" s="448"/>
      <c r="AI283" s="448"/>
      <c r="AJ283" s="448"/>
      <c r="AK283" s="448"/>
      <c r="AL283" s="448"/>
      <c r="AM283" s="448"/>
      <c r="AN283" s="448"/>
      <c r="AO283" s="448"/>
      <c r="AP283" s="448"/>
      <c r="AQ283" s="448"/>
      <c r="AR283" s="448"/>
      <c r="AS283" s="448"/>
      <c r="AT283" s="448"/>
      <c r="AU283" s="448"/>
      <c r="AV283" s="448"/>
      <c r="AW283" s="448"/>
      <c r="AX283" s="448"/>
      <c r="AY283" s="448"/>
      <c r="AZ283" s="448"/>
      <c r="BA283" s="448"/>
    </row>
    <row r="284" spans="1:53" x14ac:dyDescent="0.2">
      <c r="A284" s="448"/>
      <c r="B284" s="448"/>
      <c r="C284" s="448"/>
      <c r="D284" s="448"/>
      <c r="E284" s="459"/>
      <c r="F284" s="460"/>
      <c r="G284" s="461"/>
      <c r="H284" s="461"/>
      <c r="I284" s="460"/>
      <c r="J284" s="460"/>
      <c r="K284" s="460"/>
      <c r="L284" s="460"/>
      <c r="M284" s="460"/>
      <c r="N284" s="462"/>
      <c r="O284" s="462"/>
      <c r="P284" s="448"/>
      <c r="Q284" s="448"/>
      <c r="R284" s="448"/>
      <c r="S284" s="448"/>
      <c r="T284" s="448"/>
      <c r="U284" s="448"/>
      <c r="V284" s="448"/>
      <c r="W284" s="1317"/>
      <c r="X284" s="1317"/>
      <c r="Y284" s="1317"/>
      <c r="Z284" s="1317"/>
      <c r="AA284" s="1317"/>
      <c r="AB284" s="1317"/>
      <c r="AC284" s="1317"/>
      <c r="AD284" s="1317"/>
      <c r="AE284" s="1317"/>
      <c r="AF284" s="1317"/>
      <c r="AG284" s="448"/>
      <c r="AH284" s="448"/>
      <c r="AI284" s="448"/>
      <c r="AJ284" s="448"/>
      <c r="AK284" s="448"/>
      <c r="AL284" s="448"/>
      <c r="AM284" s="448"/>
      <c r="AN284" s="448"/>
      <c r="AO284" s="448"/>
      <c r="AP284" s="448"/>
      <c r="AQ284" s="448"/>
      <c r="AR284" s="448"/>
      <c r="AS284" s="448"/>
      <c r="AT284" s="448"/>
      <c r="AU284" s="448"/>
      <c r="AV284" s="448"/>
      <c r="AW284" s="448"/>
      <c r="AX284" s="448"/>
      <c r="AY284" s="448"/>
      <c r="AZ284" s="448"/>
      <c r="BA284" s="448"/>
    </row>
    <row r="285" spans="1:53" x14ac:dyDescent="0.2">
      <c r="A285" s="448"/>
      <c r="B285" s="448"/>
      <c r="C285" s="448"/>
      <c r="D285" s="448"/>
      <c r="E285" s="459"/>
      <c r="F285" s="460"/>
      <c r="G285" s="461"/>
      <c r="H285" s="461"/>
      <c r="I285" s="460"/>
      <c r="J285" s="460"/>
      <c r="K285" s="460"/>
      <c r="L285" s="460"/>
      <c r="M285" s="460"/>
      <c r="N285" s="462"/>
      <c r="O285" s="462"/>
      <c r="P285" s="448"/>
      <c r="Q285" s="448"/>
      <c r="R285" s="448"/>
      <c r="S285" s="448"/>
      <c r="T285" s="448"/>
      <c r="U285" s="448"/>
      <c r="V285" s="448"/>
      <c r="W285" s="1317"/>
      <c r="X285" s="1317"/>
      <c r="Y285" s="1317"/>
      <c r="Z285" s="1317"/>
      <c r="AA285" s="1317"/>
      <c r="AB285" s="1317"/>
      <c r="AC285" s="1317"/>
      <c r="AD285" s="1317"/>
      <c r="AE285" s="1317"/>
      <c r="AF285" s="1317"/>
      <c r="AG285" s="448"/>
      <c r="AH285" s="448"/>
      <c r="AI285" s="448"/>
      <c r="AJ285" s="448"/>
      <c r="AK285" s="448"/>
      <c r="AL285" s="448"/>
      <c r="AM285" s="448"/>
      <c r="AN285" s="448"/>
      <c r="AO285" s="448"/>
      <c r="AP285" s="448"/>
      <c r="AQ285" s="448"/>
      <c r="AR285" s="448"/>
      <c r="AS285" s="448"/>
      <c r="AT285" s="448"/>
      <c r="AU285" s="448"/>
      <c r="AV285" s="448"/>
      <c r="AW285" s="448"/>
      <c r="AX285" s="448"/>
      <c r="AY285" s="448"/>
      <c r="AZ285" s="448"/>
      <c r="BA285" s="448"/>
    </row>
    <row r="286" spans="1:53" x14ac:dyDescent="0.2">
      <c r="A286" s="448"/>
      <c r="B286" s="448"/>
      <c r="C286" s="448"/>
      <c r="D286" s="448"/>
      <c r="E286" s="459"/>
      <c r="F286" s="460"/>
      <c r="G286" s="461"/>
      <c r="H286" s="461"/>
      <c r="I286" s="460"/>
      <c r="J286" s="460"/>
      <c r="K286" s="460"/>
      <c r="L286" s="460"/>
      <c r="M286" s="460"/>
      <c r="N286" s="462"/>
      <c r="O286" s="462"/>
      <c r="P286" s="448"/>
      <c r="Q286" s="448"/>
      <c r="R286" s="448"/>
      <c r="S286" s="448"/>
      <c r="T286" s="448"/>
      <c r="U286" s="448"/>
      <c r="V286" s="448"/>
      <c r="W286" s="1317"/>
      <c r="X286" s="1317"/>
      <c r="Y286" s="1317"/>
      <c r="Z286" s="1317"/>
      <c r="AA286" s="1317"/>
      <c r="AB286" s="1317"/>
      <c r="AC286" s="1317"/>
      <c r="AD286" s="1317"/>
      <c r="AE286" s="1317"/>
      <c r="AF286" s="1317"/>
      <c r="AG286" s="448"/>
      <c r="AH286" s="448"/>
      <c r="AI286" s="448"/>
      <c r="AJ286" s="448"/>
      <c r="AK286" s="448"/>
      <c r="AL286" s="448"/>
      <c r="AM286" s="448"/>
      <c r="AN286" s="448"/>
      <c r="AO286" s="448"/>
      <c r="AP286" s="448"/>
      <c r="AQ286" s="448"/>
      <c r="AR286" s="448"/>
      <c r="AS286" s="448"/>
      <c r="AT286" s="448"/>
      <c r="AU286" s="448"/>
      <c r="AV286" s="448"/>
      <c r="AW286" s="448"/>
      <c r="AX286" s="448"/>
      <c r="AY286" s="448"/>
      <c r="AZ286" s="448"/>
      <c r="BA286" s="448"/>
    </row>
    <row r="287" spans="1:53" x14ac:dyDescent="0.2">
      <c r="A287" s="448"/>
      <c r="B287" s="448"/>
      <c r="C287" s="448"/>
      <c r="D287" s="448"/>
      <c r="E287" s="459"/>
      <c r="F287" s="460"/>
      <c r="G287" s="461"/>
      <c r="H287" s="461"/>
      <c r="I287" s="460"/>
      <c r="J287" s="460"/>
      <c r="K287" s="460"/>
      <c r="L287" s="460"/>
      <c r="M287" s="460"/>
      <c r="N287" s="462"/>
      <c r="O287" s="462"/>
      <c r="P287" s="448"/>
      <c r="Q287" s="448"/>
      <c r="R287" s="448"/>
      <c r="S287" s="448"/>
      <c r="T287" s="448"/>
      <c r="U287" s="448"/>
      <c r="V287" s="448"/>
      <c r="W287" s="1317"/>
      <c r="X287" s="1317"/>
      <c r="Y287" s="1317"/>
      <c r="Z287" s="1317"/>
      <c r="AA287" s="1317"/>
      <c r="AB287" s="1317"/>
      <c r="AC287" s="1317"/>
      <c r="AD287" s="1317"/>
      <c r="AE287" s="1317"/>
      <c r="AF287" s="1317"/>
      <c r="AG287" s="448"/>
      <c r="AH287" s="448"/>
      <c r="AI287" s="448"/>
      <c r="AJ287" s="448"/>
      <c r="AK287" s="448"/>
      <c r="AL287" s="448"/>
      <c r="AM287" s="448"/>
      <c r="AN287" s="448"/>
      <c r="AO287" s="448"/>
      <c r="AP287" s="448"/>
      <c r="AQ287" s="448"/>
      <c r="AR287" s="448"/>
      <c r="AS287" s="448"/>
      <c r="AT287" s="448"/>
      <c r="AU287" s="448"/>
      <c r="AV287" s="448"/>
      <c r="AW287" s="448"/>
      <c r="AX287" s="448"/>
      <c r="AY287" s="448"/>
      <c r="AZ287" s="448"/>
      <c r="BA287" s="448"/>
    </row>
    <row r="288" spans="1:53" x14ac:dyDescent="0.2">
      <c r="A288" s="448"/>
      <c r="B288" s="448"/>
      <c r="C288" s="448"/>
      <c r="D288" s="448"/>
      <c r="E288" s="459"/>
      <c r="F288" s="460"/>
      <c r="G288" s="461"/>
      <c r="H288" s="461"/>
      <c r="I288" s="460"/>
      <c r="J288" s="460"/>
      <c r="K288" s="460"/>
      <c r="L288" s="460"/>
      <c r="M288" s="460"/>
      <c r="N288" s="462"/>
      <c r="O288" s="462"/>
      <c r="P288" s="448"/>
      <c r="Q288" s="448"/>
      <c r="R288" s="448"/>
      <c r="S288" s="448"/>
      <c r="T288" s="448"/>
      <c r="U288" s="448"/>
      <c r="V288" s="448"/>
      <c r="W288" s="1317"/>
      <c r="X288" s="1317"/>
      <c r="Y288" s="1317"/>
      <c r="Z288" s="1317"/>
      <c r="AA288" s="1317"/>
      <c r="AB288" s="1317"/>
      <c r="AC288" s="1317"/>
      <c r="AD288" s="1317"/>
      <c r="AE288" s="1317"/>
      <c r="AF288" s="1317"/>
      <c r="AG288" s="448"/>
      <c r="AH288" s="448"/>
      <c r="AI288" s="448"/>
      <c r="AJ288" s="448"/>
      <c r="AK288" s="448"/>
      <c r="AL288" s="448"/>
      <c r="AM288" s="448"/>
      <c r="AN288" s="448"/>
      <c r="AO288" s="448"/>
      <c r="AP288" s="448"/>
      <c r="AQ288" s="448"/>
      <c r="AR288" s="448"/>
      <c r="AS288" s="448"/>
      <c r="AT288" s="448"/>
      <c r="AU288" s="448"/>
      <c r="AV288" s="448"/>
      <c r="AW288" s="448"/>
      <c r="AX288" s="448"/>
      <c r="AY288" s="448"/>
      <c r="AZ288" s="448"/>
      <c r="BA288" s="448"/>
    </row>
    <row r="289" spans="1:53" x14ac:dyDescent="0.2">
      <c r="A289" s="448"/>
      <c r="B289" s="448"/>
      <c r="C289" s="448"/>
      <c r="D289" s="448"/>
      <c r="E289" s="459"/>
      <c r="F289" s="460"/>
      <c r="G289" s="461"/>
      <c r="H289" s="461"/>
      <c r="I289" s="460"/>
      <c r="J289" s="460"/>
      <c r="K289" s="460"/>
      <c r="L289" s="460"/>
      <c r="M289" s="460"/>
      <c r="N289" s="462"/>
      <c r="O289" s="462"/>
      <c r="P289" s="448"/>
      <c r="Q289" s="448"/>
      <c r="R289" s="448"/>
      <c r="S289" s="448"/>
      <c r="T289" s="448"/>
      <c r="U289" s="448"/>
      <c r="V289" s="448"/>
      <c r="W289" s="1317"/>
      <c r="X289" s="1317"/>
      <c r="Y289" s="1317"/>
      <c r="Z289" s="1317"/>
      <c r="AA289" s="1317"/>
      <c r="AB289" s="1317"/>
      <c r="AC289" s="1317"/>
      <c r="AD289" s="1317"/>
      <c r="AE289" s="1317"/>
      <c r="AF289" s="1317"/>
      <c r="AG289" s="448"/>
      <c r="AH289" s="448"/>
      <c r="AI289" s="448"/>
      <c r="AJ289" s="448"/>
      <c r="AK289" s="448"/>
      <c r="AL289" s="448"/>
      <c r="AM289" s="448"/>
      <c r="AN289" s="448"/>
      <c r="AO289" s="448"/>
      <c r="AP289" s="448"/>
      <c r="AQ289" s="448"/>
      <c r="AR289" s="448"/>
      <c r="AS289" s="448"/>
      <c r="AT289" s="448"/>
      <c r="AU289" s="448"/>
      <c r="AV289" s="448"/>
      <c r="AW289" s="448"/>
      <c r="AX289" s="448"/>
      <c r="AY289" s="448"/>
      <c r="AZ289" s="448"/>
      <c r="BA289" s="448"/>
    </row>
    <row r="290" spans="1:53" x14ac:dyDescent="0.2">
      <c r="A290" s="448"/>
      <c r="B290" s="448"/>
      <c r="C290" s="448"/>
      <c r="D290" s="448"/>
      <c r="E290" s="459"/>
      <c r="F290" s="460"/>
      <c r="G290" s="461"/>
      <c r="H290" s="461"/>
      <c r="I290" s="460"/>
      <c r="J290" s="460"/>
      <c r="K290" s="460"/>
      <c r="L290" s="460"/>
      <c r="M290" s="460"/>
      <c r="N290" s="462"/>
      <c r="O290" s="462"/>
      <c r="P290" s="448"/>
      <c r="Q290" s="448"/>
      <c r="R290" s="448"/>
      <c r="S290" s="448"/>
      <c r="T290" s="448"/>
      <c r="U290" s="448"/>
      <c r="V290" s="448"/>
      <c r="W290" s="1317"/>
      <c r="X290" s="1317"/>
      <c r="Y290" s="1317"/>
      <c r="Z290" s="1317"/>
      <c r="AA290" s="1317"/>
      <c r="AB290" s="1317"/>
      <c r="AC290" s="1317"/>
      <c r="AD290" s="1317"/>
      <c r="AE290" s="1317"/>
      <c r="AF290" s="1317"/>
      <c r="AG290" s="448"/>
      <c r="AH290" s="448"/>
      <c r="AI290" s="448"/>
      <c r="AJ290" s="448"/>
      <c r="AK290" s="448"/>
      <c r="AL290" s="448"/>
      <c r="AM290" s="448"/>
      <c r="AN290" s="448"/>
      <c r="AO290" s="448"/>
      <c r="AP290" s="448"/>
      <c r="AQ290" s="448"/>
      <c r="AR290" s="448"/>
      <c r="AS290" s="448"/>
      <c r="AT290" s="448"/>
      <c r="AU290" s="448"/>
      <c r="AV290" s="448"/>
      <c r="AW290" s="448"/>
      <c r="AX290" s="448"/>
      <c r="AY290" s="448"/>
      <c r="AZ290" s="448"/>
      <c r="BA290" s="448"/>
    </row>
    <row r="291" spans="1:53" x14ac:dyDescent="0.2">
      <c r="A291" s="448"/>
      <c r="B291" s="448"/>
      <c r="C291" s="448"/>
      <c r="D291" s="448"/>
      <c r="E291" s="459"/>
      <c r="F291" s="460"/>
      <c r="G291" s="461"/>
      <c r="H291" s="461"/>
      <c r="I291" s="460"/>
      <c r="J291" s="460"/>
      <c r="K291" s="460"/>
      <c r="L291" s="460"/>
      <c r="M291" s="460"/>
      <c r="N291" s="462"/>
      <c r="O291" s="462"/>
      <c r="P291" s="448"/>
      <c r="Q291" s="448"/>
      <c r="R291" s="448"/>
      <c r="S291" s="448"/>
      <c r="T291" s="448"/>
      <c r="U291" s="448"/>
      <c r="V291" s="448"/>
      <c r="W291" s="1317"/>
      <c r="X291" s="1317"/>
      <c r="Y291" s="1317"/>
      <c r="Z291" s="1317"/>
      <c r="AA291" s="1317"/>
      <c r="AB291" s="1317"/>
      <c r="AC291" s="1317"/>
      <c r="AD291" s="1317"/>
      <c r="AE291" s="1317"/>
      <c r="AF291" s="1317"/>
      <c r="AG291" s="448"/>
      <c r="AH291" s="448"/>
      <c r="AI291" s="448"/>
      <c r="AJ291" s="448"/>
      <c r="AK291" s="448"/>
      <c r="AL291" s="448"/>
      <c r="AM291" s="448"/>
      <c r="AN291" s="448"/>
      <c r="AO291" s="448"/>
      <c r="AP291" s="448"/>
      <c r="AQ291" s="448"/>
      <c r="AR291" s="448"/>
      <c r="AS291" s="448"/>
      <c r="AT291" s="448"/>
      <c r="AU291" s="448"/>
      <c r="AV291" s="448"/>
      <c r="AW291" s="448"/>
      <c r="AX291" s="448"/>
      <c r="AY291" s="448"/>
      <c r="AZ291" s="448"/>
      <c r="BA291" s="448"/>
    </row>
    <row r="292" spans="1:53" x14ac:dyDescent="0.2">
      <c r="A292" s="448"/>
      <c r="B292" s="448"/>
      <c r="C292" s="448"/>
      <c r="D292" s="448"/>
      <c r="E292" s="459"/>
      <c r="F292" s="460"/>
      <c r="G292" s="461"/>
      <c r="H292" s="461"/>
      <c r="I292" s="460"/>
      <c r="J292" s="460"/>
      <c r="K292" s="460"/>
      <c r="L292" s="460"/>
      <c r="M292" s="460"/>
      <c r="N292" s="462"/>
      <c r="O292" s="462"/>
      <c r="P292" s="448"/>
      <c r="Q292" s="448"/>
      <c r="R292" s="448"/>
      <c r="S292" s="448"/>
      <c r="T292" s="448"/>
      <c r="U292" s="448"/>
      <c r="V292" s="448"/>
      <c r="W292" s="1317"/>
      <c r="X292" s="1317"/>
      <c r="Y292" s="1317"/>
      <c r="Z292" s="1317"/>
      <c r="AA292" s="1317"/>
      <c r="AB292" s="1317"/>
      <c r="AC292" s="1317"/>
      <c r="AD292" s="1317"/>
      <c r="AE292" s="1317"/>
      <c r="AF292" s="1317"/>
      <c r="AG292" s="448"/>
      <c r="AH292" s="448"/>
      <c r="AI292" s="448"/>
      <c r="AJ292" s="448"/>
      <c r="AK292" s="448"/>
      <c r="AL292" s="448"/>
      <c r="AM292" s="448"/>
      <c r="AN292" s="448"/>
      <c r="AO292" s="448"/>
      <c r="AP292" s="448"/>
      <c r="AQ292" s="448"/>
      <c r="AR292" s="448"/>
      <c r="AS292" s="448"/>
      <c r="AT292" s="448"/>
      <c r="AU292" s="448"/>
      <c r="AV292" s="448"/>
      <c r="AW292" s="448"/>
      <c r="AX292" s="448"/>
      <c r="AY292" s="448"/>
      <c r="AZ292" s="448"/>
      <c r="BA292" s="448"/>
    </row>
    <row r="293" spans="1:53" x14ac:dyDescent="0.2">
      <c r="A293" s="448"/>
      <c r="B293" s="448"/>
      <c r="C293" s="448"/>
      <c r="D293" s="448"/>
      <c r="E293" s="459"/>
      <c r="F293" s="460"/>
      <c r="G293" s="461"/>
      <c r="H293" s="461"/>
      <c r="I293" s="460"/>
      <c r="J293" s="460"/>
      <c r="K293" s="460"/>
      <c r="L293" s="460"/>
      <c r="M293" s="460"/>
      <c r="N293" s="462"/>
      <c r="O293" s="462"/>
      <c r="P293" s="448"/>
      <c r="Q293" s="448"/>
      <c r="R293" s="448"/>
      <c r="S293" s="448"/>
      <c r="T293" s="448"/>
      <c r="U293" s="448"/>
      <c r="V293" s="448"/>
      <c r="W293" s="1317"/>
      <c r="X293" s="1317"/>
      <c r="Y293" s="1317"/>
      <c r="Z293" s="1317"/>
      <c r="AA293" s="1317"/>
      <c r="AB293" s="1317"/>
      <c r="AC293" s="1317"/>
      <c r="AD293" s="1317"/>
      <c r="AE293" s="1317"/>
      <c r="AF293" s="1317"/>
      <c r="AG293" s="448"/>
      <c r="AH293" s="448"/>
      <c r="AI293" s="448"/>
      <c r="AJ293" s="448"/>
      <c r="AK293" s="448"/>
      <c r="AL293" s="448"/>
      <c r="AM293" s="448"/>
      <c r="AN293" s="448"/>
      <c r="AO293" s="448"/>
      <c r="AP293" s="448"/>
      <c r="AQ293" s="448"/>
      <c r="AR293" s="448"/>
      <c r="AS293" s="448"/>
      <c r="AT293" s="448"/>
      <c r="AU293" s="448"/>
      <c r="AV293" s="448"/>
      <c r="AW293" s="448"/>
      <c r="AX293" s="448"/>
      <c r="AY293" s="448"/>
      <c r="AZ293" s="448"/>
      <c r="BA293" s="448"/>
    </row>
    <row r="294" spans="1:53" x14ac:dyDescent="0.2">
      <c r="A294" s="448"/>
      <c r="B294" s="448"/>
      <c r="C294" s="448"/>
      <c r="D294" s="448"/>
      <c r="E294" s="459"/>
      <c r="F294" s="460"/>
      <c r="G294" s="461"/>
      <c r="H294" s="461"/>
      <c r="I294" s="460"/>
      <c r="J294" s="460"/>
      <c r="K294" s="460"/>
      <c r="L294" s="460"/>
      <c r="M294" s="460"/>
      <c r="N294" s="462"/>
      <c r="O294" s="462"/>
      <c r="P294" s="448"/>
      <c r="Q294" s="448"/>
      <c r="R294" s="448"/>
      <c r="S294" s="448"/>
      <c r="T294" s="448"/>
      <c r="U294" s="448"/>
      <c r="V294" s="448"/>
      <c r="W294" s="1317"/>
      <c r="X294" s="1317"/>
      <c r="Y294" s="1317"/>
      <c r="Z294" s="1317"/>
      <c r="AA294" s="1317"/>
      <c r="AB294" s="1317"/>
      <c r="AC294" s="1317"/>
      <c r="AD294" s="1317"/>
      <c r="AE294" s="1317"/>
      <c r="AF294" s="1317"/>
      <c r="AG294" s="448"/>
      <c r="AH294" s="448"/>
      <c r="AI294" s="448"/>
      <c r="AJ294" s="448"/>
      <c r="AK294" s="448"/>
      <c r="AL294" s="448"/>
      <c r="AM294" s="448"/>
      <c r="AN294" s="448"/>
      <c r="AO294" s="448"/>
      <c r="AP294" s="448"/>
      <c r="AQ294" s="448"/>
      <c r="AR294" s="448"/>
      <c r="AS294" s="448"/>
      <c r="AT294" s="448"/>
      <c r="AU294" s="448"/>
      <c r="AV294" s="448"/>
      <c r="AW294" s="448"/>
      <c r="AX294" s="448"/>
      <c r="AY294" s="448"/>
      <c r="AZ294" s="448"/>
      <c r="BA294" s="448"/>
    </row>
    <row r="295" spans="1:53" x14ac:dyDescent="0.2">
      <c r="A295" s="448"/>
      <c r="B295" s="448"/>
      <c r="C295" s="448"/>
      <c r="D295" s="448"/>
      <c r="E295" s="459"/>
      <c r="F295" s="460"/>
      <c r="G295" s="461"/>
      <c r="H295" s="461"/>
      <c r="I295" s="460"/>
      <c r="J295" s="460"/>
      <c r="K295" s="460"/>
      <c r="L295" s="460"/>
      <c r="M295" s="460"/>
      <c r="N295" s="462"/>
      <c r="O295" s="462"/>
      <c r="P295" s="448"/>
      <c r="Q295" s="448"/>
      <c r="R295" s="448"/>
      <c r="S295" s="448"/>
      <c r="T295" s="448"/>
      <c r="U295" s="448"/>
      <c r="V295" s="448"/>
      <c r="W295" s="1317"/>
      <c r="X295" s="1317"/>
      <c r="Y295" s="1317"/>
      <c r="Z295" s="1317"/>
      <c r="AA295" s="1317"/>
      <c r="AB295" s="1317"/>
      <c r="AC295" s="1317"/>
      <c r="AD295" s="1317"/>
      <c r="AE295" s="1317"/>
      <c r="AF295" s="1317"/>
      <c r="AG295" s="448"/>
      <c r="AH295" s="448"/>
      <c r="AI295" s="448"/>
      <c r="AJ295" s="448"/>
      <c r="AK295" s="448"/>
      <c r="AL295" s="448"/>
      <c r="AM295" s="448"/>
      <c r="AN295" s="448"/>
      <c r="AO295" s="448"/>
      <c r="AP295" s="448"/>
      <c r="AQ295" s="448"/>
      <c r="AR295" s="448"/>
      <c r="AS295" s="448"/>
      <c r="AT295" s="448"/>
      <c r="AU295" s="448"/>
      <c r="AV295" s="448"/>
      <c r="AW295" s="448"/>
      <c r="AX295" s="448"/>
      <c r="AY295" s="448"/>
      <c r="AZ295" s="448"/>
      <c r="BA295" s="448"/>
    </row>
    <row r="296" spans="1:53" x14ac:dyDescent="0.2">
      <c r="A296" s="448"/>
      <c r="B296" s="448"/>
      <c r="C296" s="448"/>
      <c r="D296" s="448"/>
      <c r="E296" s="459"/>
      <c r="F296" s="460"/>
      <c r="G296" s="461"/>
      <c r="H296" s="461"/>
      <c r="I296" s="460"/>
      <c r="J296" s="460"/>
      <c r="K296" s="460"/>
      <c r="L296" s="460"/>
      <c r="M296" s="460"/>
      <c r="N296" s="462"/>
      <c r="O296" s="462"/>
      <c r="P296" s="448"/>
      <c r="Q296" s="448"/>
      <c r="R296" s="448"/>
      <c r="S296" s="448"/>
      <c r="T296" s="448"/>
      <c r="U296" s="448"/>
      <c r="V296" s="448"/>
      <c r="W296" s="1317"/>
      <c r="X296" s="1317"/>
      <c r="Y296" s="1317"/>
      <c r="Z296" s="1317"/>
      <c r="AA296" s="1317"/>
      <c r="AB296" s="1317"/>
      <c r="AC296" s="1317"/>
      <c r="AD296" s="1317"/>
      <c r="AE296" s="1317"/>
      <c r="AF296" s="1317"/>
      <c r="AG296" s="448"/>
      <c r="AH296" s="448"/>
      <c r="AI296" s="448"/>
      <c r="AJ296" s="448"/>
      <c r="AK296" s="448"/>
      <c r="AL296" s="448"/>
      <c r="AM296" s="448"/>
      <c r="AN296" s="448"/>
      <c r="AO296" s="448"/>
      <c r="AP296" s="448"/>
      <c r="AQ296" s="448"/>
      <c r="AR296" s="448"/>
      <c r="AS296" s="448"/>
      <c r="AT296" s="448"/>
      <c r="AU296" s="448"/>
      <c r="AV296" s="448"/>
      <c r="AW296" s="448"/>
      <c r="AX296" s="448"/>
      <c r="AY296" s="448"/>
      <c r="AZ296" s="448"/>
      <c r="BA296" s="448"/>
    </row>
    <row r="297" spans="1:53" x14ac:dyDescent="0.2">
      <c r="A297" s="448"/>
      <c r="B297" s="448"/>
      <c r="C297" s="448"/>
      <c r="D297" s="448"/>
      <c r="E297" s="459"/>
      <c r="F297" s="460"/>
      <c r="G297" s="461"/>
      <c r="H297" s="461"/>
      <c r="I297" s="460"/>
      <c r="J297" s="460"/>
      <c r="K297" s="460"/>
      <c r="L297" s="460"/>
      <c r="M297" s="460"/>
      <c r="N297" s="462"/>
      <c r="O297" s="462"/>
      <c r="P297" s="448"/>
      <c r="Q297" s="448"/>
      <c r="R297" s="448"/>
      <c r="S297" s="448"/>
      <c r="T297" s="448"/>
      <c r="U297" s="448"/>
      <c r="V297" s="448"/>
      <c r="W297" s="1317"/>
      <c r="X297" s="1317"/>
      <c r="Y297" s="1317"/>
      <c r="Z297" s="1317"/>
      <c r="AA297" s="1317"/>
      <c r="AB297" s="1317"/>
      <c r="AC297" s="1317"/>
      <c r="AD297" s="1317"/>
      <c r="AE297" s="1317"/>
      <c r="AF297" s="1317"/>
      <c r="AG297" s="448"/>
      <c r="AH297" s="448"/>
      <c r="AI297" s="448"/>
      <c r="AJ297" s="448"/>
      <c r="AK297" s="448"/>
      <c r="AL297" s="448"/>
      <c r="AM297" s="448"/>
      <c r="AN297" s="448"/>
      <c r="AO297" s="448"/>
      <c r="AP297" s="448"/>
      <c r="AQ297" s="448"/>
      <c r="AR297" s="448"/>
      <c r="AS297" s="448"/>
      <c r="AT297" s="448"/>
      <c r="AU297" s="448"/>
      <c r="AV297" s="448"/>
      <c r="AW297" s="448"/>
      <c r="AX297" s="448"/>
      <c r="AY297" s="448"/>
      <c r="AZ297" s="448"/>
      <c r="BA297" s="448"/>
    </row>
    <row r="298" spans="1:53" x14ac:dyDescent="0.2">
      <c r="A298" s="448"/>
      <c r="B298" s="448"/>
      <c r="C298" s="448"/>
      <c r="D298" s="448"/>
      <c r="E298" s="459"/>
      <c r="F298" s="460"/>
      <c r="G298" s="461"/>
      <c r="H298" s="461"/>
      <c r="I298" s="460"/>
      <c r="J298" s="460"/>
      <c r="K298" s="460"/>
      <c r="L298" s="460"/>
      <c r="M298" s="460"/>
      <c r="N298" s="462"/>
      <c r="O298" s="462"/>
      <c r="P298" s="448"/>
      <c r="Q298" s="448"/>
      <c r="R298" s="448"/>
      <c r="S298" s="448"/>
      <c r="T298" s="448"/>
      <c r="U298" s="448"/>
      <c r="V298" s="448"/>
      <c r="W298" s="1317"/>
      <c r="X298" s="1317"/>
      <c r="Y298" s="1317"/>
      <c r="Z298" s="1317"/>
      <c r="AA298" s="1317"/>
      <c r="AB298" s="1317"/>
      <c r="AC298" s="1317"/>
      <c r="AD298" s="1317"/>
      <c r="AE298" s="1317"/>
      <c r="AF298" s="1317"/>
      <c r="AG298" s="448"/>
      <c r="AH298" s="448"/>
      <c r="AI298" s="448"/>
      <c r="AJ298" s="448"/>
      <c r="AK298" s="448"/>
      <c r="AL298" s="448"/>
      <c r="AM298" s="448"/>
      <c r="AN298" s="448"/>
      <c r="AO298" s="448"/>
      <c r="AP298" s="448"/>
      <c r="AQ298" s="448"/>
      <c r="AR298" s="448"/>
      <c r="AS298" s="448"/>
      <c r="AT298" s="448"/>
      <c r="AU298" s="448"/>
      <c r="AV298" s="448"/>
      <c r="AW298" s="448"/>
      <c r="AX298" s="448"/>
      <c r="AY298" s="448"/>
      <c r="AZ298" s="448"/>
      <c r="BA298" s="448"/>
    </row>
    <row r="299" spans="1:53" x14ac:dyDescent="0.2">
      <c r="A299" s="448"/>
      <c r="B299" s="448"/>
      <c r="C299" s="448"/>
      <c r="D299" s="448"/>
      <c r="E299" s="459"/>
      <c r="F299" s="460"/>
      <c r="G299" s="461"/>
      <c r="H299" s="461"/>
      <c r="I299" s="460"/>
      <c r="J299" s="460"/>
      <c r="K299" s="460"/>
      <c r="L299" s="460"/>
      <c r="M299" s="460"/>
      <c r="N299" s="462"/>
      <c r="O299" s="462"/>
      <c r="P299" s="448"/>
      <c r="Q299" s="448"/>
      <c r="R299" s="448"/>
      <c r="S299" s="448"/>
      <c r="T299" s="448"/>
      <c r="U299" s="448"/>
      <c r="V299" s="448"/>
      <c r="W299" s="1317"/>
      <c r="X299" s="1317"/>
      <c r="Y299" s="1317"/>
      <c r="Z299" s="1317"/>
      <c r="AA299" s="1317"/>
      <c r="AB299" s="1317"/>
      <c r="AC299" s="1317"/>
      <c r="AD299" s="1317"/>
      <c r="AE299" s="1317"/>
      <c r="AF299" s="1317"/>
      <c r="AG299" s="448"/>
      <c r="AH299" s="448"/>
      <c r="AI299" s="448"/>
      <c r="AJ299" s="448"/>
      <c r="AK299" s="448"/>
      <c r="AL299" s="448"/>
      <c r="AM299" s="448"/>
      <c r="AN299" s="448"/>
      <c r="AO299" s="448"/>
      <c r="AP299" s="448"/>
      <c r="AQ299" s="448"/>
      <c r="AR299" s="448"/>
      <c r="AS299" s="448"/>
      <c r="AT299" s="448"/>
      <c r="AU299" s="448"/>
      <c r="AV299" s="448"/>
      <c r="AW299" s="448"/>
      <c r="AX299" s="448"/>
      <c r="AY299" s="448"/>
      <c r="AZ299" s="448"/>
      <c r="BA299" s="448"/>
    </row>
    <row r="300" spans="1:53" x14ac:dyDescent="0.2">
      <c r="A300" s="448"/>
      <c r="B300" s="448"/>
      <c r="C300" s="448"/>
      <c r="D300" s="448"/>
      <c r="E300" s="459"/>
      <c r="F300" s="460"/>
      <c r="G300" s="461"/>
      <c r="H300" s="461"/>
      <c r="I300" s="460"/>
      <c r="J300" s="460"/>
      <c r="K300" s="460"/>
      <c r="L300" s="460"/>
      <c r="M300" s="460"/>
      <c r="N300" s="462"/>
      <c r="O300" s="462"/>
      <c r="P300" s="448"/>
      <c r="Q300" s="448"/>
      <c r="R300" s="448"/>
      <c r="S300" s="448"/>
      <c r="T300" s="448"/>
      <c r="U300" s="448"/>
      <c r="V300" s="448"/>
      <c r="W300" s="1317"/>
      <c r="X300" s="1317"/>
      <c r="Y300" s="1317"/>
      <c r="Z300" s="1317"/>
      <c r="AA300" s="1317"/>
      <c r="AB300" s="1317"/>
      <c r="AC300" s="1317"/>
      <c r="AD300" s="1317"/>
      <c r="AE300" s="1317"/>
      <c r="AF300" s="1317"/>
      <c r="AG300" s="448"/>
      <c r="AH300" s="448"/>
      <c r="AI300" s="448"/>
      <c r="AJ300" s="448"/>
      <c r="AK300" s="448"/>
      <c r="AL300" s="448"/>
      <c r="AM300" s="448"/>
      <c r="AN300" s="448"/>
      <c r="AO300" s="448"/>
      <c r="AP300" s="448"/>
      <c r="AQ300" s="448"/>
      <c r="AR300" s="448"/>
      <c r="AS300" s="448"/>
      <c r="AT300" s="448"/>
      <c r="AU300" s="448"/>
      <c r="AV300" s="448"/>
      <c r="AW300" s="448"/>
      <c r="AX300" s="448"/>
      <c r="AY300" s="448"/>
      <c r="AZ300" s="448"/>
      <c r="BA300" s="448"/>
    </row>
    <row r="301" spans="1:53" x14ac:dyDescent="0.2">
      <c r="A301" s="448"/>
      <c r="B301" s="448"/>
      <c r="C301" s="448"/>
      <c r="D301" s="448"/>
      <c r="E301" s="459"/>
      <c r="F301" s="460"/>
      <c r="G301" s="461"/>
      <c r="H301" s="461"/>
      <c r="I301" s="460"/>
      <c r="J301" s="460"/>
      <c r="K301" s="460"/>
      <c r="L301" s="460"/>
      <c r="M301" s="460"/>
      <c r="N301" s="462"/>
      <c r="O301" s="462"/>
      <c r="P301" s="448"/>
      <c r="Q301" s="448"/>
      <c r="R301" s="448"/>
      <c r="S301" s="448"/>
      <c r="T301" s="448"/>
      <c r="U301" s="448"/>
      <c r="V301" s="448"/>
      <c r="W301" s="1317"/>
      <c r="X301" s="1317"/>
      <c r="Y301" s="1317"/>
      <c r="Z301" s="1317"/>
      <c r="AA301" s="1317"/>
      <c r="AB301" s="1317"/>
      <c r="AC301" s="1317"/>
      <c r="AD301" s="1317"/>
      <c r="AE301" s="1317"/>
      <c r="AF301" s="1317"/>
      <c r="AG301" s="448"/>
      <c r="AH301" s="448"/>
      <c r="AI301" s="448"/>
      <c r="AJ301" s="448"/>
      <c r="AK301" s="448"/>
      <c r="AL301" s="448"/>
      <c r="AM301" s="448"/>
      <c r="AN301" s="448"/>
      <c r="AO301" s="448"/>
      <c r="AP301" s="448"/>
      <c r="AQ301" s="448"/>
      <c r="AR301" s="448"/>
      <c r="AS301" s="448"/>
      <c r="AT301" s="448"/>
      <c r="AU301" s="448"/>
      <c r="AV301" s="448"/>
      <c r="AW301" s="448"/>
      <c r="AX301" s="448"/>
      <c r="AY301" s="448"/>
      <c r="AZ301" s="448"/>
      <c r="BA301" s="448"/>
    </row>
    <row r="302" spans="1:53" x14ac:dyDescent="0.2">
      <c r="A302" s="448"/>
      <c r="B302" s="448"/>
      <c r="C302" s="448"/>
      <c r="D302" s="448"/>
      <c r="E302" s="459"/>
      <c r="F302" s="460"/>
      <c r="G302" s="461"/>
      <c r="H302" s="461"/>
      <c r="I302" s="460"/>
      <c r="J302" s="460"/>
      <c r="K302" s="460"/>
      <c r="L302" s="460"/>
      <c r="M302" s="460"/>
      <c r="N302" s="462"/>
      <c r="O302" s="462"/>
      <c r="P302" s="448"/>
      <c r="Q302" s="448"/>
      <c r="R302" s="448"/>
      <c r="S302" s="448"/>
      <c r="T302" s="448"/>
      <c r="U302" s="448"/>
      <c r="V302" s="448"/>
      <c r="W302" s="1317"/>
      <c r="X302" s="1317"/>
      <c r="Y302" s="1317"/>
      <c r="Z302" s="1317"/>
      <c r="AA302" s="1317"/>
      <c r="AB302" s="1317"/>
      <c r="AC302" s="1317"/>
      <c r="AD302" s="1317"/>
      <c r="AE302" s="1317"/>
      <c r="AF302" s="1317"/>
      <c r="AG302" s="448"/>
      <c r="AH302" s="448"/>
      <c r="AI302" s="448"/>
      <c r="AJ302" s="448"/>
      <c r="AK302" s="448"/>
      <c r="AL302" s="448"/>
      <c r="AM302" s="448"/>
      <c r="AN302" s="448"/>
      <c r="AO302" s="448"/>
      <c r="AP302" s="448"/>
      <c r="AQ302" s="448"/>
      <c r="AR302" s="448"/>
      <c r="AS302" s="448"/>
      <c r="AT302" s="448"/>
      <c r="AU302" s="448"/>
      <c r="AV302" s="448"/>
      <c r="AW302" s="448"/>
      <c r="AX302" s="448"/>
      <c r="AY302" s="448"/>
      <c r="AZ302" s="448"/>
      <c r="BA302" s="448"/>
    </row>
    <row r="303" spans="1:53" x14ac:dyDescent="0.2">
      <c r="A303" s="448"/>
      <c r="B303" s="448"/>
      <c r="C303" s="448"/>
      <c r="D303" s="448"/>
      <c r="E303" s="459"/>
      <c r="F303" s="460"/>
      <c r="G303" s="461"/>
      <c r="H303" s="461"/>
      <c r="I303" s="460"/>
      <c r="J303" s="460"/>
      <c r="K303" s="460"/>
      <c r="L303" s="460"/>
      <c r="M303" s="460"/>
      <c r="N303" s="462"/>
      <c r="O303" s="462"/>
      <c r="P303" s="448"/>
      <c r="Q303" s="448"/>
      <c r="R303" s="448"/>
      <c r="S303" s="448"/>
      <c r="T303" s="448"/>
      <c r="U303" s="448"/>
      <c r="V303" s="448"/>
      <c r="W303" s="1317"/>
      <c r="X303" s="1317"/>
      <c r="Y303" s="1317"/>
      <c r="Z303" s="1317"/>
      <c r="AA303" s="1317"/>
      <c r="AB303" s="1317"/>
      <c r="AC303" s="1317"/>
      <c r="AD303" s="1317"/>
      <c r="AE303" s="1317"/>
      <c r="AF303" s="1317"/>
      <c r="AG303" s="448"/>
      <c r="AH303" s="448"/>
      <c r="AI303" s="448"/>
      <c r="AJ303" s="448"/>
      <c r="AK303" s="448"/>
      <c r="AL303" s="448"/>
      <c r="AM303" s="448"/>
      <c r="AN303" s="448"/>
      <c r="AO303" s="448"/>
      <c r="AP303" s="448"/>
      <c r="AQ303" s="448"/>
      <c r="AR303" s="448"/>
      <c r="AS303" s="448"/>
      <c r="AT303" s="448"/>
      <c r="AU303" s="448"/>
      <c r="AV303" s="448"/>
      <c r="AW303" s="448"/>
      <c r="AX303" s="448"/>
      <c r="AY303" s="448"/>
      <c r="AZ303" s="448"/>
      <c r="BA303" s="448"/>
    </row>
    <row r="304" spans="1:53" x14ac:dyDescent="0.2">
      <c r="A304" s="448"/>
      <c r="B304" s="448"/>
      <c r="C304" s="448"/>
      <c r="D304" s="448"/>
      <c r="E304" s="459"/>
      <c r="F304" s="460"/>
      <c r="G304" s="461"/>
      <c r="H304" s="461"/>
      <c r="I304" s="460"/>
      <c r="J304" s="460"/>
      <c r="K304" s="460"/>
      <c r="L304" s="460"/>
      <c r="M304" s="460"/>
      <c r="N304" s="462"/>
      <c r="O304" s="462"/>
      <c r="P304" s="448"/>
      <c r="Q304" s="448"/>
      <c r="R304" s="448"/>
      <c r="S304" s="448"/>
      <c r="T304" s="448"/>
      <c r="U304" s="448"/>
      <c r="V304" s="448"/>
      <c r="W304" s="1317"/>
      <c r="X304" s="1317"/>
      <c r="Y304" s="1317"/>
      <c r="Z304" s="1317"/>
      <c r="AA304" s="1317"/>
      <c r="AB304" s="1317"/>
      <c r="AC304" s="1317"/>
      <c r="AD304" s="1317"/>
      <c r="AE304" s="1317"/>
      <c r="AF304" s="1317"/>
      <c r="AG304" s="448"/>
      <c r="AH304" s="448"/>
      <c r="AI304" s="448"/>
      <c r="AJ304" s="448"/>
      <c r="AK304" s="448"/>
      <c r="AL304" s="448"/>
      <c r="AM304" s="448"/>
      <c r="AN304" s="448"/>
      <c r="AO304" s="448"/>
      <c r="AP304" s="448"/>
      <c r="AQ304" s="448"/>
      <c r="AR304" s="448"/>
      <c r="AS304" s="448"/>
      <c r="AT304" s="448"/>
      <c r="AU304" s="448"/>
      <c r="AV304" s="448"/>
      <c r="AW304" s="448"/>
      <c r="AX304" s="448"/>
      <c r="AY304" s="448"/>
      <c r="AZ304" s="448"/>
      <c r="BA304" s="448"/>
    </row>
    <row r="305" spans="1:53" x14ac:dyDescent="0.2">
      <c r="A305" s="448"/>
      <c r="B305" s="448"/>
      <c r="C305" s="448"/>
      <c r="D305" s="448"/>
      <c r="E305" s="459"/>
      <c r="F305" s="460"/>
      <c r="G305" s="461"/>
      <c r="H305" s="461"/>
      <c r="I305" s="460"/>
      <c r="J305" s="460"/>
      <c r="K305" s="460"/>
      <c r="L305" s="460"/>
      <c r="M305" s="460"/>
      <c r="N305" s="462"/>
      <c r="O305" s="462"/>
      <c r="P305" s="448"/>
      <c r="Q305" s="448"/>
      <c r="R305" s="448"/>
      <c r="S305" s="448"/>
      <c r="T305" s="448"/>
      <c r="U305" s="448"/>
      <c r="V305" s="448"/>
      <c r="W305" s="1317"/>
      <c r="X305" s="1317"/>
      <c r="Y305" s="1317"/>
      <c r="Z305" s="1317"/>
      <c r="AA305" s="1317"/>
      <c r="AB305" s="1317"/>
      <c r="AC305" s="1317"/>
      <c r="AD305" s="1317"/>
      <c r="AE305" s="1317"/>
      <c r="AF305" s="1317"/>
      <c r="AG305" s="448"/>
      <c r="AH305" s="448"/>
      <c r="AI305" s="448"/>
      <c r="AJ305" s="448"/>
      <c r="AK305" s="448"/>
      <c r="AL305" s="448"/>
      <c r="AM305" s="448"/>
      <c r="AN305" s="448"/>
      <c r="AO305" s="448"/>
      <c r="AP305" s="448"/>
      <c r="AQ305" s="448"/>
      <c r="AR305" s="448"/>
      <c r="AS305" s="448"/>
      <c r="AT305" s="448"/>
      <c r="AU305" s="448"/>
      <c r="AV305" s="448"/>
      <c r="AW305" s="448"/>
      <c r="AX305" s="448"/>
      <c r="AY305" s="448"/>
      <c r="AZ305" s="448"/>
      <c r="BA305" s="448"/>
    </row>
    <row r="306" spans="1:53" x14ac:dyDescent="0.2">
      <c r="A306" s="448"/>
      <c r="B306" s="448"/>
      <c r="C306" s="448"/>
      <c r="D306" s="448"/>
      <c r="E306" s="459"/>
      <c r="F306" s="460"/>
      <c r="G306" s="461"/>
      <c r="H306" s="461"/>
      <c r="I306" s="460"/>
      <c r="J306" s="460"/>
      <c r="K306" s="460"/>
      <c r="L306" s="460"/>
      <c r="M306" s="460"/>
      <c r="N306" s="462"/>
      <c r="O306" s="462"/>
      <c r="P306" s="448"/>
      <c r="Q306" s="448"/>
      <c r="R306" s="448"/>
      <c r="S306" s="448"/>
      <c r="T306" s="448"/>
      <c r="U306" s="448"/>
      <c r="V306" s="448"/>
      <c r="W306" s="1317"/>
      <c r="X306" s="1317"/>
      <c r="Y306" s="1317"/>
      <c r="Z306" s="1317"/>
      <c r="AA306" s="1317"/>
      <c r="AB306" s="1317"/>
      <c r="AC306" s="1317"/>
      <c r="AD306" s="1317"/>
      <c r="AE306" s="1317"/>
      <c r="AF306" s="1317"/>
      <c r="AG306" s="448"/>
      <c r="AH306" s="448"/>
      <c r="AI306" s="448"/>
      <c r="AJ306" s="448"/>
      <c r="AK306" s="448"/>
      <c r="AL306" s="448"/>
      <c r="AM306" s="448"/>
      <c r="AN306" s="448"/>
      <c r="AO306" s="448"/>
      <c r="AP306" s="448"/>
      <c r="AQ306" s="448"/>
      <c r="AR306" s="448"/>
      <c r="AS306" s="448"/>
      <c r="AT306" s="448"/>
      <c r="AU306" s="448"/>
      <c r="AV306" s="448"/>
      <c r="AW306" s="448"/>
      <c r="AX306" s="448"/>
      <c r="AY306" s="448"/>
      <c r="AZ306" s="448"/>
      <c r="BA306" s="448"/>
    </row>
    <row r="307" spans="1:53" x14ac:dyDescent="0.2">
      <c r="A307" s="448"/>
      <c r="B307" s="448"/>
      <c r="C307" s="448"/>
      <c r="D307" s="448"/>
      <c r="E307" s="459"/>
      <c r="F307" s="460"/>
      <c r="G307" s="461"/>
      <c r="H307" s="461"/>
      <c r="I307" s="460"/>
      <c r="J307" s="460"/>
      <c r="K307" s="460"/>
      <c r="L307" s="460"/>
      <c r="M307" s="460"/>
      <c r="N307" s="462"/>
      <c r="O307" s="462"/>
      <c r="P307" s="448"/>
      <c r="Q307" s="448"/>
      <c r="R307" s="448"/>
      <c r="S307" s="448"/>
      <c r="T307" s="448"/>
      <c r="U307" s="448"/>
      <c r="V307" s="448"/>
      <c r="W307" s="1317"/>
      <c r="X307" s="1317"/>
      <c r="Y307" s="1317"/>
      <c r="Z307" s="1317"/>
      <c r="AA307" s="1317"/>
      <c r="AB307" s="1317"/>
      <c r="AC307" s="1317"/>
      <c r="AD307" s="1317"/>
      <c r="AE307" s="1317"/>
      <c r="AF307" s="1317"/>
      <c r="AG307" s="448"/>
      <c r="AH307" s="448"/>
      <c r="AI307" s="448"/>
      <c r="AJ307" s="448"/>
      <c r="AK307" s="448"/>
      <c r="AL307" s="448"/>
      <c r="AM307" s="448"/>
      <c r="AN307" s="448"/>
      <c r="AO307" s="448"/>
      <c r="AP307" s="448"/>
      <c r="AQ307" s="448"/>
      <c r="AR307" s="448"/>
      <c r="AS307" s="448"/>
      <c r="AT307" s="448"/>
      <c r="AU307" s="448"/>
      <c r="AV307" s="448"/>
      <c r="AW307" s="448"/>
      <c r="AX307" s="448"/>
      <c r="AY307" s="448"/>
      <c r="AZ307" s="448"/>
      <c r="BA307" s="448"/>
    </row>
    <row r="308" spans="1:53" x14ac:dyDescent="0.2">
      <c r="A308" s="448"/>
      <c r="B308" s="448"/>
      <c r="C308" s="448"/>
      <c r="D308" s="448"/>
      <c r="E308" s="459"/>
      <c r="F308" s="460"/>
      <c r="G308" s="461"/>
      <c r="H308" s="461"/>
      <c r="I308" s="460"/>
      <c r="J308" s="460"/>
      <c r="K308" s="460"/>
      <c r="L308" s="460"/>
      <c r="M308" s="460"/>
      <c r="N308" s="462"/>
      <c r="O308" s="462"/>
      <c r="P308" s="448"/>
      <c r="Q308" s="448"/>
      <c r="R308" s="448"/>
      <c r="S308" s="448"/>
      <c r="T308" s="448"/>
      <c r="U308" s="448"/>
      <c r="V308" s="448"/>
      <c r="W308" s="1317"/>
      <c r="X308" s="1317"/>
      <c r="Y308" s="1317"/>
      <c r="Z308" s="1317"/>
      <c r="AA308" s="1317"/>
      <c r="AB308" s="1317"/>
      <c r="AC308" s="1317"/>
      <c r="AD308" s="1317"/>
      <c r="AE308" s="1317"/>
      <c r="AF308" s="1317"/>
      <c r="AG308" s="448"/>
      <c r="AH308" s="448"/>
      <c r="AI308" s="448"/>
      <c r="AJ308" s="448"/>
      <c r="AK308" s="448"/>
      <c r="AL308" s="448"/>
      <c r="AM308" s="448"/>
      <c r="AN308" s="448"/>
      <c r="AO308" s="448"/>
      <c r="AP308" s="448"/>
      <c r="AQ308" s="448"/>
      <c r="AR308" s="448"/>
      <c r="AS308" s="448"/>
      <c r="AT308" s="448"/>
      <c r="AU308" s="448"/>
      <c r="AV308" s="448"/>
      <c r="AW308" s="448"/>
      <c r="AX308" s="448"/>
      <c r="AY308" s="448"/>
      <c r="AZ308" s="448"/>
      <c r="BA308" s="448"/>
    </row>
    <row r="309" spans="1:53" x14ac:dyDescent="0.2">
      <c r="A309" s="448"/>
      <c r="B309" s="448"/>
      <c r="C309" s="448"/>
      <c r="D309" s="448"/>
      <c r="E309" s="459"/>
      <c r="F309" s="460"/>
      <c r="G309" s="461"/>
      <c r="H309" s="461"/>
      <c r="I309" s="460"/>
      <c r="J309" s="460"/>
      <c r="K309" s="460"/>
      <c r="L309" s="460"/>
      <c r="M309" s="460"/>
      <c r="N309" s="462"/>
      <c r="O309" s="462"/>
      <c r="P309" s="448"/>
      <c r="Q309" s="448"/>
      <c r="R309" s="448"/>
      <c r="S309" s="448"/>
      <c r="T309" s="448"/>
      <c r="U309" s="448"/>
      <c r="V309" s="448"/>
      <c r="W309" s="1317"/>
      <c r="X309" s="1317"/>
      <c r="Y309" s="1317"/>
      <c r="Z309" s="1317"/>
      <c r="AA309" s="1317"/>
      <c r="AB309" s="1317"/>
      <c r="AC309" s="1317"/>
      <c r="AD309" s="1317"/>
      <c r="AE309" s="1317"/>
      <c r="AF309" s="1317"/>
      <c r="AG309" s="448"/>
      <c r="AH309" s="448"/>
      <c r="AI309" s="448"/>
      <c r="AJ309" s="448"/>
      <c r="AK309" s="448"/>
      <c r="AL309" s="448"/>
      <c r="AM309" s="448"/>
      <c r="AN309" s="448"/>
      <c r="AO309" s="448"/>
      <c r="AP309" s="448"/>
      <c r="AQ309" s="448"/>
      <c r="AR309" s="448"/>
      <c r="AS309" s="448"/>
      <c r="AT309" s="448"/>
      <c r="AU309" s="448"/>
      <c r="AV309" s="448"/>
      <c r="AW309" s="448"/>
      <c r="AX309" s="448"/>
      <c r="AY309" s="448"/>
      <c r="AZ309" s="448"/>
      <c r="BA309" s="448"/>
    </row>
    <row r="310" spans="1:53" x14ac:dyDescent="0.2">
      <c r="A310" s="448"/>
      <c r="B310" s="448"/>
      <c r="C310" s="448"/>
      <c r="D310" s="448"/>
      <c r="E310" s="459"/>
      <c r="F310" s="460"/>
      <c r="G310" s="461"/>
      <c r="H310" s="461"/>
      <c r="I310" s="460"/>
      <c r="J310" s="460"/>
      <c r="K310" s="460"/>
      <c r="L310" s="460"/>
      <c r="M310" s="460"/>
      <c r="N310" s="462"/>
      <c r="O310" s="462"/>
      <c r="P310" s="448"/>
      <c r="Q310" s="448"/>
      <c r="R310" s="448"/>
      <c r="S310" s="448"/>
      <c r="T310" s="448"/>
      <c r="U310" s="448"/>
      <c r="V310" s="448"/>
      <c r="W310" s="1317"/>
      <c r="X310" s="1317"/>
      <c r="Y310" s="1317"/>
      <c r="Z310" s="1317"/>
      <c r="AA310" s="1317"/>
      <c r="AB310" s="1317"/>
      <c r="AC310" s="1317"/>
      <c r="AD310" s="1317"/>
      <c r="AE310" s="1317"/>
      <c r="AF310" s="1317"/>
      <c r="AG310" s="448"/>
      <c r="AH310" s="448"/>
      <c r="AI310" s="448"/>
      <c r="AJ310" s="448"/>
      <c r="AK310" s="448"/>
      <c r="AL310" s="448"/>
      <c r="AM310" s="448"/>
      <c r="AN310" s="448"/>
      <c r="AO310" s="448"/>
      <c r="AP310" s="448"/>
      <c r="AQ310" s="448"/>
      <c r="AR310" s="448"/>
      <c r="AS310" s="448"/>
      <c r="AT310" s="448"/>
      <c r="AU310" s="448"/>
      <c r="AV310" s="448"/>
      <c r="AW310" s="448"/>
      <c r="AX310" s="448"/>
      <c r="AY310" s="448"/>
      <c r="AZ310" s="448"/>
      <c r="BA310" s="448"/>
    </row>
    <row r="311" spans="1:53" x14ac:dyDescent="0.2">
      <c r="A311" s="448"/>
      <c r="B311" s="448"/>
      <c r="C311" s="448"/>
      <c r="D311" s="448"/>
      <c r="E311" s="459"/>
      <c r="F311" s="460"/>
      <c r="G311" s="461"/>
      <c r="H311" s="461"/>
      <c r="I311" s="460"/>
      <c r="J311" s="460"/>
      <c r="K311" s="460"/>
      <c r="L311" s="460"/>
      <c r="M311" s="460"/>
      <c r="N311" s="462"/>
      <c r="O311" s="462"/>
      <c r="P311" s="448"/>
      <c r="Q311" s="448"/>
      <c r="R311" s="448"/>
      <c r="S311" s="448"/>
      <c r="T311" s="448"/>
      <c r="U311" s="448"/>
      <c r="V311" s="448"/>
      <c r="W311" s="1317"/>
      <c r="X311" s="1317"/>
      <c r="Y311" s="1317"/>
      <c r="Z311" s="1317"/>
      <c r="AA311" s="1317"/>
      <c r="AB311" s="1317"/>
      <c r="AC311" s="1317"/>
      <c r="AD311" s="1317"/>
      <c r="AE311" s="1317"/>
      <c r="AF311" s="1317"/>
      <c r="AG311" s="448"/>
      <c r="AH311" s="448"/>
      <c r="AI311" s="448"/>
      <c r="AJ311" s="448"/>
      <c r="AK311" s="448"/>
      <c r="AL311" s="448"/>
      <c r="AM311" s="448"/>
      <c r="AN311" s="448"/>
      <c r="AO311" s="448"/>
      <c r="AP311" s="448"/>
      <c r="AQ311" s="448"/>
      <c r="AR311" s="448"/>
      <c r="AS311" s="448"/>
      <c r="AT311" s="448"/>
      <c r="AU311" s="448"/>
      <c r="AV311" s="448"/>
      <c r="AW311" s="448"/>
      <c r="AX311" s="448"/>
      <c r="AY311" s="448"/>
      <c r="AZ311" s="448"/>
      <c r="BA311" s="448"/>
    </row>
    <row r="312" spans="1:53" x14ac:dyDescent="0.2">
      <c r="A312" s="448"/>
      <c r="B312" s="448"/>
      <c r="C312" s="448"/>
      <c r="D312" s="448"/>
      <c r="E312" s="459"/>
      <c r="F312" s="460"/>
      <c r="G312" s="461"/>
      <c r="H312" s="461"/>
      <c r="I312" s="460"/>
      <c r="J312" s="460"/>
      <c r="K312" s="460"/>
      <c r="L312" s="460"/>
      <c r="M312" s="460"/>
      <c r="N312" s="462"/>
      <c r="O312" s="462"/>
      <c r="P312" s="448"/>
      <c r="Q312" s="448"/>
      <c r="R312" s="448"/>
      <c r="S312" s="448"/>
      <c r="T312" s="448"/>
      <c r="U312" s="448"/>
      <c r="V312" s="448"/>
      <c r="W312" s="1317"/>
      <c r="X312" s="1317"/>
      <c r="Y312" s="1317"/>
      <c r="Z312" s="1317"/>
      <c r="AA312" s="1317"/>
      <c r="AB312" s="1317"/>
      <c r="AC312" s="1317"/>
      <c r="AD312" s="1317"/>
      <c r="AE312" s="1317"/>
      <c r="AF312" s="1317"/>
      <c r="AG312" s="448"/>
      <c r="AH312" s="448"/>
      <c r="AI312" s="448"/>
      <c r="AJ312" s="448"/>
      <c r="AK312" s="448"/>
      <c r="AL312" s="448"/>
      <c r="AM312" s="448"/>
      <c r="AN312" s="448"/>
      <c r="AO312" s="448"/>
      <c r="AP312" s="448"/>
      <c r="AQ312" s="448"/>
      <c r="AR312" s="448"/>
      <c r="AS312" s="448"/>
      <c r="AT312" s="448"/>
      <c r="AU312" s="448"/>
      <c r="AV312" s="448"/>
      <c r="AW312" s="448"/>
      <c r="AX312" s="448"/>
      <c r="AY312" s="448"/>
      <c r="AZ312" s="448"/>
      <c r="BA312" s="448"/>
    </row>
    <row r="313" spans="1:53" x14ac:dyDescent="0.2">
      <c r="A313" s="448"/>
      <c r="B313" s="448"/>
      <c r="C313" s="448"/>
      <c r="D313" s="448"/>
      <c r="E313" s="459"/>
      <c r="F313" s="460"/>
      <c r="G313" s="461"/>
      <c r="H313" s="461"/>
      <c r="I313" s="460"/>
      <c r="J313" s="460"/>
      <c r="K313" s="460"/>
      <c r="L313" s="460"/>
      <c r="M313" s="460"/>
      <c r="N313" s="462"/>
      <c r="O313" s="462"/>
      <c r="P313" s="448"/>
      <c r="Q313" s="448"/>
      <c r="R313" s="448"/>
      <c r="S313" s="448"/>
      <c r="T313" s="448"/>
      <c r="U313" s="448"/>
      <c r="V313" s="448"/>
      <c r="W313" s="1317"/>
      <c r="X313" s="1317"/>
      <c r="Y313" s="1317"/>
      <c r="Z313" s="1317"/>
      <c r="AA313" s="1317"/>
      <c r="AB313" s="1317"/>
      <c r="AC313" s="1317"/>
      <c r="AD313" s="1317"/>
      <c r="AE313" s="1317"/>
      <c r="AF313" s="1317"/>
      <c r="AG313" s="448"/>
      <c r="AH313" s="448"/>
      <c r="AI313" s="448"/>
      <c r="AJ313" s="448"/>
      <c r="AK313" s="448"/>
      <c r="AL313" s="448"/>
      <c r="AM313" s="448"/>
      <c r="AN313" s="448"/>
      <c r="AO313" s="448"/>
      <c r="AP313" s="448"/>
      <c r="AQ313" s="448"/>
      <c r="AR313" s="448"/>
      <c r="AS313" s="448"/>
      <c r="AT313" s="448"/>
      <c r="AU313" s="448"/>
      <c r="AV313" s="448"/>
      <c r="AW313" s="448"/>
      <c r="AX313" s="448"/>
      <c r="AY313" s="448"/>
      <c r="AZ313" s="448"/>
      <c r="BA313" s="448"/>
    </row>
    <row r="314" spans="1:53" x14ac:dyDescent="0.2">
      <c r="A314" s="448"/>
      <c r="B314" s="448"/>
      <c r="C314" s="448"/>
      <c r="D314" s="448"/>
      <c r="E314" s="459"/>
      <c r="F314" s="460"/>
      <c r="G314" s="461"/>
      <c r="H314" s="461"/>
      <c r="I314" s="460"/>
      <c r="J314" s="460"/>
      <c r="K314" s="460"/>
      <c r="L314" s="460"/>
      <c r="M314" s="460"/>
      <c r="N314" s="462"/>
      <c r="O314" s="462"/>
      <c r="P314" s="448"/>
      <c r="Q314" s="448"/>
      <c r="R314" s="448"/>
      <c r="S314" s="448"/>
      <c r="T314" s="448"/>
      <c r="U314" s="448"/>
      <c r="V314" s="448"/>
      <c r="W314" s="1317"/>
      <c r="X314" s="1317"/>
      <c r="Y314" s="1317"/>
      <c r="Z314" s="1317"/>
      <c r="AA314" s="1317"/>
      <c r="AB314" s="1317"/>
      <c r="AC314" s="1317"/>
      <c r="AD314" s="1317"/>
      <c r="AE314" s="1317"/>
      <c r="AF314" s="1317"/>
      <c r="AG314" s="448"/>
      <c r="AH314" s="448"/>
      <c r="AI314" s="448"/>
      <c r="AJ314" s="448"/>
      <c r="AK314" s="448"/>
      <c r="AL314" s="448"/>
      <c r="AM314" s="448"/>
      <c r="AN314" s="448"/>
      <c r="AO314" s="448"/>
      <c r="AP314" s="448"/>
      <c r="AQ314" s="448"/>
      <c r="AR314" s="448"/>
      <c r="AS314" s="448"/>
      <c r="AT314" s="448"/>
      <c r="AU314" s="448"/>
      <c r="AV314" s="448"/>
      <c r="AW314" s="448"/>
      <c r="AX314" s="448"/>
      <c r="AY314" s="448"/>
      <c r="AZ314" s="448"/>
      <c r="BA314" s="448"/>
    </row>
    <row r="315" spans="1:53" x14ac:dyDescent="0.2">
      <c r="A315" s="448"/>
      <c r="B315" s="448"/>
      <c r="C315" s="448"/>
      <c r="D315" s="448"/>
      <c r="E315" s="459"/>
      <c r="F315" s="460"/>
      <c r="G315" s="461"/>
      <c r="H315" s="461"/>
      <c r="I315" s="460"/>
      <c r="J315" s="460"/>
      <c r="K315" s="460"/>
      <c r="L315" s="460"/>
      <c r="M315" s="460"/>
      <c r="N315" s="462"/>
      <c r="O315" s="462"/>
      <c r="P315" s="448"/>
      <c r="Q315" s="448"/>
      <c r="R315" s="448"/>
      <c r="S315" s="448"/>
      <c r="T315" s="448"/>
      <c r="U315" s="448"/>
      <c r="V315" s="448"/>
      <c r="W315" s="1317"/>
      <c r="X315" s="1317"/>
      <c r="Y315" s="1317"/>
      <c r="Z315" s="1317"/>
      <c r="AA315" s="1317"/>
      <c r="AB315" s="1317"/>
      <c r="AC315" s="1317"/>
      <c r="AD315" s="1317"/>
      <c r="AE315" s="1317"/>
      <c r="AF315" s="1317"/>
      <c r="AG315" s="448"/>
      <c r="AH315" s="448"/>
      <c r="AI315" s="448"/>
      <c r="AJ315" s="448"/>
      <c r="AK315" s="448"/>
      <c r="AL315" s="448"/>
      <c r="AM315" s="448"/>
      <c r="AN315" s="448"/>
      <c r="AO315" s="448"/>
      <c r="AP315" s="448"/>
      <c r="AQ315" s="448"/>
      <c r="AR315" s="448"/>
      <c r="AS315" s="448"/>
      <c r="AT315" s="448"/>
      <c r="AU315" s="448"/>
      <c r="AV315" s="448"/>
      <c r="AW315" s="448"/>
      <c r="AX315" s="448"/>
      <c r="AY315" s="448"/>
      <c r="AZ315" s="448"/>
      <c r="BA315" s="448"/>
    </row>
    <row r="316" spans="1:53" x14ac:dyDescent="0.2">
      <c r="A316" s="448"/>
      <c r="B316" s="448"/>
      <c r="C316" s="448"/>
      <c r="D316" s="448"/>
      <c r="E316" s="459"/>
      <c r="F316" s="460"/>
      <c r="G316" s="461"/>
      <c r="H316" s="461"/>
      <c r="I316" s="460"/>
      <c r="J316" s="460"/>
      <c r="K316" s="460"/>
      <c r="L316" s="460"/>
      <c r="M316" s="460"/>
      <c r="N316" s="462"/>
      <c r="O316" s="462"/>
      <c r="P316" s="448"/>
      <c r="Q316" s="448"/>
      <c r="R316" s="448"/>
      <c r="S316" s="448"/>
      <c r="T316" s="448"/>
      <c r="U316" s="448"/>
      <c r="V316" s="448"/>
      <c r="W316" s="1317"/>
      <c r="X316" s="1317"/>
      <c r="Y316" s="1317"/>
      <c r="Z316" s="1317"/>
      <c r="AA316" s="1317"/>
      <c r="AB316" s="1317"/>
      <c r="AC316" s="1317"/>
      <c r="AD316" s="1317"/>
      <c r="AE316" s="1317"/>
      <c r="AF316" s="1317"/>
      <c r="AG316" s="448"/>
      <c r="AH316" s="448"/>
      <c r="AI316" s="448"/>
      <c r="AJ316" s="448"/>
      <c r="AK316" s="448"/>
      <c r="AL316" s="448"/>
      <c r="AM316" s="448"/>
      <c r="AN316" s="448"/>
      <c r="AO316" s="448"/>
      <c r="AP316" s="448"/>
      <c r="AQ316" s="448"/>
      <c r="AR316" s="448"/>
      <c r="AS316" s="448"/>
      <c r="AT316" s="448"/>
      <c r="AU316" s="448"/>
      <c r="AV316" s="448"/>
      <c r="AW316" s="448"/>
      <c r="AX316" s="448"/>
      <c r="AY316" s="448"/>
      <c r="AZ316" s="448"/>
      <c r="BA316" s="448"/>
    </row>
    <row r="317" spans="1:53" x14ac:dyDescent="0.2">
      <c r="A317" s="448"/>
      <c r="B317" s="448"/>
      <c r="C317" s="448"/>
      <c r="D317" s="448"/>
      <c r="E317" s="459"/>
      <c r="F317" s="460"/>
      <c r="G317" s="461"/>
      <c r="H317" s="461"/>
      <c r="I317" s="460"/>
      <c r="J317" s="460"/>
      <c r="K317" s="460"/>
      <c r="L317" s="460"/>
      <c r="M317" s="460"/>
      <c r="N317" s="462"/>
      <c r="O317" s="462"/>
      <c r="P317" s="448"/>
      <c r="Q317" s="448"/>
      <c r="R317" s="448"/>
      <c r="S317" s="448"/>
      <c r="T317" s="448"/>
      <c r="U317" s="448"/>
      <c r="V317" s="448"/>
      <c r="W317" s="1317"/>
      <c r="X317" s="1317"/>
      <c r="Y317" s="1317"/>
      <c r="Z317" s="1317"/>
      <c r="AA317" s="1317"/>
      <c r="AB317" s="1317"/>
      <c r="AC317" s="1317"/>
      <c r="AD317" s="1317"/>
      <c r="AE317" s="1317"/>
      <c r="AF317" s="1317"/>
      <c r="AG317" s="448"/>
      <c r="AH317" s="448"/>
      <c r="AI317" s="448"/>
      <c r="AJ317" s="448"/>
      <c r="AK317" s="448"/>
      <c r="AL317" s="448"/>
      <c r="AM317" s="448"/>
      <c r="AN317" s="448"/>
      <c r="AO317" s="448"/>
      <c r="AP317" s="448"/>
      <c r="AQ317" s="448"/>
      <c r="AR317" s="448"/>
      <c r="AS317" s="448"/>
      <c r="AT317" s="448"/>
      <c r="AU317" s="448"/>
      <c r="AV317" s="448"/>
      <c r="AW317" s="448"/>
      <c r="AX317" s="448"/>
      <c r="AY317" s="448"/>
      <c r="AZ317" s="448"/>
      <c r="BA317" s="448"/>
    </row>
    <row r="318" spans="1:53" x14ac:dyDescent="0.2">
      <c r="A318" s="448"/>
      <c r="B318" s="448"/>
      <c r="C318" s="448"/>
      <c r="D318" s="448"/>
      <c r="E318" s="459"/>
      <c r="F318" s="460"/>
      <c r="G318" s="461"/>
      <c r="H318" s="461"/>
      <c r="I318" s="460"/>
      <c r="J318" s="460"/>
      <c r="K318" s="460"/>
      <c r="L318" s="460"/>
      <c r="M318" s="460"/>
      <c r="N318" s="462"/>
      <c r="O318" s="462"/>
      <c r="P318" s="448"/>
      <c r="Q318" s="448"/>
      <c r="R318" s="448"/>
      <c r="S318" s="448"/>
      <c r="T318" s="448"/>
      <c r="U318" s="448"/>
      <c r="V318" s="448"/>
      <c r="W318" s="1317"/>
      <c r="X318" s="1317"/>
      <c r="Y318" s="1317"/>
      <c r="Z318" s="1317"/>
      <c r="AA318" s="1317"/>
      <c r="AB318" s="1317"/>
      <c r="AC318" s="1317"/>
      <c r="AD318" s="1317"/>
      <c r="AE318" s="1317"/>
      <c r="AF318" s="1317"/>
      <c r="AG318" s="448"/>
      <c r="AH318" s="448"/>
      <c r="AI318" s="448"/>
      <c r="AJ318" s="448"/>
      <c r="AK318" s="448"/>
      <c r="AL318" s="448"/>
      <c r="AM318" s="448"/>
      <c r="AN318" s="448"/>
      <c r="AO318" s="448"/>
      <c r="AP318" s="448"/>
      <c r="AQ318" s="448"/>
      <c r="AR318" s="448"/>
      <c r="AS318" s="448"/>
      <c r="AT318" s="448"/>
      <c r="AU318" s="448"/>
      <c r="AV318" s="448"/>
      <c r="AW318" s="448"/>
      <c r="AX318" s="448"/>
      <c r="AY318" s="448"/>
      <c r="AZ318" s="448"/>
      <c r="BA318" s="448"/>
    </row>
    <row r="319" spans="1:53" x14ac:dyDescent="0.2">
      <c r="A319" s="448"/>
      <c r="B319" s="448"/>
      <c r="C319" s="448"/>
      <c r="D319" s="448"/>
      <c r="E319" s="459"/>
      <c r="F319" s="460"/>
      <c r="G319" s="461"/>
      <c r="H319" s="461"/>
      <c r="I319" s="460"/>
      <c r="J319" s="460"/>
      <c r="K319" s="460"/>
      <c r="L319" s="460"/>
      <c r="M319" s="460"/>
      <c r="N319" s="462"/>
      <c r="O319" s="462"/>
      <c r="P319" s="448"/>
      <c r="Q319" s="448"/>
      <c r="R319" s="448"/>
      <c r="S319" s="448"/>
      <c r="T319" s="448"/>
      <c r="U319" s="448"/>
      <c r="V319" s="448"/>
      <c r="W319" s="1317"/>
      <c r="X319" s="1317"/>
      <c r="Y319" s="1317"/>
      <c r="Z319" s="1317"/>
      <c r="AA319" s="1317"/>
      <c r="AB319" s="1317"/>
      <c r="AC319" s="1317"/>
      <c r="AD319" s="1317"/>
      <c r="AE319" s="1317"/>
      <c r="AF319" s="1317"/>
      <c r="AG319" s="448"/>
      <c r="AH319" s="448"/>
      <c r="AI319" s="448"/>
      <c r="AJ319" s="448"/>
      <c r="AK319" s="448"/>
      <c r="AL319" s="448"/>
      <c r="AM319" s="448"/>
      <c r="AN319" s="448"/>
      <c r="AO319" s="448"/>
      <c r="AP319" s="448"/>
      <c r="AQ319" s="448"/>
      <c r="AR319" s="448"/>
      <c r="AS319" s="448"/>
      <c r="AT319" s="448"/>
      <c r="AU319" s="448"/>
      <c r="AV319" s="448"/>
      <c r="AW319" s="448"/>
      <c r="AX319" s="448"/>
      <c r="AY319" s="448"/>
      <c r="AZ319" s="448"/>
      <c r="BA319" s="448"/>
    </row>
    <row r="320" spans="1:53" x14ac:dyDescent="0.2">
      <c r="A320" s="448"/>
      <c r="B320" s="448"/>
      <c r="C320" s="448"/>
      <c r="D320" s="448"/>
      <c r="E320" s="459"/>
      <c r="F320" s="460"/>
      <c r="G320" s="461"/>
      <c r="H320" s="461"/>
      <c r="I320" s="460"/>
      <c r="J320" s="460"/>
      <c r="K320" s="460"/>
      <c r="L320" s="460"/>
      <c r="M320" s="460"/>
      <c r="N320" s="462"/>
      <c r="O320" s="462"/>
      <c r="P320" s="448"/>
      <c r="Q320" s="448"/>
      <c r="R320" s="448"/>
      <c r="S320" s="448"/>
      <c r="T320" s="448"/>
      <c r="U320" s="448"/>
      <c r="V320" s="448"/>
      <c r="W320" s="1317"/>
      <c r="X320" s="1317"/>
      <c r="Y320" s="1317"/>
      <c r="Z320" s="1317"/>
      <c r="AA320" s="1317"/>
      <c r="AB320" s="1317"/>
      <c r="AC320" s="1317"/>
      <c r="AD320" s="1317"/>
      <c r="AE320" s="1317"/>
      <c r="AF320" s="1317"/>
      <c r="AG320" s="448"/>
      <c r="AH320" s="448"/>
      <c r="AI320" s="448"/>
      <c r="AJ320" s="448"/>
      <c r="AK320" s="448"/>
      <c r="AL320" s="448"/>
      <c r="AM320" s="448"/>
      <c r="AN320" s="448"/>
      <c r="AO320" s="448"/>
      <c r="AP320" s="448"/>
      <c r="AQ320" s="448"/>
      <c r="AR320" s="448"/>
      <c r="AS320" s="448"/>
      <c r="AT320" s="448"/>
      <c r="AU320" s="448"/>
      <c r="AV320" s="448"/>
      <c r="AW320" s="448"/>
      <c r="AX320" s="448"/>
      <c r="AY320" s="448"/>
      <c r="AZ320" s="448"/>
      <c r="BA320" s="448"/>
    </row>
    <row r="321" spans="1:53" x14ac:dyDescent="0.2">
      <c r="A321" s="448"/>
      <c r="B321" s="448"/>
      <c r="C321" s="448"/>
      <c r="D321" s="448"/>
      <c r="E321" s="459"/>
      <c r="F321" s="460"/>
      <c r="G321" s="461"/>
      <c r="H321" s="461"/>
      <c r="I321" s="460"/>
      <c r="J321" s="460"/>
      <c r="K321" s="460"/>
      <c r="L321" s="460"/>
      <c r="M321" s="460"/>
      <c r="N321" s="462"/>
      <c r="O321" s="462"/>
      <c r="P321" s="448"/>
      <c r="Q321" s="448"/>
      <c r="R321" s="448"/>
      <c r="S321" s="448"/>
      <c r="T321" s="448"/>
      <c r="U321" s="448"/>
      <c r="V321" s="448"/>
      <c r="W321" s="1317"/>
      <c r="X321" s="1317"/>
      <c r="Y321" s="1317"/>
      <c r="Z321" s="1317"/>
      <c r="AA321" s="1317"/>
      <c r="AB321" s="1317"/>
      <c r="AC321" s="1317"/>
      <c r="AD321" s="1317"/>
      <c r="AE321" s="1317"/>
      <c r="AF321" s="1317"/>
      <c r="AG321" s="448"/>
      <c r="AH321" s="448"/>
      <c r="AI321" s="448"/>
      <c r="AJ321" s="448"/>
      <c r="AK321" s="448"/>
      <c r="AL321" s="448"/>
      <c r="AM321" s="448"/>
      <c r="AN321" s="448"/>
      <c r="AO321" s="448"/>
      <c r="AP321" s="448"/>
      <c r="AQ321" s="448"/>
      <c r="AR321" s="448"/>
      <c r="AS321" s="448"/>
      <c r="AT321" s="448"/>
      <c r="AU321" s="448"/>
      <c r="AV321" s="448"/>
      <c r="AW321" s="448"/>
      <c r="AX321" s="448"/>
      <c r="AY321" s="448"/>
      <c r="AZ321" s="448"/>
      <c r="BA321" s="448"/>
    </row>
    <row r="322" spans="1:53" x14ac:dyDescent="0.2">
      <c r="A322" s="448"/>
      <c r="B322" s="448"/>
      <c r="C322" s="448"/>
      <c r="D322" s="448"/>
      <c r="E322" s="459"/>
      <c r="F322" s="460"/>
      <c r="G322" s="461"/>
      <c r="H322" s="461"/>
      <c r="I322" s="460"/>
      <c r="J322" s="460"/>
      <c r="K322" s="460"/>
      <c r="L322" s="460"/>
      <c r="M322" s="460"/>
      <c r="N322" s="462"/>
      <c r="O322" s="462"/>
      <c r="P322" s="448"/>
      <c r="Q322" s="448"/>
      <c r="R322" s="448"/>
      <c r="S322" s="448"/>
      <c r="T322" s="448"/>
      <c r="U322" s="448"/>
      <c r="V322" s="448"/>
      <c r="W322" s="1317"/>
      <c r="X322" s="1317"/>
      <c r="Y322" s="1317"/>
      <c r="Z322" s="1317"/>
      <c r="AA322" s="1317"/>
      <c r="AB322" s="1317"/>
      <c r="AC322" s="1317"/>
      <c r="AD322" s="1317"/>
      <c r="AE322" s="1317"/>
      <c r="AF322" s="1317"/>
      <c r="AG322" s="448"/>
      <c r="AH322" s="448"/>
      <c r="AI322" s="448"/>
      <c r="AJ322" s="448"/>
      <c r="AK322" s="448"/>
      <c r="AL322" s="448"/>
      <c r="AM322" s="448"/>
      <c r="AN322" s="448"/>
      <c r="AO322" s="448"/>
      <c r="AP322" s="448"/>
      <c r="AQ322" s="448"/>
      <c r="AR322" s="448"/>
      <c r="AS322" s="448"/>
      <c r="AT322" s="448"/>
      <c r="AU322" s="448"/>
      <c r="AV322" s="448"/>
      <c r="AW322" s="448"/>
      <c r="AX322" s="448"/>
      <c r="AY322" s="448"/>
      <c r="AZ322" s="448"/>
      <c r="BA322" s="448"/>
    </row>
    <row r="323" spans="1:53" x14ac:dyDescent="0.2">
      <c r="A323" s="448"/>
      <c r="B323" s="448"/>
      <c r="C323" s="448"/>
      <c r="D323" s="448"/>
      <c r="E323" s="459"/>
      <c r="F323" s="460"/>
      <c r="G323" s="461"/>
      <c r="H323" s="461"/>
      <c r="I323" s="460"/>
      <c r="J323" s="460"/>
      <c r="K323" s="460"/>
      <c r="L323" s="460"/>
      <c r="M323" s="460"/>
      <c r="N323" s="462"/>
      <c r="O323" s="462"/>
      <c r="P323" s="448"/>
      <c r="Q323" s="448"/>
      <c r="R323" s="448"/>
      <c r="S323" s="448"/>
      <c r="T323" s="448"/>
      <c r="U323" s="448"/>
      <c r="V323" s="448"/>
      <c r="W323" s="1317"/>
      <c r="X323" s="1317"/>
      <c r="Y323" s="1317"/>
      <c r="Z323" s="1317"/>
      <c r="AA323" s="1317"/>
      <c r="AB323" s="1317"/>
      <c r="AC323" s="1317"/>
      <c r="AD323" s="1317"/>
      <c r="AE323" s="1317"/>
      <c r="AF323" s="1317"/>
      <c r="AG323" s="448"/>
      <c r="AH323" s="448"/>
      <c r="AI323" s="448"/>
      <c r="AJ323" s="448"/>
      <c r="AK323" s="448"/>
      <c r="AL323" s="448"/>
      <c r="AM323" s="448"/>
      <c r="AN323" s="448"/>
      <c r="AO323" s="448"/>
      <c r="AP323" s="448"/>
      <c r="AQ323" s="448"/>
      <c r="AR323" s="448"/>
      <c r="AS323" s="448"/>
      <c r="AT323" s="448"/>
      <c r="AU323" s="448"/>
      <c r="AV323" s="448"/>
      <c r="AW323" s="448"/>
      <c r="AX323" s="448"/>
      <c r="AY323" s="448"/>
      <c r="AZ323" s="448"/>
      <c r="BA323" s="448"/>
    </row>
    <row r="324" spans="1:53" x14ac:dyDescent="0.2">
      <c r="A324" s="448"/>
      <c r="B324" s="448"/>
      <c r="C324" s="448"/>
      <c r="D324" s="448"/>
      <c r="E324" s="459"/>
      <c r="F324" s="460"/>
      <c r="G324" s="461"/>
      <c r="H324" s="461"/>
      <c r="I324" s="460"/>
      <c r="J324" s="460"/>
      <c r="K324" s="460"/>
      <c r="L324" s="460"/>
      <c r="M324" s="460"/>
      <c r="N324" s="462"/>
      <c r="O324" s="462"/>
      <c r="P324" s="448"/>
      <c r="Q324" s="448"/>
      <c r="R324" s="448"/>
      <c r="S324" s="448"/>
      <c r="T324" s="448"/>
      <c r="U324" s="448"/>
      <c r="V324" s="448"/>
      <c r="W324" s="1317"/>
      <c r="X324" s="1317"/>
      <c r="Y324" s="1317"/>
      <c r="Z324" s="1317"/>
      <c r="AA324" s="1317"/>
      <c r="AB324" s="1317"/>
      <c r="AC324" s="1317"/>
      <c r="AD324" s="1317"/>
      <c r="AE324" s="1317"/>
      <c r="AF324" s="1317"/>
      <c r="AG324" s="448"/>
      <c r="AH324" s="448"/>
      <c r="AI324" s="448"/>
      <c r="AJ324" s="448"/>
      <c r="AK324" s="448"/>
      <c r="AL324" s="448"/>
      <c r="AM324" s="448"/>
      <c r="AN324" s="448"/>
      <c r="AO324" s="448"/>
      <c r="AP324" s="448"/>
      <c r="AQ324" s="448"/>
      <c r="AR324" s="448"/>
      <c r="AS324" s="448"/>
      <c r="AT324" s="448"/>
      <c r="AU324" s="448"/>
      <c r="AV324" s="448"/>
      <c r="AW324" s="448"/>
      <c r="AX324" s="448"/>
      <c r="AY324" s="448"/>
      <c r="AZ324" s="448"/>
      <c r="BA324" s="448"/>
    </row>
    <row r="325" spans="1:53" x14ac:dyDescent="0.2">
      <c r="A325" s="448"/>
      <c r="B325" s="448"/>
      <c r="C325" s="448"/>
      <c r="D325" s="448"/>
      <c r="E325" s="459"/>
      <c r="F325" s="460"/>
      <c r="G325" s="461"/>
      <c r="H325" s="461"/>
      <c r="I325" s="460"/>
      <c r="J325" s="460"/>
      <c r="K325" s="460"/>
      <c r="L325" s="460"/>
      <c r="M325" s="460"/>
      <c r="N325" s="462"/>
      <c r="O325" s="462"/>
      <c r="P325" s="448"/>
      <c r="Q325" s="448"/>
      <c r="R325" s="448"/>
      <c r="S325" s="448"/>
      <c r="T325" s="448"/>
      <c r="U325" s="448"/>
      <c r="V325" s="448"/>
      <c r="W325" s="1317"/>
      <c r="X325" s="1317"/>
      <c r="Y325" s="1317"/>
      <c r="Z325" s="1317"/>
      <c r="AA325" s="1317"/>
      <c r="AB325" s="1317"/>
      <c r="AC325" s="1317"/>
      <c r="AD325" s="1317"/>
      <c r="AE325" s="1317"/>
      <c r="AF325" s="1317"/>
      <c r="AG325" s="448"/>
      <c r="AH325" s="448"/>
      <c r="AI325" s="448"/>
      <c r="AJ325" s="448"/>
      <c r="AK325" s="448"/>
      <c r="AL325" s="448"/>
      <c r="AM325" s="448"/>
      <c r="AN325" s="448"/>
      <c r="AO325" s="448"/>
      <c r="AP325" s="448"/>
      <c r="AQ325" s="448"/>
      <c r="AR325" s="448"/>
      <c r="AS325" s="448"/>
      <c r="AT325" s="448"/>
      <c r="AU325" s="448"/>
      <c r="AV325" s="448"/>
      <c r="AW325" s="448"/>
      <c r="AX325" s="448"/>
      <c r="AY325" s="448"/>
      <c r="AZ325" s="448"/>
      <c r="BA325" s="448"/>
    </row>
    <row r="326" spans="1:53" x14ac:dyDescent="0.2">
      <c r="A326" s="448"/>
      <c r="B326" s="448"/>
      <c r="C326" s="448"/>
      <c r="D326" s="448"/>
      <c r="E326" s="459"/>
      <c r="F326" s="460"/>
      <c r="G326" s="461"/>
      <c r="H326" s="461"/>
      <c r="I326" s="460"/>
      <c r="J326" s="460"/>
      <c r="K326" s="460"/>
      <c r="L326" s="460"/>
      <c r="M326" s="460"/>
      <c r="N326" s="462"/>
      <c r="O326" s="462"/>
      <c r="P326" s="448"/>
      <c r="Q326" s="448"/>
      <c r="R326" s="448"/>
      <c r="S326" s="448"/>
      <c r="T326" s="448"/>
      <c r="U326" s="448"/>
      <c r="V326" s="448"/>
      <c r="W326" s="1317"/>
      <c r="X326" s="1317"/>
      <c r="Y326" s="1317"/>
      <c r="Z326" s="1317"/>
      <c r="AA326" s="1317"/>
      <c r="AB326" s="1317"/>
      <c r="AC326" s="1317"/>
      <c r="AD326" s="1317"/>
      <c r="AE326" s="1317"/>
      <c r="AF326" s="1317"/>
      <c r="AG326" s="448"/>
      <c r="AH326" s="448"/>
      <c r="AI326" s="448"/>
      <c r="AJ326" s="448"/>
      <c r="AK326" s="448"/>
      <c r="AL326" s="448"/>
      <c r="AM326" s="448"/>
      <c r="AN326" s="448"/>
      <c r="AO326" s="448"/>
      <c r="AP326" s="448"/>
      <c r="AQ326" s="448"/>
      <c r="AR326" s="448"/>
      <c r="AS326" s="448"/>
      <c r="AT326" s="448"/>
      <c r="AU326" s="448"/>
      <c r="AV326" s="448"/>
      <c r="AW326" s="448"/>
      <c r="AX326" s="448"/>
      <c r="AY326" s="448"/>
      <c r="AZ326" s="448"/>
      <c r="BA326" s="448"/>
    </row>
    <row r="327" spans="1:53" x14ac:dyDescent="0.2">
      <c r="A327" s="448"/>
      <c r="B327" s="448"/>
      <c r="C327" s="448"/>
      <c r="D327" s="448"/>
      <c r="E327" s="459"/>
      <c r="F327" s="460"/>
      <c r="G327" s="461"/>
      <c r="H327" s="461"/>
      <c r="I327" s="460"/>
      <c r="J327" s="460"/>
      <c r="K327" s="460"/>
      <c r="L327" s="460"/>
      <c r="M327" s="460"/>
      <c r="N327" s="462"/>
      <c r="O327" s="462"/>
      <c r="P327" s="448"/>
      <c r="Q327" s="448"/>
      <c r="R327" s="448"/>
      <c r="S327" s="448"/>
      <c r="T327" s="448"/>
      <c r="U327" s="448"/>
      <c r="V327" s="448"/>
      <c r="W327" s="1317"/>
      <c r="X327" s="1317"/>
      <c r="Y327" s="1317"/>
      <c r="Z327" s="1317"/>
      <c r="AA327" s="1317"/>
      <c r="AB327" s="1317"/>
      <c r="AC327" s="1317"/>
      <c r="AD327" s="1317"/>
      <c r="AE327" s="1317"/>
      <c r="AF327" s="1317"/>
      <c r="AG327" s="448"/>
      <c r="AH327" s="448"/>
      <c r="AI327" s="448"/>
      <c r="AJ327" s="448"/>
      <c r="AK327" s="448"/>
      <c r="AL327" s="448"/>
      <c r="AM327" s="448"/>
      <c r="AN327" s="448"/>
      <c r="AO327" s="448"/>
      <c r="AP327" s="448"/>
      <c r="AQ327" s="448"/>
      <c r="AR327" s="448"/>
      <c r="AS327" s="448"/>
      <c r="AT327" s="448"/>
      <c r="AU327" s="448"/>
      <c r="AV327" s="448"/>
      <c r="AW327" s="448"/>
      <c r="AX327" s="448"/>
      <c r="AY327" s="448"/>
      <c r="AZ327" s="448"/>
      <c r="BA327" s="448"/>
    </row>
    <row r="328" spans="1:53" x14ac:dyDescent="0.2">
      <c r="A328" s="448"/>
      <c r="B328" s="448"/>
      <c r="C328" s="448"/>
      <c r="D328" s="448"/>
      <c r="E328" s="459"/>
      <c r="F328" s="460"/>
      <c r="G328" s="461"/>
      <c r="H328" s="461"/>
      <c r="I328" s="460"/>
      <c r="J328" s="460"/>
      <c r="K328" s="460"/>
      <c r="L328" s="460"/>
      <c r="M328" s="460"/>
      <c r="N328" s="462"/>
      <c r="O328" s="462"/>
      <c r="P328" s="448"/>
      <c r="Q328" s="448"/>
      <c r="R328" s="448"/>
      <c r="S328" s="448"/>
      <c r="T328" s="448"/>
      <c r="U328" s="448"/>
      <c r="V328" s="448"/>
      <c r="W328" s="1317"/>
      <c r="X328" s="1317"/>
      <c r="Y328" s="1317"/>
      <c r="Z328" s="1317"/>
      <c r="AA328" s="1317"/>
      <c r="AB328" s="1317"/>
      <c r="AC328" s="1317"/>
      <c r="AD328" s="1317"/>
      <c r="AE328" s="1317"/>
      <c r="AF328" s="1317"/>
      <c r="AG328" s="448"/>
      <c r="AH328" s="448"/>
      <c r="AI328" s="448"/>
      <c r="AJ328" s="448"/>
      <c r="AK328" s="448"/>
      <c r="AL328" s="448"/>
      <c r="AM328" s="448"/>
      <c r="AN328" s="448"/>
      <c r="AO328" s="448"/>
      <c r="AP328" s="448"/>
      <c r="AQ328" s="448"/>
      <c r="AR328" s="448"/>
      <c r="AS328" s="448"/>
      <c r="AT328" s="448"/>
      <c r="AU328" s="448"/>
      <c r="AV328" s="448"/>
      <c r="AW328" s="448"/>
      <c r="AX328" s="448"/>
      <c r="AY328" s="448"/>
      <c r="AZ328" s="448"/>
      <c r="BA328" s="448"/>
    </row>
    <row r="329" spans="1:53" x14ac:dyDescent="0.2">
      <c r="A329" s="448"/>
      <c r="B329" s="448"/>
      <c r="C329" s="448"/>
      <c r="D329" s="448"/>
      <c r="E329" s="459"/>
      <c r="F329" s="460"/>
      <c r="G329" s="461"/>
      <c r="H329" s="461"/>
      <c r="I329" s="460"/>
      <c r="J329" s="460"/>
      <c r="K329" s="460"/>
      <c r="L329" s="460"/>
      <c r="M329" s="460"/>
      <c r="N329" s="462"/>
      <c r="O329" s="462"/>
      <c r="P329" s="448"/>
      <c r="Q329" s="448"/>
      <c r="R329" s="448"/>
      <c r="S329" s="448"/>
      <c r="T329" s="448"/>
      <c r="U329" s="448"/>
      <c r="V329" s="448"/>
      <c r="W329" s="1317"/>
      <c r="X329" s="1317"/>
      <c r="Y329" s="1317"/>
      <c r="Z329" s="1317"/>
      <c r="AA329" s="1317"/>
      <c r="AB329" s="1317"/>
      <c r="AC329" s="1317"/>
      <c r="AD329" s="1317"/>
      <c r="AE329" s="1317"/>
      <c r="AF329" s="1317"/>
      <c r="AG329" s="448"/>
      <c r="AH329" s="448"/>
      <c r="AI329" s="448"/>
      <c r="AJ329" s="448"/>
      <c r="AK329" s="448"/>
      <c r="AL329" s="448"/>
      <c r="AM329" s="448"/>
      <c r="AN329" s="448"/>
      <c r="AO329" s="448"/>
      <c r="AP329" s="448"/>
      <c r="AQ329" s="448"/>
      <c r="AR329" s="448"/>
      <c r="AS329" s="448"/>
      <c r="AT329" s="448"/>
      <c r="AU329" s="448"/>
      <c r="AV329" s="448"/>
      <c r="AW329" s="448"/>
      <c r="AX329" s="448"/>
      <c r="AY329" s="448"/>
      <c r="AZ329" s="448"/>
      <c r="BA329" s="448"/>
    </row>
    <row r="330" spans="1:53" x14ac:dyDescent="0.2">
      <c r="A330" s="448"/>
      <c r="B330" s="448"/>
      <c r="C330" s="448"/>
      <c r="D330" s="448"/>
      <c r="E330" s="459"/>
      <c r="F330" s="460"/>
      <c r="G330" s="461"/>
      <c r="H330" s="461"/>
      <c r="I330" s="460"/>
      <c r="J330" s="460"/>
      <c r="K330" s="460"/>
      <c r="L330" s="460"/>
      <c r="M330" s="460"/>
      <c r="N330" s="462"/>
      <c r="O330" s="462"/>
      <c r="P330" s="448"/>
      <c r="Q330" s="448"/>
      <c r="R330" s="448"/>
      <c r="S330" s="448"/>
      <c r="T330" s="448"/>
      <c r="U330" s="448"/>
      <c r="V330" s="448"/>
      <c r="W330" s="1317"/>
      <c r="X330" s="1317"/>
      <c r="Y330" s="1317"/>
      <c r="Z330" s="1317"/>
      <c r="AA330" s="1317"/>
      <c r="AB330" s="1317"/>
      <c r="AC330" s="1317"/>
      <c r="AD330" s="1317"/>
      <c r="AE330" s="1317"/>
      <c r="AF330" s="1317"/>
      <c r="AG330" s="448"/>
      <c r="AH330" s="448"/>
      <c r="AI330" s="448"/>
      <c r="AJ330" s="448"/>
      <c r="AK330" s="448"/>
      <c r="AL330" s="448"/>
      <c r="AM330" s="448"/>
      <c r="AN330" s="448"/>
      <c r="AO330" s="448"/>
      <c r="AP330" s="448"/>
      <c r="AQ330" s="448"/>
      <c r="AR330" s="448"/>
      <c r="AS330" s="448"/>
      <c r="AT330" s="448"/>
      <c r="AU330" s="448"/>
      <c r="AV330" s="448"/>
      <c r="AW330" s="448"/>
      <c r="AX330" s="448"/>
      <c r="AY330" s="448"/>
      <c r="AZ330" s="448"/>
      <c r="BA330" s="448"/>
    </row>
    <row r="331" spans="1:53" x14ac:dyDescent="0.2">
      <c r="A331" s="448"/>
      <c r="B331" s="448"/>
      <c r="C331" s="448"/>
      <c r="D331" s="448"/>
      <c r="E331" s="459"/>
      <c r="F331" s="460"/>
      <c r="G331" s="461"/>
      <c r="H331" s="461"/>
      <c r="I331" s="460"/>
      <c r="J331" s="460"/>
      <c r="K331" s="460"/>
      <c r="L331" s="460"/>
      <c r="M331" s="460"/>
      <c r="N331" s="462"/>
      <c r="O331" s="462"/>
      <c r="P331" s="448"/>
      <c r="Q331" s="448"/>
      <c r="R331" s="448"/>
      <c r="S331" s="448"/>
      <c r="T331" s="448"/>
      <c r="U331" s="448"/>
      <c r="V331" s="448"/>
      <c r="W331" s="1317"/>
      <c r="X331" s="1317"/>
      <c r="Y331" s="1317"/>
      <c r="Z331" s="1317"/>
      <c r="AA331" s="1317"/>
      <c r="AB331" s="1317"/>
      <c r="AC331" s="1317"/>
      <c r="AD331" s="1317"/>
      <c r="AE331" s="1317"/>
      <c r="AF331" s="1317"/>
      <c r="AG331" s="448"/>
      <c r="AH331" s="448"/>
      <c r="AI331" s="448"/>
      <c r="AJ331" s="448"/>
      <c r="AK331" s="448"/>
      <c r="AL331" s="448"/>
      <c r="AM331" s="448"/>
      <c r="AN331" s="448"/>
      <c r="AO331" s="448"/>
      <c r="AP331" s="448"/>
      <c r="AQ331" s="448"/>
      <c r="AR331" s="448"/>
      <c r="AS331" s="448"/>
      <c r="AT331" s="448"/>
      <c r="AU331" s="448"/>
      <c r="AV331" s="448"/>
      <c r="AW331" s="448"/>
      <c r="AX331" s="448"/>
      <c r="AY331" s="448"/>
      <c r="AZ331" s="448"/>
      <c r="BA331" s="448"/>
    </row>
    <row r="332" spans="1:53" x14ac:dyDescent="0.2">
      <c r="A332" s="448"/>
      <c r="B332" s="448"/>
      <c r="C332" s="448"/>
      <c r="D332" s="448"/>
      <c r="E332" s="459"/>
      <c r="F332" s="460"/>
      <c r="G332" s="461"/>
      <c r="H332" s="461"/>
      <c r="I332" s="460"/>
      <c r="J332" s="460"/>
      <c r="K332" s="460"/>
      <c r="L332" s="460"/>
      <c r="M332" s="460"/>
      <c r="N332" s="462"/>
      <c r="O332" s="462"/>
      <c r="P332" s="448"/>
      <c r="Q332" s="448"/>
      <c r="R332" s="448"/>
      <c r="S332" s="448"/>
      <c r="T332" s="448"/>
      <c r="U332" s="448"/>
      <c r="V332" s="448"/>
      <c r="W332" s="1317"/>
      <c r="X332" s="1317"/>
      <c r="Y332" s="1317"/>
      <c r="Z332" s="1317"/>
      <c r="AA332" s="1317"/>
      <c r="AB332" s="1317"/>
      <c r="AC332" s="1317"/>
      <c r="AD332" s="1317"/>
      <c r="AE332" s="1317"/>
      <c r="AF332" s="1317"/>
      <c r="AG332" s="448"/>
      <c r="AH332" s="448"/>
      <c r="AI332" s="448"/>
      <c r="AJ332" s="448"/>
      <c r="AK332" s="448"/>
      <c r="AL332" s="448"/>
      <c r="AM332" s="448"/>
      <c r="AN332" s="448"/>
      <c r="AO332" s="448"/>
      <c r="AP332" s="448"/>
      <c r="AQ332" s="448"/>
      <c r="AR332" s="448"/>
      <c r="AS332" s="448"/>
      <c r="AT332" s="448"/>
      <c r="AU332" s="448"/>
      <c r="AV332" s="448"/>
      <c r="AW332" s="448"/>
      <c r="AX332" s="448"/>
      <c r="AY332" s="448"/>
      <c r="AZ332" s="448"/>
      <c r="BA332" s="448"/>
    </row>
    <row r="333" spans="1:53" x14ac:dyDescent="0.2">
      <c r="A333" s="448"/>
      <c r="B333" s="448"/>
      <c r="C333" s="448"/>
      <c r="D333" s="448"/>
      <c r="E333" s="459"/>
      <c r="F333" s="460"/>
      <c r="G333" s="461"/>
      <c r="H333" s="461"/>
      <c r="I333" s="460"/>
      <c r="J333" s="460"/>
      <c r="K333" s="460"/>
      <c r="L333" s="460"/>
      <c r="M333" s="460"/>
      <c r="N333" s="462"/>
      <c r="O333" s="462"/>
      <c r="P333" s="448"/>
      <c r="Q333" s="448"/>
      <c r="R333" s="448"/>
      <c r="S333" s="448"/>
      <c r="T333" s="448"/>
      <c r="U333" s="448"/>
      <c r="V333" s="448"/>
      <c r="W333" s="1317"/>
      <c r="X333" s="1317"/>
      <c r="Y333" s="1317"/>
      <c r="Z333" s="1317"/>
      <c r="AA333" s="1317"/>
      <c r="AB333" s="1317"/>
      <c r="AC333" s="1317"/>
      <c r="AD333" s="1317"/>
      <c r="AE333" s="1317"/>
      <c r="AF333" s="1317"/>
      <c r="AG333" s="448"/>
      <c r="AH333" s="448"/>
      <c r="AI333" s="448"/>
      <c r="AJ333" s="448"/>
      <c r="AK333" s="448"/>
      <c r="AL333" s="448"/>
      <c r="AM333" s="448"/>
      <c r="AN333" s="448"/>
      <c r="AO333" s="448"/>
      <c r="AP333" s="448"/>
      <c r="AQ333" s="448"/>
      <c r="AR333" s="448"/>
      <c r="AS333" s="448"/>
      <c r="AT333" s="448"/>
      <c r="AU333" s="448"/>
      <c r="AV333" s="448"/>
      <c r="AW333" s="448"/>
      <c r="AX333" s="448"/>
      <c r="AY333" s="448"/>
      <c r="AZ333" s="448"/>
      <c r="BA333" s="448"/>
    </row>
    <row r="334" spans="1:53" x14ac:dyDescent="0.2">
      <c r="A334" s="448"/>
      <c r="B334" s="448"/>
      <c r="C334" s="448"/>
      <c r="D334" s="448"/>
      <c r="E334" s="459"/>
      <c r="F334" s="460"/>
      <c r="G334" s="461"/>
      <c r="H334" s="461"/>
      <c r="I334" s="460"/>
      <c r="J334" s="460"/>
      <c r="K334" s="460"/>
      <c r="L334" s="460"/>
      <c r="M334" s="460"/>
      <c r="N334" s="462"/>
      <c r="O334" s="462"/>
      <c r="P334" s="448"/>
      <c r="Q334" s="448"/>
      <c r="R334" s="448"/>
      <c r="S334" s="448"/>
      <c r="T334" s="448"/>
      <c r="U334" s="448"/>
      <c r="V334" s="448"/>
      <c r="W334" s="1317"/>
      <c r="X334" s="1317"/>
      <c r="Y334" s="1317"/>
      <c r="Z334" s="1317"/>
      <c r="AA334" s="1317"/>
      <c r="AB334" s="1317"/>
      <c r="AC334" s="1317"/>
      <c r="AD334" s="1317"/>
      <c r="AE334" s="1317"/>
      <c r="AF334" s="1317"/>
      <c r="AG334" s="448"/>
      <c r="AH334" s="448"/>
      <c r="AI334" s="448"/>
      <c r="AJ334" s="448"/>
      <c r="AK334" s="448"/>
      <c r="AL334" s="448"/>
      <c r="AM334" s="448"/>
      <c r="AN334" s="448"/>
      <c r="AO334" s="448"/>
      <c r="AP334" s="448"/>
      <c r="AQ334" s="448"/>
      <c r="AR334" s="448"/>
      <c r="AS334" s="448"/>
      <c r="AT334" s="448"/>
      <c r="AU334" s="448"/>
      <c r="AV334" s="448"/>
      <c r="AW334" s="448"/>
      <c r="AX334" s="448"/>
      <c r="AY334" s="448"/>
      <c r="AZ334" s="448"/>
      <c r="BA334" s="448"/>
    </row>
    <row r="335" spans="1:53" x14ac:dyDescent="0.2">
      <c r="A335" s="448"/>
      <c r="B335" s="448"/>
      <c r="C335" s="448"/>
      <c r="D335" s="448"/>
      <c r="E335" s="459"/>
      <c r="F335" s="460"/>
      <c r="G335" s="461"/>
      <c r="H335" s="461"/>
      <c r="I335" s="460"/>
      <c r="J335" s="460"/>
      <c r="K335" s="460"/>
      <c r="L335" s="460"/>
      <c r="M335" s="460"/>
      <c r="N335" s="462"/>
      <c r="O335" s="462"/>
      <c r="P335" s="448"/>
      <c r="Q335" s="448"/>
      <c r="R335" s="448"/>
      <c r="S335" s="448"/>
      <c r="T335" s="448"/>
      <c r="U335" s="448"/>
      <c r="V335" s="448"/>
      <c r="W335" s="1317"/>
      <c r="X335" s="1317"/>
      <c r="Y335" s="1317"/>
      <c r="Z335" s="1317"/>
      <c r="AA335" s="1317"/>
      <c r="AB335" s="1317"/>
      <c r="AC335" s="1317"/>
      <c r="AD335" s="1317"/>
      <c r="AE335" s="1317"/>
      <c r="AF335" s="1317"/>
      <c r="AG335" s="448"/>
      <c r="AH335" s="448"/>
      <c r="AI335" s="448"/>
      <c r="AJ335" s="448"/>
      <c r="AK335" s="448"/>
      <c r="AL335" s="448"/>
      <c r="AM335" s="448"/>
      <c r="AN335" s="448"/>
      <c r="AO335" s="448"/>
      <c r="AP335" s="448"/>
      <c r="AQ335" s="448"/>
      <c r="AR335" s="448"/>
      <c r="AS335" s="448"/>
      <c r="AT335" s="448"/>
      <c r="AU335" s="448"/>
      <c r="AV335" s="448"/>
      <c r="AW335" s="448"/>
      <c r="AX335" s="448"/>
      <c r="AY335" s="448"/>
      <c r="AZ335" s="448"/>
      <c r="BA335" s="448"/>
    </row>
    <row r="336" spans="1:53" x14ac:dyDescent="0.2">
      <c r="A336" s="448"/>
      <c r="B336" s="448"/>
      <c r="C336" s="448"/>
      <c r="D336" s="448"/>
      <c r="E336" s="459"/>
      <c r="F336" s="460"/>
      <c r="G336" s="461"/>
      <c r="H336" s="461"/>
      <c r="I336" s="460"/>
      <c r="J336" s="460"/>
      <c r="K336" s="460"/>
      <c r="L336" s="460"/>
      <c r="M336" s="460"/>
      <c r="N336" s="462"/>
      <c r="O336" s="462"/>
      <c r="P336" s="448"/>
      <c r="Q336" s="448"/>
      <c r="R336" s="448"/>
      <c r="S336" s="448"/>
      <c r="T336" s="448"/>
      <c r="U336" s="448"/>
      <c r="V336" s="448"/>
      <c r="W336" s="1317"/>
      <c r="X336" s="1317"/>
      <c r="Y336" s="1317"/>
      <c r="Z336" s="1317"/>
      <c r="AA336" s="1317"/>
      <c r="AB336" s="1317"/>
      <c r="AC336" s="1317"/>
      <c r="AD336" s="1317"/>
      <c r="AE336" s="1317"/>
      <c r="AF336" s="1317"/>
      <c r="AG336" s="448"/>
      <c r="AH336" s="448"/>
      <c r="AI336" s="448"/>
      <c r="AJ336" s="448"/>
      <c r="AK336" s="448"/>
      <c r="AL336" s="448"/>
      <c r="AM336" s="448"/>
      <c r="AN336" s="448"/>
      <c r="AO336" s="448"/>
      <c r="AP336" s="448"/>
      <c r="AQ336" s="448"/>
      <c r="AR336" s="448"/>
      <c r="AS336" s="448"/>
      <c r="AT336" s="448"/>
      <c r="AU336" s="448"/>
      <c r="AV336" s="448"/>
      <c r="AW336" s="448"/>
      <c r="AX336" s="448"/>
      <c r="AY336" s="448"/>
      <c r="AZ336" s="448"/>
      <c r="BA336" s="448"/>
    </row>
    <row r="337" spans="1:53" x14ac:dyDescent="0.2">
      <c r="A337" s="448"/>
      <c r="B337" s="448"/>
      <c r="C337" s="448"/>
      <c r="D337" s="448"/>
      <c r="E337" s="459"/>
      <c r="F337" s="460"/>
      <c r="G337" s="461"/>
      <c r="H337" s="461"/>
      <c r="I337" s="460"/>
      <c r="J337" s="460"/>
      <c r="K337" s="460"/>
      <c r="L337" s="460"/>
      <c r="M337" s="460"/>
      <c r="N337" s="462"/>
      <c r="O337" s="462"/>
      <c r="P337" s="448"/>
      <c r="Q337" s="448"/>
      <c r="R337" s="448"/>
      <c r="S337" s="448"/>
      <c r="T337" s="448"/>
      <c r="U337" s="448"/>
      <c r="V337" s="448"/>
      <c r="W337" s="1317"/>
      <c r="X337" s="1317"/>
      <c r="Y337" s="1317"/>
      <c r="Z337" s="1317"/>
      <c r="AA337" s="1317"/>
      <c r="AB337" s="1317"/>
      <c r="AC337" s="1317"/>
      <c r="AD337" s="1317"/>
      <c r="AE337" s="1317"/>
      <c r="AF337" s="1317"/>
      <c r="AG337" s="448"/>
      <c r="AH337" s="448"/>
      <c r="AI337" s="448"/>
      <c r="AJ337" s="448"/>
      <c r="AK337" s="448"/>
      <c r="AL337" s="448"/>
      <c r="AM337" s="448"/>
      <c r="AN337" s="448"/>
      <c r="AO337" s="448"/>
      <c r="AP337" s="448"/>
      <c r="AQ337" s="448"/>
      <c r="AR337" s="448"/>
      <c r="AS337" s="448"/>
      <c r="AT337" s="448"/>
      <c r="AU337" s="448"/>
      <c r="AV337" s="448"/>
      <c r="AW337" s="448"/>
      <c r="AX337" s="448"/>
      <c r="AY337" s="448"/>
      <c r="AZ337" s="448"/>
      <c r="BA337" s="448"/>
    </row>
    <row r="338" spans="1:53" x14ac:dyDescent="0.2">
      <c r="A338" s="448"/>
      <c r="B338" s="448"/>
      <c r="C338" s="448"/>
      <c r="D338" s="448"/>
      <c r="E338" s="459"/>
      <c r="F338" s="460"/>
      <c r="G338" s="461"/>
      <c r="H338" s="461"/>
      <c r="I338" s="460"/>
      <c r="J338" s="460"/>
      <c r="K338" s="460"/>
      <c r="L338" s="460"/>
      <c r="M338" s="460"/>
      <c r="N338" s="462"/>
      <c r="O338" s="462"/>
      <c r="P338" s="448"/>
      <c r="Q338" s="448"/>
      <c r="R338" s="448"/>
      <c r="S338" s="448"/>
      <c r="T338" s="448"/>
      <c r="U338" s="448"/>
      <c r="V338" s="448"/>
      <c r="W338" s="1317"/>
      <c r="X338" s="1317"/>
      <c r="Y338" s="1317"/>
      <c r="Z338" s="1317"/>
      <c r="AA338" s="1317"/>
      <c r="AB338" s="1317"/>
      <c r="AC338" s="1317"/>
      <c r="AD338" s="1317"/>
      <c r="AE338" s="1317"/>
      <c r="AF338" s="1317"/>
      <c r="AG338" s="448"/>
      <c r="AH338" s="448"/>
      <c r="AI338" s="448"/>
      <c r="AJ338" s="448"/>
      <c r="AK338" s="448"/>
      <c r="AL338" s="448"/>
      <c r="AM338" s="448"/>
      <c r="AN338" s="448"/>
      <c r="AO338" s="448"/>
      <c r="AP338" s="448"/>
      <c r="AQ338" s="448"/>
      <c r="AR338" s="448"/>
      <c r="AS338" s="448"/>
      <c r="AT338" s="448"/>
      <c r="AU338" s="448"/>
      <c r="AV338" s="448"/>
      <c r="AW338" s="448"/>
      <c r="AX338" s="448"/>
      <c r="AY338" s="448"/>
      <c r="AZ338" s="448"/>
      <c r="BA338" s="448"/>
    </row>
    <row r="339" spans="1:53" x14ac:dyDescent="0.2">
      <c r="A339" s="448"/>
      <c r="B339" s="448"/>
      <c r="C339" s="448"/>
      <c r="D339" s="448"/>
      <c r="E339" s="459"/>
      <c r="F339" s="460"/>
      <c r="G339" s="461"/>
      <c r="H339" s="461"/>
      <c r="I339" s="460"/>
      <c r="J339" s="460"/>
      <c r="K339" s="460"/>
      <c r="L339" s="460"/>
      <c r="M339" s="460"/>
      <c r="N339" s="462"/>
      <c r="O339" s="462"/>
      <c r="P339" s="448"/>
      <c r="Q339" s="448"/>
      <c r="R339" s="448"/>
      <c r="S339" s="448"/>
      <c r="T339" s="448"/>
      <c r="U339" s="448"/>
      <c r="V339" s="448"/>
      <c r="W339" s="1317"/>
      <c r="X339" s="1317"/>
      <c r="Y339" s="1317"/>
      <c r="Z339" s="1317"/>
      <c r="AA339" s="1317"/>
      <c r="AB339" s="1317"/>
      <c r="AC339" s="1317"/>
      <c r="AD339" s="1317"/>
      <c r="AE339" s="1317"/>
      <c r="AF339" s="1317"/>
      <c r="AG339" s="448"/>
      <c r="AH339" s="448"/>
      <c r="AI339" s="448"/>
      <c r="AJ339" s="448"/>
      <c r="AK339" s="448"/>
      <c r="AL339" s="448"/>
      <c r="AM339" s="448"/>
      <c r="AN339" s="448"/>
      <c r="AO339" s="448"/>
      <c r="AP339" s="448"/>
      <c r="AQ339" s="448"/>
      <c r="AR339" s="448"/>
      <c r="AS339" s="448"/>
      <c r="AT339" s="448"/>
      <c r="AU339" s="448"/>
      <c r="AV339" s="448"/>
      <c r="AW339" s="448"/>
      <c r="AX339" s="448"/>
      <c r="AY339" s="448"/>
      <c r="AZ339" s="448"/>
      <c r="BA339" s="448"/>
    </row>
    <row r="340" spans="1:53" x14ac:dyDescent="0.2">
      <c r="A340" s="448"/>
      <c r="B340" s="448"/>
      <c r="C340" s="448"/>
      <c r="D340" s="448"/>
      <c r="E340" s="459"/>
      <c r="F340" s="460"/>
      <c r="G340" s="461"/>
      <c r="H340" s="461"/>
      <c r="I340" s="460"/>
      <c r="J340" s="460"/>
      <c r="K340" s="460"/>
      <c r="L340" s="460"/>
      <c r="M340" s="460"/>
      <c r="N340" s="462"/>
      <c r="O340" s="462"/>
      <c r="P340" s="448"/>
      <c r="Q340" s="448"/>
      <c r="R340" s="448"/>
      <c r="S340" s="448"/>
      <c r="T340" s="448"/>
      <c r="U340" s="448"/>
      <c r="V340" s="448"/>
      <c r="W340" s="1317"/>
      <c r="X340" s="1317"/>
      <c r="Y340" s="1317"/>
      <c r="Z340" s="1317"/>
      <c r="AA340" s="1317"/>
      <c r="AB340" s="1317"/>
      <c r="AC340" s="1317"/>
      <c r="AD340" s="1317"/>
      <c r="AE340" s="1317"/>
      <c r="AF340" s="1317"/>
      <c r="AG340" s="448"/>
      <c r="AH340" s="448"/>
      <c r="AI340" s="448"/>
      <c r="AJ340" s="448"/>
      <c r="AK340" s="448"/>
      <c r="AL340" s="448"/>
      <c r="AM340" s="448"/>
      <c r="AN340" s="448"/>
      <c r="AO340" s="448"/>
      <c r="AP340" s="448"/>
      <c r="AQ340" s="448"/>
      <c r="AR340" s="448"/>
      <c r="AS340" s="448"/>
      <c r="AT340" s="448"/>
      <c r="AU340" s="448"/>
      <c r="AV340" s="448"/>
      <c r="AW340" s="448"/>
      <c r="AX340" s="448"/>
      <c r="AY340" s="448"/>
      <c r="AZ340" s="448"/>
      <c r="BA340" s="448"/>
    </row>
    <row r="341" spans="1:53" x14ac:dyDescent="0.2">
      <c r="A341" s="448"/>
      <c r="B341" s="448"/>
      <c r="C341" s="448"/>
      <c r="D341" s="448"/>
      <c r="E341" s="459"/>
      <c r="F341" s="460"/>
      <c r="G341" s="461"/>
      <c r="H341" s="461"/>
      <c r="I341" s="460"/>
      <c r="J341" s="460"/>
      <c r="K341" s="460"/>
      <c r="L341" s="460"/>
      <c r="M341" s="460"/>
      <c r="N341" s="462"/>
      <c r="O341" s="462"/>
      <c r="P341" s="448"/>
      <c r="Q341" s="448"/>
      <c r="R341" s="448"/>
      <c r="S341" s="448"/>
      <c r="T341" s="448"/>
      <c r="U341" s="448"/>
      <c r="V341" s="448"/>
      <c r="W341" s="1317"/>
      <c r="X341" s="1317"/>
      <c r="Y341" s="1317"/>
      <c r="Z341" s="1317"/>
      <c r="AA341" s="1317"/>
      <c r="AB341" s="1317"/>
      <c r="AC341" s="1317"/>
      <c r="AD341" s="1317"/>
      <c r="AE341" s="1317"/>
      <c r="AF341" s="1317"/>
      <c r="AG341" s="448"/>
      <c r="AH341" s="448"/>
      <c r="AI341" s="448"/>
      <c r="AJ341" s="448"/>
      <c r="AK341" s="448"/>
      <c r="AL341" s="448"/>
      <c r="AM341" s="448"/>
      <c r="AN341" s="448"/>
      <c r="AO341" s="448"/>
      <c r="AP341" s="448"/>
      <c r="AQ341" s="448"/>
      <c r="AR341" s="448"/>
      <c r="AS341" s="448"/>
      <c r="AT341" s="448"/>
      <c r="AU341" s="448"/>
      <c r="AV341" s="448"/>
      <c r="AW341" s="448"/>
      <c r="AX341" s="448"/>
      <c r="AY341" s="448"/>
      <c r="AZ341" s="448"/>
      <c r="BA341" s="448"/>
    </row>
    <row r="342" spans="1:53" x14ac:dyDescent="0.2">
      <c r="A342" s="448"/>
      <c r="B342" s="448"/>
      <c r="C342" s="448"/>
      <c r="D342" s="448"/>
      <c r="E342" s="459"/>
      <c r="F342" s="460"/>
      <c r="G342" s="461"/>
      <c r="H342" s="461"/>
      <c r="I342" s="460"/>
      <c r="J342" s="460"/>
      <c r="K342" s="460"/>
      <c r="L342" s="460"/>
      <c r="M342" s="460"/>
      <c r="N342" s="462"/>
      <c r="O342" s="462"/>
      <c r="P342" s="448"/>
      <c r="Q342" s="448"/>
      <c r="R342" s="448"/>
      <c r="S342" s="448"/>
      <c r="T342" s="448"/>
      <c r="U342" s="448"/>
      <c r="V342" s="448"/>
      <c r="W342" s="1317"/>
      <c r="X342" s="1317"/>
      <c r="Y342" s="1317"/>
      <c r="Z342" s="1317"/>
      <c r="AA342" s="1317"/>
      <c r="AB342" s="1317"/>
      <c r="AC342" s="1317"/>
      <c r="AD342" s="1317"/>
      <c r="AE342" s="1317"/>
      <c r="AF342" s="1317"/>
      <c r="AG342" s="448"/>
      <c r="AH342" s="448"/>
      <c r="AI342" s="448"/>
      <c r="AJ342" s="448"/>
      <c r="AK342" s="448"/>
      <c r="AL342" s="448"/>
      <c r="AM342" s="448"/>
      <c r="AN342" s="448"/>
      <c r="AO342" s="448"/>
      <c r="AP342" s="448"/>
      <c r="AQ342" s="448"/>
      <c r="AR342" s="448"/>
      <c r="AS342" s="448"/>
      <c r="AT342" s="448"/>
      <c r="AU342" s="448"/>
      <c r="AV342" s="448"/>
      <c r="AW342" s="448"/>
      <c r="AX342" s="448"/>
      <c r="AY342" s="448"/>
      <c r="AZ342" s="448"/>
      <c r="BA342" s="448"/>
    </row>
    <row r="343" spans="1:53" x14ac:dyDescent="0.2">
      <c r="A343" s="448"/>
      <c r="B343" s="448"/>
      <c r="C343" s="448"/>
      <c r="D343" s="448"/>
      <c r="E343" s="459"/>
      <c r="F343" s="460"/>
      <c r="G343" s="461"/>
      <c r="H343" s="461"/>
      <c r="I343" s="460"/>
      <c r="J343" s="460"/>
      <c r="K343" s="460"/>
      <c r="L343" s="460"/>
      <c r="M343" s="460"/>
      <c r="N343" s="462"/>
      <c r="O343" s="462"/>
      <c r="P343" s="448"/>
      <c r="Q343" s="448"/>
      <c r="R343" s="448"/>
      <c r="S343" s="448"/>
      <c r="T343" s="448"/>
      <c r="U343" s="448"/>
      <c r="V343" s="448"/>
      <c r="W343" s="1317"/>
      <c r="X343" s="1317"/>
      <c r="Y343" s="1317"/>
      <c r="Z343" s="1317"/>
      <c r="AA343" s="1317"/>
      <c r="AB343" s="1317"/>
      <c r="AC343" s="1317"/>
      <c r="AD343" s="1317"/>
      <c r="AE343" s="1317"/>
      <c r="AF343" s="1317"/>
      <c r="AG343" s="448"/>
      <c r="AH343" s="448"/>
      <c r="AI343" s="448"/>
      <c r="AJ343" s="448"/>
      <c r="AK343" s="448"/>
      <c r="AL343" s="448"/>
      <c r="AM343" s="448"/>
      <c r="AN343" s="448"/>
      <c r="AO343" s="448"/>
      <c r="AP343" s="448"/>
      <c r="AQ343" s="448"/>
      <c r="AR343" s="448"/>
      <c r="AS343" s="448"/>
      <c r="AT343" s="448"/>
      <c r="AU343" s="448"/>
      <c r="AV343" s="448"/>
      <c r="AW343" s="448"/>
      <c r="AX343" s="448"/>
      <c r="AY343" s="448"/>
      <c r="AZ343" s="448"/>
      <c r="BA343" s="448"/>
    </row>
    <row r="344" spans="1:53" x14ac:dyDescent="0.2">
      <c r="A344" s="448"/>
      <c r="B344" s="448"/>
      <c r="C344" s="448"/>
      <c r="D344" s="448"/>
      <c r="E344" s="459"/>
      <c r="F344" s="460"/>
      <c r="G344" s="461"/>
      <c r="H344" s="461"/>
      <c r="I344" s="460"/>
      <c r="J344" s="460"/>
      <c r="K344" s="460"/>
      <c r="L344" s="460"/>
      <c r="M344" s="460"/>
      <c r="N344" s="462"/>
      <c r="O344" s="462"/>
      <c r="P344" s="448"/>
      <c r="Q344" s="448"/>
      <c r="R344" s="448"/>
      <c r="S344" s="448"/>
      <c r="T344" s="448"/>
      <c r="U344" s="448"/>
      <c r="V344" s="448"/>
      <c r="W344" s="1317"/>
      <c r="X344" s="1317"/>
      <c r="Y344" s="1317"/>
      <c r="Z344" s="1317"/>
      <c r="AA344" s="1317"/>
      <c r="AB344" s="1317"/>
      <c r="AC344" s="1317"/>
      <c r="AD344" s="1317"/>
      <c r="AE344" s="1317"/>
      <c r="AF344" s="1317"/>
      <c r="AG344" s="448"/>
      <c r="AH344" s="448"/>
      <c r="AI344" s="448"/>
      <c r="AJ344" s="448"/>
      <c r="AK344" s="448"/>
      <c r="AL344" s="448"/>
      <c r="AM344" s="448"/>
      <c r="AN344" s="448"/>
      <c r="AO344" s="448"/>
      <c r="AP344" s="448"/>
      <c r="AQ344" s="448"/>
      <c r="AR344" s="448"/>
      <c r="AS344" s="448"/>
      <c r="AT344" s="448"/>
      <c r="AU344" s="448"/>
      <c r="AV344" s="448"/>
      <c r="AW344" s="448"/>
      <c r="AX344" s="448"/>
      <c r="AY344" s="448"/>
      <c r="AZ344" s="448"/>
      <c r="BA344" s="448"/>
    </row>
    <row r="345" spans="1:53" x14ac:dyDescent="0.2">
      <c r="A345" s="448"/>
      <c r="B345" s="448"/>
      <c r="C345" s="448"/>
      <c r="D345" s="448"/>
      <c r="E345" s="459"/>
      <c r="F345" s="460"/>
      <c r="G345" s="461"/>
      <c r="H345" s="461"/>
      <c r="I345" s="460"/>
      <c r="J345" s="460"/>
      <c r="K345" s="460"/>
      <c r="L345" s="460"/>
      <c r="M345" s="460"/>
      <c r="N345" s="462"/>
      <c r="O345" s="462"/>
      <c r="P345" s="448"/>
      <c r="Q345" s="448"/>
      <c r="R345" s="448"/>
      <c r="S345" s="448"/>
      <c r="T345" s="448"/>
      <c r="U345" s="448"/>
      <c r="V345" s="448"/>
      <c r="W345" s="1317"/>
      <c r="X345" s="1317"/>
      <c r="Y345" s="1317"/>
      <c r="Z345" s="1317"/>
      <c r="AA345" s="1317"/>
      <c r="AB345" s="1317"/>
      <c r="AC345" s="1317"/>
      <c r="AD345" s="1317"/>
      <c r="AE345" s="1317"/>
      <c r="AF345" s="1317"/>
      <c r="AG345" s="448"/>
      <c r="AH345" s="448"/>
      <c r="AI345" s="448"/>
      <c r="AJ345" s="448"/>
      <c r="AK345" s="448"/>
      <c r="AL345" s="448"/>
      <c r="AM345" s="448"/>
      <c r="AN345" s="448"/>
      <c r="AO345" s="448"/>
      <c r="AP345" s="448"/>
      <c r="AQ345" s="448"/>
      <c r="AR345" s="448"/>
      <c r="AS345" s="448"/>
      <c r="AT345" s="448"/>
      <c r="AU345" s="448"/>
      <c r="AV345" s="448"/>
      <c r="AW345" s="448"/>
      <c r="AX345" s="448"/>
      <c r="AY345" s="448"/>
      <c r="AZ345" s="448"/>
      <c r="BA345" s="448"/>
    </row>
    <row r="346" spans="1:53" x14ac:dyDescent="0.2">
      <c r="A346" s="448"/>
      <c r="B346" s="448"/>
      <c r="C346" s="448"/>
      <c r="D346" s="448"/>
      <c r="E346" s="459"/>
      <c r="F346" s="460"/>
      <c r="G346" s="461"/>
      <c r="H346" s="461"/>
      <c r="I346" s="460"/>
      <c r="J346" s="460"/>
      <c r="K346" s="460"/>
      <c r="L346" s="460"/>
      <c r="M346" s="460"/>
      <c r="N346" s="462"/>
      <c r="O346" s="462"/>
      <c r="P346" s="448"/>
      <c r="Q346" s="448"/>
      <c r="R346" s="448"/>
      <c r="S346" s="448"/>
      <c r="T346" s="448"/>
      <c r="U346" s="448"/>
      <c r="V346" s="448"/>
      <c r="W346" s="1317"/>
      <c r="X346" s="1317"/>
      <c r="Y346" s="1317"/>
      <c r="Z346" s="1317"/>
      <c r="AA346" s="1317"/>
      <c r="AB346" s="1317"/>
      <c r="AC346" s="1317"/>
      <c r="AD346" s="1317"/>
      <c r="AE346" s="1317"/>
      <c r="AF346" s="1317"/>
      <c r="AG346" s="448"/>
      <c r="AH346" s="448"/>
      <c r="AI346" s="448"/>
      <c r="AJ346" s="448"/>
      <c r="AK346" s="448"/>
      <c r="AL346" s="448"/>
      <c r="AM346" s="448"/>
      <c r="AN346" s="448"/>
      <c r="AO346" s="448"/>
      <c r="AP346" s="448"/>
      <c r="AQ346" s="448"/>
      <c r="AR346" s="448"/>
      <c r="AS346" s="448"/>
      <c r="AT346" s="448"/>
      <c r="AU346" s="448"/>
      <c r="AV346" s="448"/>
      <c r="AW346" s="448"/>
      <c r="AX346" s="448"/>
      <c r="AY346" s="448"/>
      <c r="AZ346" s="448"/>
      <c r="BA346" s="448"/>
    </row>
    <row r="347" spans="1:53" x14ac:dyDescent="0.2">
      <c r="A347" s="448"/>
      <c r="B347" s="448"/>
      <c r="C347" s="448"/>
      <c r="D347" s="448"/>
      <c r="E347" s="459"/>
      <c r="F347" s="460"/>
      <c r="G347" s="461"/>
      <c r="H347" s="461"/>
      <c r="I347" s="460"/>
      <c r="J347" s="460"/>
      <c r="K347" s="460"/>
      <c r="L347" s="460"/>
      <c r="M347" s="460"/>
      <c r="N347" s="462"/>
      <c r="O347" s="462"/>
      <c r="P347" s="448"/>
      <c r="Q347" s="448"/>
      <c r="R347" s="448"/>
      <c r="S347" s="448"/>
      <c r="T347" s="448"/>
      <c r="U347" s="448"/>
      <c r="V347" s="448"/>
      <c r="W347" s="1317"/>
      <c r="X347" s="1317"/>
      <c r="Y347" s="1317"/>
      <c r="Z347" s="1317"/>
      <c r="AA347" s="1317"/>
      <c r="AB347" s="1317"/>
      <c r="AC347" s="1317"/>
      <c r="AD347" s="1317"/>
      <c r="AE347" s="1317"/>
      <c r="AF347" s="1317"/>
      <c r="AG347" s="448"/>
      <c r="AH347" s="448"/>
      <c r="AI347" s="448"/>
      <c r="AJ347" s="448"/>
      <c r="AK347" s="448"/>
      <c r="AL347" s="448"/>
      <c r="AM347" s="448"/>
      <c r="AN347" s="448"/>
      <c r="AO347" s="448"/>
      <c r="AP347" s="448"/>
      <c r="AQ347" s="448"/>
      <c r="AR347" s="448"/>
      <c r="AS347" s="448"/>
      <c r="AT347" s="448"/>
      <c r="AU347" s="448"/>
      <c r="AV347" s="448"/>
      <c r="AW347" s="448"/>
      <c r="AX347" s="448"/>
      <c r="AY347" s="448"/>
      <c r="AZ347" s="448"/>
      <c r="BA347" s="448"/>
    </row>
    <row r="348" spans="1:53" x14ac:dyDescent="0.2">
      <c r="A348" s="448"/>
      <c r="B348" s="448"/>
      <c r="C348" s="448"/>
      <c r="D348" s="448"/>
      <c r="E348" s="459"/>
      <c r="F348" s="460"/>
      <c r="G348" s="461"/>
      <c r="H348" s="461"/>
      <c r="I348" s="460"/>
      <c r="J348" s="460"/>
      <c r="K348" s="460"/>
      <c r="L348" s="460"/>
      <c r="M348" s="460"/>
      <c r="N348" s="462"/>
      <c r="O348" s="462"/>
      <c r="P348" s="448"/>
      <c r="Q348" s="448"/>
      <c r="R348" s="448"/>
      <c r="S348" s="448"/>
      <c r="T348" s="448"/>
      <c r="U348" s="448"/>
      <c r="V348" s="448"/>
      <c r="W348" s="1317"/>
      <c r="X348" s="1317"/>
      <c r="Y348" s="1317"/>
      <c r="Z348" s="1317"/>
      <c r="AA348" s="1317"/>
      <c r="AB348" s="1317"/>
      <c r="AC348" s="1317"/>
      <c r="AD348" s="1317"/>
      <c r="AE348" s="1317"/>
      <c r="AF348" s="1317"/>
      <c r="AG348" s="448"/>
      <c r="AH348" s="448"/>
      <c r="AI348" s="448"/>
      <c r="AJ348" s="448"/>
      <c r="AK348" s="448"/>
      <c r="AL348" s="448"/>
      <c r="AM348" s="448"/>
      <c r="AN348" s="448"/>
      <c r="AO348" s="448"/>
      <c r="AP348" s="448"/>
      <c r="AQ348" s="448"/>
      <c r="AR348" s="448"/>
      <c r="AS348" s="448"/>
      <c r="AT348" s="448"/>
      <c r="AU348" s="448"/>
      <c r="AV348" s="448"/>
      <c r="AW348" s="448"/>
      <c r="AX348" s="448"/>
      <c r="AY348" s="448"/>
      <c r="AZ348" s="448"/>
      <c r="BA348" s="448"/>
    </row>
    <row r="349" spans="1:53" x14ac:dyDescent="0.2">
      <c r="A349" s="448"/>
      <c r="B349" s="448"/>
      <c r="C349" s="448"/>
      <c r="D349" s="448"/>
      <c r="E349" s="459"/>
      <c r="F349" s="460"/>
      <c r="G349" s="461"/>
      <c r="H349" s="461"/>
      <c r="I349" s="460"/>
      <c r="J349" s="460"/>
      <c r="K349" s="460"/>
      <c r="L349" s="460"/>
      <c r="M349" s="460"/>
      <c r="N349" s="462"/>
      <c r="O349" s="462"/>
      <c r="P349" s="448"/>
      <c r="Q349" s="448"/>
      <c r="R349" s="448"/>
      <c r="S349" s="448"/>
      <c r="T349" s="448"/>
      <c r="U349" s="448"/>
      <c r="V349" s="448"/>
      <c r="W349" s="1317"/>
      <c r="X349" s="1317"/>
      <c r="Y349" s="1317"/>
      <c r="Z349" s="1317"/>
      <c r="AA349" s="1317"/>
      <c r="AB349" s="1317"/>
      <c r="AC349" s="1317"/>
      <c r="AD349" s="1317"/>
      <c r="AE349" s="1317"/>
      <c r="AF349" s="1317"/>
      <c r="AG349" s="448"/>
      <c r="AH349" s="448"/>
      <c r="AI349" s="448"/>
      <c r="AJ349" s="448"/>
      <c r="AK349" s="448"/>
      <c r="AL349" s="448"/>
      <c r="AM349" s="448"/>
      <c r="AN349" s="448"/>
      <c r="AO349" s="448"/>
      <c r="AP349" s="448"/>
      <c r="AQ349" s="448"/>
      <c r="AR349" s="448"/>
      <c r="AS349" s="448"/>
      <c r="AT349" s="448"/>
      <c r="AU349" s="448"/>
      <c r="AV349" s="448"/>
      <c r="AW349" s="448"/>
      <c r="AX349" s="448"/>
      <c r="AY349" s="448"/>
      <c r="AZ349" s="448"/>
      <c r="BA349" s="448"/>
    </row>
    <row r="350" spans="1:53" x14ac:dyDescent="0.2">
      <c r="A350" s="448"/>
      <c r="B350" s="448"/>
      <c r="C350" s="448"/>
      <c r="D350" s="448"/>
      <c r="E350" s="459"/>
      <c r="F350" s="460"/>
      <c r="G350" s="461"/>
      <c r="H350" s="461"/>
      <c r="I350" s="460"/>
      <c r="J350" s="460"/>
      <c r="K350" s="460"/>
      <c r="L350" s="460"/>
      <c r="M350" s="460"/>
      <c r="N350" s="462"/>
      <c r="O350" s="462"/>
      <c r="P350" s="448"/>
      <c r="Q350" s="448"/>
      <c r="R350" s="448"/>
      <c r="S350" s="448"/>
      <c r="T350" s="448"/>
      <c r="U350" s="448"/>
      <c r="V350" s="448"/>
      <c r="W350" s="1317"/>
      <c r="X350" s="1317"/>
      <c r="Y350" s="1317"/>
      <c r="Z350" s="1317"/>
      <c r="AA350" s="1317"/>
      <c r="AB350" s="1317"/>
      <c r="AC350" s="1317"/>
      <c r="AD350" s="1317"/>
      <c r="AE350" s="1317"/>
      <c r="AF350" s="1317"/>
      <c r="AG350" s="448"/>
      <c r="AH350" s="448"/>
      <c r="AI350" s="448"/>
      <c r="AJ350" s="448"/>
      <c r="AK350" s="448"/>
      <c r="AL350" s="448"/>
      <c r="AM350" s="448"/>
      <c r="AN350" s="448"/>
      <c r="AO350" s="448"/>
      <c r="AP350" s="448"/>
      <c r="AQ350" s="448"/>
      <c r="AR350" s="448"/>
      <c r="AS350" s="448"/>
      <c r="AT350" s="448"/>
      <c r="AU350" s="448"/>
      <c r="AV350" s="448"/>
      <c r="AW350" s="448"/>
      <c r="AX350" s="448"/>
      <c r="AY350" s="448"/>
      <c r="AZ350" s="448"/>
      <c r="BA350" s="448"/>
    </row>
    <row r="351" spans="1:53" x14ac:dyDescent="0.2">
      <c r="A351" s="448"/>
      <c r="B351" s="448"/>
      <c r="C351" s="448"/>
      <c r="D351" s="448"/>
      <c r="E351" s="459"/>
      <c r="F351" s="460"/>
      <c r="G351" s="461"/>
      <c r="H351" s="461"/>
      <c r="I351" s="460"/>
      <c r="J351" s="460"/>
      <c r="K351" s="460"/>
      <c r="L351" s="460"/>
      <c r="M351" s="460"/>
      <c r="N351" s="462"/>
      <c r="O351" s="462"/>
      <c r="P351" s="448"/>
      <c r="Q351" s="448"/>
      <c r="R351" s="448"/>
      <c r="S351" s="448"/>
      <c r="T351" s="448"/>
      <c r="U351" s="448"/>
      <c r="V351" s="448"/>
      <c r="W351" s="1317"/>
      <c r="X351" s="1317"/>
      <c r="Y351" s="1317"/>
      <c r="Z351" s="1317"/>
      <c r="AA351" s="1317"/>
      <c r="AB351" s="1317"/>
      <c r="AC351" s="1317"/>
      <c r="AD351" s="1317"/>
      <c r="AE351" s="1317"/>
      <c r="AF351" s="1317"/>
      <c r="AG351" s="448"/>
      <c r="AH351" s="448"/>
      <c r="AI351" s="448"/>
      <c r="AJ351" s="448"/>
      <c r="AK351" s="448"/>
      <c r="AL351" s="448"/>
      <c r="AM351" s="448"/>
      <c r="AN351" s="448"/>
      <c r="AO351" s="448"/>
      <c r="AP351" s="448"/>
      <c r="AQ351" s="448"/>
      <c r="AR351" s="448"/>
      <c r="AS351" s="448"/>
      <c r="AT351" s="448"/>
      <c r="AU351" s="448"/>
      <c r="AV351" s="448"/>
      <c r="AW351" s="448"/>
      <c r="AX351" s="448"/>
      <c r="AY351" s="448"/>
      <c r="AZ351" s="448"/>
      <c r="BA351" s="448"/>
    </row>
    <row r="352" spans="1:53" x14ac:dyDescent="0.2">
      <c r="A352" s="448"/>
      <c r="B352" s="448"/>
      <c r="C352" s="448"/>
      <c r="D352" s="448"/>
      <c r="E352" s="459"/>
      <c r="F352" s="460"/>
      <c r="G352" s="461"/>
      <c r="H352" s="461"/>
      <c r="I352" s="460"/>
      <c r="J352" s="460"/>
      <c r="K352" s="460"/>
      <c r="L352" s="460"/>
      <c r="M352" s="460"/>
      <c r="N352" s="462"/>
      <c r="O352" s="462"/>
      <c r="P352" s="448"/>
      <c r="Q352" s="448"/>
      <c r="R352" s="448"/>
      <c r="S352" s="448"/>
      <c r="T352" s="448"/>
      <c r="U352" s="448"/>
      <c r="V352" s="448"/>
      <c r="W352" s="1317"/>
      <c r="X352" s="1317"/>
      <c r="Y352" s="1317"/>
      <c r="Z352" s="1317"/>
      <c r="AA352" s="1317"/>
      <c r="AB352" s="1317"/>
      <c r="AC352" s="1317"/>
      <c r="AD352" s="1317"/>
      <c r="AE352" s="1317"/>
      <c r="AF352" s="1317"/>
      <c r="AG352" s="448"/>
      <c r="AH352" s="448"/>
      <c r="AI352" s="448"/>
      <c r="AJ352" s="448"/>
      <c r="AK352" s="448"/>
      <c r="AL352" s="448"/>
      <c r="AM352" s="448"/>
      <c r="AN352" s="448"/>
      <c r="AO352" s="448"/>
      <c r="AP352" s="448"/>
      <c r="AQ352" s="448"/>
      <c r="AR352" s="448"/>
      <c r="AS352" s="448"/>
      <c r="AT352" s="448"/>
      <c r="AU352" s="448"/>
      <c r="AV352" s="448"/>
      <c r="AW352" s="448"/>
      <c r="AX352" s="448"/>
      <c r="AY352" s="448"/>
      <c r="AZ352" s="448"/>
      <c r="BA352" s="448"/>
    </row>
    <row r="353" spans="1:53" x14ac:dyDescent="0.2">
      <c r="A353" s="448"/>
      <c r="B353" s="448"/>
      <c r="C353" s="448"/>
      <c r="D353" s="448"/>
      <c r="E353" s="459"/>
      <c r="F353" s="460"/>
      <c r="G353" s="461"/>
      <c r="H353" s="461"/>
      <c r="I353" s="460"/>
      <c r="J353" s="460"/>
      <c r="K353" s="460"/>
      <c r="L353" s="460"/>
      <c r="M353" s="460"/>
      <c r="N353" s="462"/>
      <c r="O353" s="462"/>
      <c r="P353" s="448"/>
      <c r="Q353" s="448"/>
      <c r="R353" s="448"/>
      <c r="S353" s="448"/>
      <c r="T353" s="448"/>
      <c r="U353" s="448"/>
      <c r="V353" s="448"/>
      <c r="W353" s="1317"/>
      <c r="X353" s="1317"/>
      <c r="Y353" s="1317"/>
      <c r="Z353" s="1317"/>
      <c r="AA353" s="1317"/>
      <c r="AB353" s="1317"/>
      <c r="AC353" s="1317"/>
      <c r="AD353" s="1317"/>
      <c r="AE353" s="1317"/>
      <c r="AF353" s="1317"/>
      <c r="AG353" s="448"/>
      <c r="AH353" s="448"/>
      <c r="AI353" s="448"/>
      <c r="AJ353" s="448"/>
      <c r="AK353" s="448"/>
      <c r="AL353" s="448"/>
      <c r="AM353" s="448"/>
      <c r="AN353" s="448"/>
      <c r="AO353" s="448"/>
      <c r="AP353" s="448"/>
      <c r="AQ353" s="448"/>
      <c r="AR353" s="448"/>
      <c r="AS353" s="448"/>
      <c r="AT353" s="448"/>
      <c r="AU353" s="448"/>
      <c r="AV353" s="448"/>
      <c r="AW353" s="448"/>
      <c r="AX353" s="448"/>
      <c r="AY353" s="448"/>
      <c r="AZ353" s="448"/>
      <c r="BA353" s="448"/>
    </row>
    <row r="354" spans="1:53" x14ac:dyDescent="0.2">
      <c r="A354" s="448"/>
      <c r="B354" s="448"/>
      <c r="C354" s="448"/>
      <c r="D354" s="448"/>
      <c r="E354" s="459"/>
      <c r="F354" s="460"/>
      <c r="G354" s="461"/>
      <c r="H354" s="461"/>
      <c r="I354" s="460"/>
      <c r="J354" s="460"/>
      <c r="K354" s="460"/>
      <c r="L354" s="460"/>
      <c r="M354" s="460"/>
      <c r="N354" s="462"/>
      <c r="O354" s="462"/>
      <c r="P354" s="448"/>
      <c r="Q354" s="448"/>
      <c r="R354" s="448"/>
      <c r="S354" s="448"/>
      <c r="T354" s="448"/>
      <c r="U354" s="448"/>
      <c r="V354" s="448"/>
      <c r="W354" s="1317"/>
      <c r="X354" s="1317"/>
      <c r="Y354" s="1317"/>
      <c r="Z354" s="1317"/>
      <c r="AA354" s="1317"/>
      <c r="AB354" s="1317"/>
      <c r="AC354" s="1317"/>
      <c r="AD354" s="1317"/>
      <c r="AE354" s="1317"/>
      <c r="AF354" s="1317"/>
      <c r="AG354" s="448"/>
      <c r="AH354" s="448"/>
      <c r="AI354" s="448"/>
      <c r="AJ354" s="448"/>
      <c r="AK354" s="448"/>
      <c r="AL354" s="448"/>
      <c r="AM354" s="448"/>
      <c r="AN354" s="448"/>
      <c r="AO354" s="448"/>
      <c r="AP354" s="448"/>
      <c r="AQ354" s="448"/>
      <c r="AR354" s="448"/>
      <c r="AS354" s="448"/>
      <c r="AT354" s="448"/>
      <c r="AU354" s="448"/>
      <c r="AV354" s="448"/>
      <c r="AW354" s="448"/>
      <c r="AX354" s="448"/>
      <c r="AY354" s="448"/>
      <c r="AZ354" s="448"/>
      <c r="BA354" s="448"/>
    </row>
    <row r="355" spans="1:53" x14ac:dyDescent="0.2">
      <c r="A355" s="448"/>
      <c r="B355" s="448"/>
      <c r="C355" s="448"/>
      <c r="D355" s="448"/>
      <c r="E355" s="459"/>
      <c r="F355" s="460"/>
      <c r="G355" s="461"/>
      <c r="H355" s="461"/>
      <c r="I355" s="460"/>
      <c r="J355" s="460"/>
      <c r="K355" s="460"/>
      <c r="L355" s="460"/>
      <c r="M355" s="460"/>
      <c r="N355" s="462"/>
      <c r="O355" s="462"/>
      <c r="P355" s="448"/>
      <c r="Q355" s="448"/>
      <c r="R355" s="448"/>
      <c r="S355" s="448"/>
      <c r="T355" s="448"/>
      <c r="U355" s="448"/>
      <c r="V355" s="448"/>
      <c r="W355" s="1317"/>
      <c r="X355" s="1317"/>
      <c r="Y355" s="1317"/>
      <c r="Z355" s="1317"/>
      <c r="AA355" s="1317"/>
      <c r="AB355" s="1317"/>
      <c r="AC355" s="1317"/>
      <c r="AD355" s="1317"/>
      <c r="AE355" s="1317"/>
      <c r="AF355" s="1317"/>
      <c r="AG355" s="448"/>
      <c r="AH355" s="448"/>
      <c r="AI355" s="448"/>
      <c r="AJ355" s="448"/>
      <c r="AK355" s="448"/>
      <c r="AL355" s="448"/>
      <c r="AM355" s="448"/>
      <c r="AN355" s="448"/>
      <c r="AO355" s="448"/>
      <c r="AP355" s="448"/>
      <c r="AQ355" s="448"/>
      <c r="AR355" s="448"/>
      <c r="AS355" s="448"/>
      <c r="AT355" s="448"/>
      <c r="AU355" s="448"/>
      <c r="AV355" s="448"/>
      <c r="AW355" s="448"/>
      <c r="AX355" s="448"/>
      <c r="AY355" s="448"/>
      <c r="AZ355" s="448"/>
      <c r="BA355" s="448"/>
    </row>
    <row r="356" spans="1:53" x14ac:dyDescent="0.2">
      <c r="A356" s="448"/>
      <c r="B356" s="448"/>
      <c r="C356" s="448"/>
      <c r="D356" s="448"/>
      <c r="E356" s="459"/>
      <c r="F356" s="460"/>
      <c r="G356" s="461"/>
      <c r="H356" s="461"/>
      <c r="I356" s="460"/>
      <c r="J356" s="460"/>
      <c r="K356" s="460"/>
      <c r="L356" s="460"/>
      <c r="M356" s="460"/>
      <c r="N356" s="462"/>
      <c r="O356" s="462"/>
      <c r="P356" s="448"/>
      <c r="Q356" s="448"/>
      <c r="R356" s="448"/>
      <c r="S356" s="448"/>
      <c r="T356" s="448"/>
      <c r="U356" s="448"/>
      <c r="V356" s="448"/>
      <c r="W356" s="1317"/>
      <c r="X356" s="1317"/>
      <c r="Y356" s="1317"/>
      <c r="Z356" s="1317"/>
      <c r="AA356" s="1317"/>
      <c r="AB356" s="1317"/>
      <c r="AC356" s="1317"/>
      <c r="AD356" s="1317"/>
      <c r="AE356" s="1317"/>
      <c r="AF356" s="1317"/>
      <c r="AG356" s="448"/>
      <c r="AH356" s="448"/>
      <c r="AI356" s="448"/>
      <c r="AJ356" s="448"/>
      <c r="AK356" s="448"/>
      <c r="AL356" s="448"/>
      <c r="AM356" s="448"/>
      <c r="AN356" s="448"/>
      <c r="AO356" s="448"/>
      <c r="AP356" s="448"/>
      <c r="AQ356" s="448"/>
      <c r="AR356" s="448"/>
      <c r="AS356" s="448"/>
      <c r="AT356" s="448"/>
      <c r="AU356" s="448"/>
      <c r="AV356" s="448"/>
      <c r="AW356" s="448"/>
      <c r="AX356" s="448"/>
      <c r="AY356" s="448"/>
      <c r="AZ356" s="448"/>
      <c r="BA356" s="448"/>
    </row>
    <row r="357" spans="1:53" x14ac:dyDescent="0.2">
      <c r="A357" s="448"/>
      <c r="B357" s="448"/>
      <c r="C357" s="448"/>
      <c r="D357" s="448"/>
      <c r="E357" s="459"/>
      <c r="F357" s="460"/>
      <c r="G357" s="461"/>
      <c r="H357" s="461"/>
      <c r="I357" s="460"/>
      <c r="J357" s="460"/>
      <c r="K357" s="460"/>
      <c r="L357" s="460"/>
      <c r="M357" s="460"/>
      <c r="N357" s="462"/>
      <c r="O357" s="462"/>
      <c r="P357" s="448"/>
      <c r="Q357" s="448"/>
      <c r="R357" s="448"/>
      <c r="S357" s="448"/>
      <c r="T357" s="448"/>
      <c r="U357" s="448"/>
      <c r="V357" s="448"/>
      <c r="W357" s="1317"/>
      <c r="X357" s="1317"/>
      <c r="Y357" s="1317"/>
      <c r="Z357" s="1317"/>
      <c r="AA357" s="1317"/>
      <c r="AB357" s="1317"/>
      <c r="AC357" s="1317"/>
      <c r="AD357" s="1317"/>
      <c r="AE357" s="1317"/>
      <c r="AF357" s="1317"/>
      <c r="AG357" s="448"/>
      <c r="AH357" s="448"/>
      <c r="AI357" s="448"/>
      <c r="AJ357" s="448"/>
      <c r="AK357" s="448"/>
      <c r="AL357" s="448"/>
      <c r="AM357" s="448"/>
      <c r="AN357" s="448"/>
      <c r="AO357" s="448"/>
      <c r="AP357" s="448"/>
      <c r="AQ357" s="448"/>
      <c r="AR357" s="448"/>
      <c r="AS357" s="448"/>
      <c r="AT357" s="448"/>
      <c r="AU357" s="448"/>
      <c r="AV357" s="448"/>
      <c r="AW357" s="448"/>
      <c r="AX357" s="448"/>
      <c r="AY357" s="448"/>
      <c r="AZ357" s="448"/>
      <c r="BA357" s="448"/>
    </row>
    <row r="358" spans="1:53" x14ac:dyDescent="0.2">
      <c r="A358" s="448"/>
      <c r="B358" s="448"/>
      <c r="C358" s="448"/>
      <c r="D358" s="448"/>
      <c r="E358" s="459"/>
      <c r="F358" s="460"/>
      <c r="G358" s="461"/>
      <c r="H358" s="461"/>
      <c r="I358" s="460"/>
      <c r="J358" s="460"/>
      <c r="K358" s="460"/>
      <c r="L358" s="460"/>
      <c r="M358" s="460"/>
      <c r="N358" s="462"/>
      <c r="O358" s="462"/>
      <c r="P358" s="448"/>
      <c r="Q358" s="448"/>
      <c r="R358" s="448"/>
      <c r="S358" s="448"/>
      <c r="T358" s="448"/>
      <c r="U358" s="448"/>
      <c r="V358" s="448"/>
      <c r="W358" s="1317"/>
      <c r="X358" s="1317"/>
      <c r="Y358" s="1317"/>
      <c r="Z358" s="1317"/>
      <c r="AA358" s="1317"/>
      <c r="AB358" s="1317"/>
      <c r="AC358" s="1317"/>
      <c r="AD358" s="1317"/>
      <c r="AE358" s="1317"/>
      <c r="AF358" s="1317"/>
      <c r="AG358" s="448"/>
      <c r="AH358" s="448"/>
      <c r="AI358" s="448"/>
      <c r="AJ358" s="448"/>
      <c r="AK358" s="448"/>
      <c r="AL358" s="448"/>
      <c r="AM358" s="448"/>
      <c r="AN358" s="448"/>
      <c r="AO358" s="448"/>
      <c r="AP358" s="448"/>
      <c r="AQ358" s="448"/>
      <c r="AR358" s="448"/>
      <c r="AS358" s="448"/>
      <c r="AT358" s="448"/>
      <c r="AU358" s="448"/>
      <c r="AV358" s="448"/>
      <c r="AW358" s="448"/>
      <c r="AX358" s="448"/>
      <c r="AY358" s="448"/>
      <c r="AZ358" s="448"/>
      <c r="BA358" s="448"/>
    </row>
    <row r="359" spans="1:53" x14ac:dyDescent="0.2">
      <c r="A359" s="448"/>
      <c r="B359" s="448"/>
      <c r="C359" s="448"/>
      <c r="D359" s="448"/>
      <c r="E359" s="459"/>
      <c r="F359" s="460"/>
      <c r="G359" s="461"/>
      <c r="H359" s="461"/>
      <c r="I359" s="460"/>
      <c r="J359" s="460"/>
      <c r="K359" s="460"/>
      <c r="L359" s="460"/>
      <c r="M359" s="460"/>
      <c r="N359" s="462"/>
      <c r="O359" s="462"/>
      <c r="P359" s="448"/>
      <c r="Q359" s="448"/>
      <c r="R359" s="448"/>
      <c r="S359" s="448"/>
      <c r="T359" s="448"/>
      <c r="U359" s="448"/>
      <c r="V359" s="448"/>
      <c r="W359" s="1317"/>
      <c r="X359" s="1317"/>
      <c r="Y359" s="1317"/>
      <c r="Z359" s="1317"/>
      <c r="AA359" s="1317"/>
      <c r="AB359" s="1317"/>
      <c r="AC359" s="1317"/>
      <c r="AD359" s="1317"/>
      <c r="AE359" s="1317"/>
      <c r="AF359" s="1317"/>
      <c r="AG359" s="448"/>
      <c r="AH359" s="448"/>
      <c r="AI359" s="448"/>
      <c r="AJ359" s="448"/>
      <c r="AK359" s="448"/>
      <c r="AL359" s="448"/>
      <c r="AM359" s="448"/>
      <c r="AN359" s="448"/>
      <c r="AO359" s="448"/>
      <c r="AP359" s="448"/>
      <c r="AQ359" s="448"/>
      <c r="AR359" s="448"/>
      <c r="AS359" s="448"/>
      <c r="AT359" s="448"/>
      <c r="AU359" s="448"/>
      <c r="AV359" s="448"/>
      <c r="AW359" s="448"/>
      <c r="AX359" s="448"/>
      <c r="AY359" s="448"/>
      <c r="AZ359" s="448"/>
      <c r="BA359" s="448"/>
    </row>
    <row r="360" spans="1:53" x14ac:dyDescent="0.2">
      <c r="A360" s="448"/>
      <c r="B360" s="448"/>
      <c r="C360" s="448"/>
      <c r="D360" s="448"/>
      <c r="E360" s="459"/>
      <c r="F360" s="460"/>
      <c r="G360" s="461"/>
      <c r="H360" s="461"/>
      <c r="I360" s="460"/>
      <c r="J360" s="460"/>
      <c r="K360" s="460"/>
      <c r="L360" s="460"/>
      <c r="M360" s="460"/>
      <c r="N360" s="462"/>
      <c r="O360" s="462"/>
      <c r="P360" s="448"/>
      <c r="Q360" s="448"/>
      <c r="R360" s="448"/>
      <c r="S360" s="448"/>
      <c r="T360" s="448"/>
      <c r="U360" s="448"/>
      <c r="V360" s="448"/>
      <c r="W360" s="1317"/>
      <c r="X360" s="1317"/>
      <c r="Y360" s="1317"/>
      <c r="Z360" s="1317"/>
      <c r="AA360" s="1317"/>
      <c r="AB360" s="1317"/>
      <c r="AC360" s="1317"/>
      <c r="AD360" s="1317"/>
      <c r="AE360" s="1317"/>
      <c r="AF360" s="1317"/>
      <c r="AG360" s="448"/>
      <c r="AH360" s="448"/>
      <c r="AI360" s="448"/>
      <c r="AJ360" s="448"/>
      <c r="AK360" s="448"/>
      <c r="AL360" s="448"/>
      <c r="AM360" s="448"/>
      <c r="AN360" s="448"/>
      <c r="AO360" s="448"/>
      <c r="AP360" s="448"/>
      <c r="AQ360" s="448"/>
      <c r="AR360" s="448"/>
      <c r="AS360" s="448"/>
      <c r="AT360" s="448"/>
      <c r="AU360" s="448"/>
      <c r="AV360" s="448"/>
      <c r="AW360" s="448"/>
      <c r="AX360" s="448"/>
      <c r="AY360" s="448"/>
      <c r="AZ360" s="448"/>
      <c r="BA360" s="448"/>
    </row>
    <row r="361" spans="1:53" x14ac:dyDescent="0.2">
      <c r="A361" s="448"/>
      <c r="B361" s="448"/>
      <c r="C361" s="448"/>
      <c r="D361" s="448"/>
      <c r="E361" s="459"/>
      <c r="F361" s="460"/>
      <c r="G361" s="461"/>
      <c r="H361" s="461"/>
      <c r="I361" s="460"/>
      <c r="J361" s="460"/>
      <c r="K361" s="460"/>
      <c r="L361" s="460"/>
      <c r="M361" s="460"/>
      <c r="N361" s="462"/>
      <c r="O361" s="462"/>
      <c r="P361" s="448"/>
      <c r="Q361" s="448"/>
      <c r="R361" s="448"/>
      <c r="S361" s="448"/>
      <c r="T361" s="448"/>
      <c r="U361" s="448"/>
      <c r="V361" s="448"/>
      <c r="W361" s="1317"/>
      <c r="X361" s="1317"/>
      <c r="Y361" s="1317"/>
      <c r="Z361" s="1317"/>
      <c r="AA361" s="1317"/>
      <c r="AB361" s="1317"/>
      <c r="AC361" s="1317"/>
      <c r="AD361" s="1317"/>
      <c r="AE361" s="1317"/>
      <c r="AF361" s="1317"/>
      <c r="AG361" s="448"/>
      <c r="AH361" s="448"/>
      <c r="AI361" s="448"/>
      <c r="AJ361" s="448"/>
      <c r="AK361" s="448"/>
      <c r="AL361" s="448"/>
      <c r="AM361" s="448"/>
      <c r="AN361" s="448"/>
      <c r="AO361" s="448"/>
      <c r="AP361" s="448"/>
      <c r="AQ361" s="448"/>
      <c r="AR361" s="448"/>
      <c r="AS361" s="448"/>
      <c r="AT361" s="448"/>
      <c r="AU361" s="448"/>
      <c r="AV361" s="448"/>
      <c r="AW361" s="448"/>
      <c r="AX361" s="448"/>
      <c r="AY361" s="448"/>
      <c r="AZ361" s="448"/>
      <c r="BA361" s="448"/>
    </row>
  </sheetData>
  <sheetProtection algorithmName="SHA-512" hashValue="Ppkq9F1EyOol5rkUnXz9+JOK6zMuzCsk8aUAVSqVrD5oRYAMk2ewgr2ne0uii6qMnczijMQqt1BhDGX18kAdpw==" saltValue="l6tupSUEszuG6k0WVRvl5w==" spinCount="100000" sheet="1" insertRows="0"/>
  <mergeCells count="7">
    <mergeCell ref="B2:B4"/>
    <mergeCell ref="S2:U2"/>
    <mergeCell ref="C2:C4"/>
    <mergeCell ref="N3:Q3"/>
    <mergeCell ref="F2:H2"/>
    <mergeCell ref="I2:K2"/>
    <mergeCell ref="L2:Q2"/>
  </mergeCells>
  <dataValidations count="6">
    <dataValidation type="whole" operator="lessThan" allowBlank="1" showInputMessage="1" showErrorMessage="1" sqref="C208:C209 C73:C74 C146:C147 C155:C156" xr:uid="{832905E6-3C05-4282-829E-86134E587226}">
      <formula1>-99999</formula1>
    </dataValidation>
    <dataValidation type="whole" operator="lessThan" allowBlank="1" showInputMessage="1" showErrorMessage="1" sqref="A73:A74" xr:uid="{49238A3E-53C4-4C1F-8E9D-06B3DA5BEBB3}">
      <formula1>-9.99999999999999E+25</formula1>
    </dataValidation>
    <dataValidation type="whole" operator="lessThan" allowBlank="1" showInputMessage="1" showErrorMessage="1" sqref="K148:K154 K157:K207 K5:K145 K266:K267 K213:K262" xr:uid="{0FEE1A23-A0CB-4EFA-AAA1-C2F1037CA829}">
      <formula1>-9.99999999999999E+30</formula1>
    </dataValidation>
    <dataValidation operator="lessThan" allowBlank="1" showInputMessage="1" showErrorMessage="1" sqref="C264:U264 C5:C72 C75:C145 C148:C154 C157:C207 B17:B72 B5:B15 C269:E269 I269:U269" xr:uid="{CDD3EDED-DED0-4716-A35A-657D0C905EED}"/>
    <dataValidation allowBlank="1" showErrorMessage="1" sqref="C266:C267 C213:C263" xr:uid="{8D042D54-FB6E-4C88-B9C6-5B4591610809}"/>
    <dataValidation allowBlank="1" showInputMessage="1" showErrorMessage="1" promptTitle="ACHTUNG!" prompt="Hier nur die Anzahl an Tagen eintragen, für die Diäten bezogen werden." sqref="L5:Q5" xr:uid="{29E655D3-0B82-41B3-B6C9-16803BD7AFA4}"/>
  </dataValidations>
  <printOptions horizontalCentered="1"/>
  <pageMargins left="1.1811023622047245" right="0.78740157480314965" top="1.1811023622047245" bottom="0.78740157480314965" header="0.51181102362204722" footer="0.51181102362204722"/>
  <pageSetup paperSize="9" scale="55" fitToHeight="0" orientation="landscape" blackAndWhite="1" r:id="rId1"/>
  <headerFooter alignWithMargins="0">
    <oddHeader xml:space="preserve">&amp;L&amp;"Verdana,Standard"&amp;10ÖSTERREICHISCHES FILMINSTITUT&amp;R&amp;"Verdana,Standard"&amp;10&amp;F
</oddHeader>
    <oddFooter>&amp;L&amp;"Verdana,Standard"&amp;10Ausdruck vom &amp;D&amp;R&amp;"Verdana,Standard"&amp;10Seite &amp;P von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9">
    <pageSetUpPr fitToPage="1"/>
  </sheetPr>
  <dimension ref="A1:AZ862"/>
  <sheetViews>
    <sheetView workbookViewId="0">
      <selection activeCell="V5" sqref="V5"/>
    </sheetView>
  </sheetViews>
  <sheetFormatPr baseColWidth="10" defaultColWidth="11.5" defaultRowHeight="15" outlineLevelCol="1" x14ac:dyDescent="0.2"/>
  <cols>
    <col min="1" max="1" width="4.875" style="52" customWidth="1"/>
    <col min="2" max="2" width="15.625" style="53" customWidth="1"/>
    <col min="3" max="3" width="10.125" style="53" customWidth="1"/>
    <col min="4" max="4" width="10.125" style="54" customWidth="1"/>
    <col min="5" max="5" width="10.125" style="55" customWidth="1"/>
    <col min="6" max="6" width="10.125" style="51" customWidth="1"/>
    <col min="7" max="7" width="10.125" style="53" bestFit="1" customWidth="1"/>
    <col min="8" max="8" width="10.125" style="51" customWidth="1"/>
    <col min="9" max="9" width="11.375" style="82" customWidth="1"/>
    <col min="10" max="10" width="2.625" style="53" customWidth="1"/>
    <col min="11" max="13" width="10.375" style="82" customWidth="1" outlineLevel="1"/>
    <col min="14" max="14" width="6.75" style="54" customWidth="1"/>
    <col min="15" max="16" width="11.5" style="53" customWidth="1"/>
    <col min="17" max="17" width="64" style="87" hidden="1" customWidth="1"/>
    <col min="18" max="18" width="46" style="87" hidden="1" customWidth="1"/>
    <col min="19" max="21" width="12.125" style="53" customWidth="1"/>
    <col min="22" max="16384" width="11.5" style="53"/>
  </cols>
  <sheetData>
    <row r="1" spans="1:52" s="43" customFormat="1" ht="18" x14ac:dyDescent="0.25">
      <c r="A1" s="222" t="str">
        <f>Stammblatt!A1</f>
        <v>Test</v>
      </c>
      <c r="B1" s="1193"/>
      <c r="C1" s="1193"/>
      <c r="D1" s="1194"/>
      <c r="E1" s="1195"/>
      <c r="F1" s="1196"/>
      <c r="G1" s="1193"/>
      <c r="H1" s="1196"/>
      <c r="I1" s="1197"/>
      <c r="J1" s="1193"/>
      <c r="K1" s="1197"/>
      <c r="L1" s="1197"/>
      <c r="M1" s="1197"/>
      <c r="N1" s="1194"/>
      <c r="O1" s="598"/>
      <c r="P1" s="598"/>
      <c r="Q1" s="610" t="s">
        <v>110</v>
      </c>
      <c r="R1" s="610" t="s">
        <v>512</v>
      </c>
      <c r="S1" s="611"/>
      <c r="T1" s="598"/>
      <c r="U1" s="598"/>
      <c r="V1" s="598"/>
      <c r="W1" s="598"/>
      <c r="X1" s="598"/>
      <c r="Y1" s="598"/>
      <c r="Z1" s="598"/>
      <c r="AA1" s="598"/>
      <c r="AB1" s="598"/>
      <c r="AC1" s="598"/>
      <c r="AD1" s="598"/>
      <c r="AE1" s="598"/>
      <c r="AF1" s="598"/>
      <c r="AG1" s="598"/>
      <c r="AH1" s="598"/>
      <c r="AI1" s="598"/>
      <c r="AJ1" s="598"/>
      <c r="AK1" s="598"/>
      <c r="AL1" s="598"/>
      <c r="AM1" s="598"/>
      <c r="AN1" s="598"/>
      <c r="AO1" s="598"/>
      <c r="AP1" s="598"/>
      <c r="AQ1" s="598"/>
      <c r="AR1" s="598"/>
      <c r="AS1" s="598"/>
      <c r="AT1" s="598"/>
      <c r="AU1" s="598"/>
      <c r="AV1" s="598"/>
      <c r="AW1" s="598"/>
      <c r="AX1" s="598"/>
      <c r="AY1" s="598"/>
      <c r="AZ1" s="598"/>
    </row>
    <row r="2" spans="1:52" s="43" customFormat="1" ht="18" x14ac:dyDescent="0.25">
      <c r="A2" s="1198" t="str">
        <f>IF(Stammblatt!$L$4=1,"Anlage zu 10) Reise- und Transportkosten","Appendix to 10) Travel expenses and transportation costs")</f>
        <v>Anlage zu 10) Reise- und Transportkosten</v>
      </c>
      <c r="B2" s="1193"/>
      <c r="C2" s="1193"/>
      <c r="D2" s="1194"/>
      <c r="E2" s="1195"/>
      <c r="F2" s="1196"/>
      <c r="G2" s="1193"/>
      <c r="H2" s="1196"/>
      <c r="I2" s="1197"/>
      <c r="J2" s="1193"/>
      <c r="K2" s="1197"/>
      <c r="L2" s="1197"/>
      <c r="M2" s="1197"/>
      <c r="N2" s="1194"/>
      <c r="O2" s="598"/>
      <c r="P2" s="598"/>
      <c r="Q2" s="610" t="s">
        <v>44</v>
      </c>
      <c r="R2" s="610" t="s">
        <v>496</v>
      </c>
      <c r="S2" s="611"/>
      <c r="T2" s="598"/>
      <c r="U2" s="598"/>
      <c r="V2" s="598"/>
      <c r="W2" s="598"/>
      <c r="X2" s="598"/>
      <c r="Y2" s="598"/>
      <c r="Z2" s="598"/>
      <c r="AA2" s="598"/>
      <c r="AB2" s="598"/>
      <c r="AC2" s="598"/>
      <c r="AD2" s="598"/>
      <c r="AE2" s="598"/>
      <c r="AF2" s="598"/>
      <c r="AG2" s="598"/>
      <c r="AH2" s="598"/>
      <c r="AI2" s="598"/>
      <c r="AJ2" s="598"/>
      <c r="AK2" s="598"/>
      <c r="AL2" s="598"/>
      <c r="AM2" s="598"/>
      <c r="AN2" s="598"/>
      <c r="AO2" s="598"/>
      <c r="AP2" s="598"/>
      <c r="AQ2" s="598"/>
      <c r="AR2" s="598"/>
      <c r="AS2" s="598"/>
      <c r="AT2" s="598"/>
      <c r="AU2" s="598"/>
      <c r="AV2" s="598"/>
      <c r="AW2" s="598"/>
      <c r="AX2" s="598"/>
      <c r="AY2" s="598"/>
      <c r="AZ2" s="598"/>
    </row>
    <row r="3" spans="1:52" s="44" customFormat="1" ht="12.75" x14ac:dyDescent="0.2">
      <c r="A3" s="1187"/>
      <c r="B3" s="1191"/>
      <c r="C3" s="1191"/>
      <c r="D3" s="1199"/>
      <c r="E3" s="1190"/>
      <c r="F3" s="1189"/>
      <c r="G3" s="1191"/>
      <c r="H3" s="1189"/>
      <c r="I3" s="1192"/>
      <c r="J3" s="1191"/>
      <c r="K3" s="1192"/>
      <c r="L3" s="1192"/>
      <c r="M3" s="1192"/>
      <c r="N3" s="1199"/>
      <c r="O3" s="606"/>
      <c r="P3" s="606"/>
      <c r="Q3" s="610" t="s">
        <v>43</v>
      </c>
      <c r="R3" s="610" t="s">
        <v>513</v>
      </c>
      <c r="S3" s="610"/>
      <c r="T3" s="606"/>
      <c r="U3" s="606"/>
      <c r="V3" s="606"/>
      <c r="W3" s="606"/>
      <c r="X3" s="606"/>
      <c r="Y3" s="606"/>
      <c r="Z3" s="606"/>
      <c r="AA3" s="606"/>
      <c r="AB3" s="606"/>
      <c r="AC3" s="606"/>
      <c r="AD3" s="606"/>
      <c r="AE3" s="606"/>
      <c r="AF3" s="606"/>
      <c r="AG3" s="606"/>
      <c r="AH3" s="606"/>
      <c r="AI3" s="606"/>
      <c r="AJ3" s="606"/>
      <c r="AK3" s="606"/>
      <c r="AL3" s="606"/>
      <c r="AM3" s="606"/>
      <c r="AN3" s="606"/>
      <c r="AO3" s="606"/>
      <c r="AP3" s="606"/>
      <c r="AQ3" s="606"/>
      <c r="AR3" s="606"/>
      <c r="AS3" s="606"/>
      <c r="AT3" s="606"/>
      <c r="AU3" s="606"/>
      <c r="AV3" s="606"/>
      <c r="AW3" s="606"/>
      <c r="AX3" s="606"/>
      <c r="AY3" s="606"/>
      <c r="AZ3" s="606"/>
    </row>
    <row r="4" spans="1:52" s="45" customFormat="1" ht="12.75" x14ac:dyDescent="0.2">
      <c r="A4" s="1187">
        <v>160</v>
      </c>
      <c r="B4" s="1200" t="str">
        <f>IF(Stammblatt!$L$4=1,Q4,R4)</f>
        <v xml:space="preserve">Fahrtkosten </v>
      </c>
      <c r="C4" s="1191"/>
      <c r="D4" s="1199"/>
      <c r="E4" s="1190"/>
      <c r="F4" s="1189"/>
      <c r="G4" s="1191"/>
      <c r="H4" s="1189"/>
      <c r="I4" s="1201">
        <f>IF(Stammblatt!I31=1,"",Stammblatt!B11)</f>
        <v>0</v>
      </c>
      <c r="J4" s="1190"/>
      <c r="K4" s="1202" t="str">
        <f>Stammblatt!B33</f>
        <v>A</v>
      </c>
      <c r="L4" s="1202" t="str">
        <f>Stammblatt!B34</f>
        <v>B</v>
      </c>
      <c r="M4" s="1202" t="str">
        <f>Stammblatt!B35</f>
        <v>C</v>
      </c>
      <c r="N4" s="1199"/>
      <c r="O4" s="607"/>
      <c r="P4" s="607"/>
      <c r="Q4" s="610" t="s">
        <v>108</v>
      </c>
      <c r="R4" s="610" t="s">
        <v>404</v>
      </c>
      <c r="S4" s="610"/>
      <c r="T4" s="607"/>
      <c r="U4" s="607"/>
      <c r="V4" s="607"/>
      <c r="W4" s="607"/>
      <c r="X4" s="607"/>
      <c r="Y4" s="607"/>
      <c r="Z4" s="607"/>
      <c r="AA4" s="607"/>
      <c r="AB4" s="607"/>
      <c r="AC4" s="607"/>
      <c r="AD4" s="607"/>
      <c r="AE4" s="607"/>
      <c r="AF4" s="607"/>
      <c r="AG4" s="607"/>
      <c r="AH4" s="607"/>
      <c r="AI4" s="607"/>
      <c r="AJ4" s="607"/>
      <c r="AK4" s="607"/>
      <c r="AL4" s="607"/>
      <c r="AM4" s="607"/>
      <c r="AN4" s="607"/>
      <c r="AO4" s="607"/>
      <c r="AP4" s="607"/>
      <c r="AQ4" s="607"/>
      <c r="AR4" s="607"/>
      <c r="AS4" s="607"/>
      <c r="AT4" s="607"/>
      <c r="AU4" s="607"/>
      <c r="AV4" s="607"/>
      <c r="AW4" s="607"/>
      <c r="AX4" s="607"/>
      <c r="AY4" s="607"/>
      <c r="AZ4" s="607"/>
    </row>
    <row r="5" spans="1:52" s="45" customFormat="1" ht="12.75" x14ac:dyDescent="0.2">
      <c r="A5" s="1187"/>
      <c r="B5" s="1203"/>
      <c r="C5" s="1191"/>
      <c r="D5" s="1199"/>
      <c r="E5" s="1190"/>
      <c r="F5" s="1189"/>
      <c r="G5" s="1191"/>
      <c r="H5" s="1189"/>
      <c r="I5" s="1192"/>
      <c r="J5" s="1191"/>
      <c r="K5" s="1192"/>
      <c r="L5" s="1192"/>
      <c r="M5" s="1192"/>
      <c r="N5" s="1199"/>
      <c r="O5" s="607"/>
      <c r="P5" s="607"/>
      <c r="Q5" s="610"/>
      <c r="R5" s="610"/>
      <c r="S5" s="610"/>
      <c r="T5" s="607"/>
      <c r="U5" s="607"/>
      <c r="V5" s="607"/>
      <c r="W5" s="607"/>
      <c r="X5" s="607"/>
      <c r="Y5" s="607"/>
      <c r="Z5" s="607"/>
      <c r="AA5" s="607"/>
      <c r="AB5" s="607"/>
      <c r="AC5" s="607"/>
      <c r="AD5" s="607"/>
      <c r="AE5" s="607"/>
      <c r="AF5" s="607"/>
      <c r="AG5" s="607"/>
      <c r="AH5" s="607"/>
      <c r="AI5" s="607"/>
      <c r="AJ5" s="607"/>
      <c r="AK5" s="607"/>
      <c r="AL5" s="607"/>
      <c r="AM5" s="607"/>
      <c r="AN5" s="607"/>
      <c r="AO5" s="607"/>
      <c r="AP5" s="607"/>
      <c r="AQ5" s="607"/>
      <c r="AR5" s="607"/>
      <c r="AS5" s="607"/>
      <c r="AT5" s="607"/>
      <c r="AU5" s="607"/>
      <c r="AV5" s="607"/>
      <c r="AW5" s="607"/>
      <c r="AX5" s="607"/>
      <c r="AY5" s="607"/>
      <c r="AZ5" s="607"/>
    </row>
    <row r="6" spans="1:52" s="44" customFormat="1" ht="12.75" x14ac:dyDescent="0.2">
      <c r="A6" s="1187"/>
      <c r="B6" s="1191" t="str">
        <f>IF(Stammblatt!$L$4=1,Q6,R6)</f>
        <v>km-Gelder</v>
      </c>
      <c r="C6" s="1191"/>
      <c r="D6" s="1199"/>
      <c r="E6" s="1190"/>
      <c r="F6" s="1189"/>
      <c r="G6" s="1191"/>
      <c r="H6" s="1189"/>
      <c r="I6" s="1192"/>
      <c r="J6" s="1191"/>
      <c r="K6" s="1192"/>
      <c r="L6" s="1192"/>
      <c r="M6" s="1192"/>
      <c r="N6" s="1199"/>
      <c r="O6" s="606"/>
      <c r="P6" s="606"/>
      <c r="Q6" s="610" t="s">
        <v>499</v>
      </c>
      <c r="R6" s="610" t="s">
        <v>500</v>
      </c>
      <c r="S6" s="610"/>
      <c r="T6" s="606"/>
      <c r="U6" s="606"/>
      <c r="V6" s="606"/>
      <c r="W6" s="606"/>
      <c r="X6" s="606"/>
      <c r="Y6" s="606"/>
      <c r="Z6" s="606"/>
      <c r="AA6" s="606"/>
      <c r="AB6" s="606"/>
      <c r="AC6" s="606"/>
      <c r="AD6" s="606"/>
      <c r="AE6" s="606"/>
      <c r="AF6" s="606"/>
      <c r="AG6" s="606"/>
      <c r="AH6" s="606"/>
      <c r="AI6" s="606"/>
      <c r="AJ6" s="606"/>
      <c r="AK6" s="606"/>
      <c r="AL6" s="606"/>
      <c r="AM6" s="606"/>
      <c r="AN6" s="606"/>
      <c r="AO6" s="606"/>
      <c r="AP6" s="606"/>
      <c r="AQ6" s="606"/>
      <c r="AR6" s="606"/>
      <c r="AS6" s="606"/>
      <c r="AT6" s="606"/>
      <c r="AU6" s="606"/>
      <c r="AV6" s="606"/>
      <c r="AW6" s="606"/>
      <c r="AX6" s="606"/>
      <c r="AY6" s="606"/>
      <c r="AZ6" s="606"/>
    </row>
    <row r="7" spans="1:52" s="44" customFormat="1" ht="12.75" x14ac:dyDescent="0.2">
      <c r="A7" s="1187"/>
      <c r="B7" s="1188" t="str">
        <f>IF(Stammblatt!$L$4=1,Q7,R7)</f>
        <v>Stab</v>
      </c>
      <c r="C7" s="1204">
        <f>Stab_Cast_Ö_Reisekosten!E209</f>
        <v>0</v>
      </c>
      <c r="D7" s="1189" t="s">
        <v>109</v>
      </c>
      <c r="E7" s="1190"/>
      <c r="F7" s="1190"/>
      <c r="G7" s="1205">
        <f>km_Geld</f>
        <v>0.5</v>
      </c>
      <c r="H7" s="1189" t="str">
        <f>IF(Stammblatt!$L$4=1,$Q$1,$R$1)</f>
        <v>je Einheit</v>
      </c>
      <c r="I7" s="1192">
        <f>C7*G7</f>
        <v>0</v>
      </c>
      <c r="J7" s="1191"/>
      <c r="K7" s="80"/>
      <c r="L7" s="80"/>
      <c r="M7" s="80"/>
      <c r="N7" s="1199"/>
      <c r="O7" s="606"/>
      <c r="P7" s="606"/>
      <c r="Q7" s="610" t="s">
        <v>193</v>
      </c>
      <c r="R7" s="610" t="s">
        <v>501</v>
      </c>
      <c r="S7" s="610"/>
      <c r="T7" s="606"/>
      <c r="U7" s="606"/>
      <c r="V7" s="606"/>
      <c r="W7" s="606"/>
      <c r="X7" s="606"/>
      <c r="Y7" s="606"/>
      <c r="Z7" s="606"/>
      <c r="AA7" s="606"/>
      <c r="AB7" s="606"/>
      <c r="AC7" s="606"/>
      <c r="AD7" s="606"/>
      <c r="AE7" s="606"/>
      <c r="AF7" s="606"/>
      <c r="AG7" s="606"/>
      <c r="AH7" s="606"/>
      <c r="AI7" s="606"/>
      <c r="AJ7" s="606"/>
      <c r="AK7" s="606"/>
      <c r="AL7" s="606"/>
      <c r="AM7" s="606"/>
      <c r="AN7" s="606"/>
      <c r="AO7" s="606"/>
      <c r="AP7" s="606"/>
      <c r="AQ7" s="606"/>
      <c r="AR7" s="606"/>
      <c r="AS7" s="606"/>
      <c r="AT7" s="606"/>
      <c r="AU7" s="606"/>
      <c r="AV7" s="606"/>
      <c r="AW7" s="606"/>
      <c r="AX7" s="606"/>
      <c r="AY7" s="606"/>
      <c r="AZ7" s="606"/>
    </row>
    <row r="8" spans="1:52" s="44" customFormat="1" ht="12.75" x14ac:dyDescent="0.2">
      <c r="A8" s="1187"/>
      <c r="B8" s="1188" t="str">
        <f>IF(Stammblatt!$L$4=1,Q8,R8)</f>
        <v>Darsteller</v>
      </c>
      <c r="C8" s="1204">
        <f>Stab_Cast_Ö_Reisekosten!E264</f>
        <v>0</v>
      </c>
      <c r="D8" s="1189" t="s">
        <v>109</v>
      </c>
      <c r="E8" s="1190"/>
      <c r="F8" s="1190"/>
      <c r="G8" s="1205">
        <f>km_Geld</f>
        <v>0.5</v>
      </c>
      <c r="H8" s="1189" t="str">
        <f>IF(Stammblatt!$L$4=1,$Q$1,$R$1)</f>
        <v>je Einheit</v>
      </c>
      <c r="I8" s="1192">
        <f>C8*G8</f>
        <v>0</v>
      </c>
      <c r="J8" s="1191"/>
      <c r="K8" s="80"/>
      <c r="L8" s="80"/>
      <c r="M8" s="80"/>
      <c r="N8" s="1199"/>
      <c r="O8" s="606"/>
      <c r="P8" s="606"/>
      <c r="Q8" s="610" t="s">
        <v>151</v>
      </c>
      <c r="R8" s="610" t="s">
        <v>502</v>
      </c>
      <c r="S8" s="610"/>
      <c r="T8" s="606"/>
      <c r="U8" s="606"/>
      <c r="V8" s="606"/>
      <c r="W8" s="606"/>
      <c r="X8" s="606"/>
      <c r="Y8" s="606"/>
      <c r="Z8" s="606"/>
      <c r="AA8" s="606"/>
      <c r="AB8" s="606"/>
      <c r="AC8" s="606"/>
      <c r="AD8" s="606"/>
      <c r="AE8" s="606"/>
      <c r="AF8" s="606"/>
      <c r="AG8" s="606"/>
      <c r="AH8" s="606"/>
      <c r="AI8" s="606"/>
      <c r="AJ8" s="606"/>
      <c r="AK8" s="606"/>
      <c r="AL8" s="606"/>
      <c r="AM8" s="606"/>
      <c r="AN8" s="606"/>
      <c r="AO8" s="606"/>
      <c r="AP8" s="606"/>
      <c r="AQ8" s="606"/>
      <c r="AR8" s="606"/>
      <c r="AS8" s="606"/>
      <c r="AT8" s="606"/>
      <c r="AU8" s="606"/>
      <c r="AV8" s="606"/>
      <c r="AW8" s="606"/>
      <c r="AX8" s="606"/>
      <c r="AY8" s="606"/>
      <c r="AZ8" s="606"/>
    </row>
    <row r="9" spans="1:52" s="44" customFormat="1" ht="12.75" x14ac:dyDescent="0.2">
      <c r="A9" s="1187"/>
      <c r="B9" s="1188" t="s">
        <v>1164</v>
      </c>
      <c r="C9" s="1204">
        <f>Stab_Cast_Ö_Reisekosten!E269</f>
        <v>0</v>
      </c>
      <c r="D9" s="1189" t="s">
        <v>109</v>
      </c>
      <c r="E9" s="1190"/>
      <c r="F9" s="1190"/>
      <c r="G9" s="1205"/>
      <c r="H9" s="1189"/>
      <c r="I9" s="1192"/>
      <c r="J9" s="1191"/>
      <c r="K9" s="80"/>
      <c r="L9" s="80"/>
      <c r="M9" s="80"/>
      <c r="N9" s="1199"/>
      <c r="O9" s="606"/>
      <c r="P9" s="606"/>
      <c r="Q9" s="610"/>
      <c r="R9" s="610"/>
      <c r="S9" s="610"/>
      <c r="T9" s="606"/>
      <c r="U9" s="606"/>
      <c r="V9" s="606"/>
      <c r="W9" s="606"/>
      <c r="X9" s="606"/>
      <c r="Y9" s="606"/>
      <c r="Z9" s="606"/>
      <c r="AA9" s="606"/>
      <c r="AB9" s="606"/>
      <c r="AC9" s="606"/>
      <c r="AD9" s="606"/>
      <c r="AE9" s="606"/>
      <c r="AF9" s="606"/>
      <c r="AG9" s="606"/>
      <c r="AH9" s="606"/>
      <c r="AI9" s="606"/>
      <c r="AJ9" s="606"/>
      <c r="AK9" s="606"/>
      <c r="AL9" s="606"/>
      <c r="AM9" s="606"/>
      <c r="AN9" s="606"/>
      <c r="AO9" s="606"/>
      <c r="AP9" s="606"/>
      <c r="AQ9" s="606"/>
      <c r="AR9" s="606"/>
      <c r="AS9" s="606"/>
      <c r="AT9" s="606"/>
      <c r="AU9" s="606"/>
      <c r="AV9" s="606"/>
      <c r="AW9" s="606"/>
      <c r="AX9" s="606"/>
      <c r="AY9" s="606"/>
      <c r="AZ9" s="606"/>
    </row>
    <row r="10" spans="1:52" s="44" customFormat="1" ht="12.75" x14ac:dyDescent="0.2">
      <c r="A10" s="1187"/>
      <c r="B10" s="1188" t="str">
        <f>IF(Stammblatt!$L$4=1,Q10,R10)</f>
        <v>Sonstige</v>
      </c>
      <c r="C10" s="614">
        <v>0</v>
      </c>
      <c r="D10" s="1189" t="s">
        <v>109</v>
      </c>
      <c r="E10" s="1190"/>
      <c r="F10" s="1190"/>
      <c r="G10" s="1205">
        <f>km_Geld</f>
        <v>0.5</v>
      </c>
      <c r="H10" s="1189" t="str">
        <f>IF(Stammblatt!$L$4=1,$Q$1,$R$1)</f>
        <v>je Einheit</v>
      </c>
      <c r="I10" s="1192">
        <f>C10*G10</f>
        <v>0</v>
      </c>
      <c r="J10" s="1191"/>
      <c r="K10" s="80"/>
      <c r="L10" s="80"/>
      <c r="M10" s="80"/>
      <c r="N10" s="1199"/>
      <c r="O10" s="606"/>
      <c r="P10" s="606"/>
      <c r="Q10" s="610" t="s">
        <v>194</v>
      </c>
      <c r="R10" s="610" t="s">
        <v>356</v>
      </c>
      <c r="S10" s="610"/>
      <c r="T10" s="606"/>
      <c r="U10" s="606"/>
      <c r="V10" s="606"/>
      <c r="W10" s="606"/>
      <c r="X10" s="606"/>
      <c r="Y10" s="606"/>
      <c r="Z10" s="606"/>
      <c r="AA10" s="606"/>
      <c r="AB10" s="606"/>
      <c r="AC10" s="606"/>
      <c r="AD10" s="606"/>
      <c r="AE10" s="606"/>
      <c r="AF10" s="606"/>
      <c r="AG10" s="606"/>
      <c r="AH10" s="606"/>
      <c r="AI10" s="606"/>
      <c r="AJ10" s="606"/>
      <c r="AK10" s="606"/>
      <c r="AL10" s="606"/>
      <c r="AM10" s="606"/>
      <c r="AN10" s="606"/>
      <c r="AO10" s="606"/>
      <c r="AP10" s="606"/>
      <c r="AQ10" s="606"/>
      <c r="AR10" s="606"/>
      <c r="AS10" s="606"/>
      <c r="AT10" s="606"/>
      <c r="AU10" s="606"/>
      <c r="AV10" s="606"/>
      <c r="AW10" s="606"/>
      <c r="AX10" s="606"/>
      <c r="AY10" s="606"/>
      <c r="AZ10" s="606"/>
    </row>
    <row r="11" spans="1:52" s="44" customFormat="1" ht="12.75" x14ac:dyDescent="0.2">
      <c r="A11" s="1187"/>
      <c r="B11" s="1188"/>
      <c r="C11" s="1188"/>
      <c r="D11" s="1189"/>
      <c r="E11" s="1190"/>
      <c r="F11" s="1190"/>
      <c r="G11" s="1191"/>
      <c r="H11" s="1189"/>
      <c r="I11" s="1192"/>
      <c r="J11" s="1191"/>
      <c r="K11" s="1192"/>
      <c r="L11" s="1192"/>
      <c r="M11" s="1192"/>
      <c r="N11" s="1199"/>
      <c r="O11" s="606"/>
      <c r="P11" s="606"/>
      <c r="Q11" s="610"/>
      <c r="R11" s="610"/>
      <c r="S11" s="610"/>
      <c r="T11" s="606"/>
      <c r="U11" s="606"/>
      <c r="V11" s="606"/>
      <c r="W11" s="606"/>
      <c r="X11" s="606"/>
      <c r="Y11" s="606"/>
      <c r="Z11" s="606"/>
      <c r="AA11" s="606"/>
      <c r="AB11" s="606"/>
      <c r="AC11" s="606"/>
      <c r="AD11" s="606"/>
      <c r="AE11" s="606"/>
      <c r="AF11" s="606"/>
      <c r="AG11" s="606"/>
      <c r="AH11" s="606"/>
      <c r="AI11" s="606"/>
      <c r="AJ11" s="606"/>
      <c r="AK11" s="606"/>
      <c r="AL11" s="606"/>
      <c r="AM11" s="606"/>
      <c r="AN11" s="606"/>
      <c r="AO11" s="606"/>
      <c r="AP11" s="606"/>
      <c r="AQ11" s="606"/>
      <c r="AR11" s="606"/>
      <c r="AS11" s="606"/>
      <c r="AT11" s="606"/>
      <c r="AU11" s="606"/>
      <c r="AV11" s="606"/>
      <c r="AW11" s="606"/>
      <c r="AX11" s="606"/>
      <c r="AY11" s="606"/>
      <c r="AZ11" s="606"/>
    </row>
    <row r="12" spans="1:52" s="44" customFormat="1" ht="12.75" x14ac:dyDescent="0.2">
      <c r="A12" s="1187"/>
      <c r="B12" s="1191" t="str">
        <f>IF(Stammblatt!$L$4=1,Q12,R12)</f>
        <v>Flüge</v>
      </c>
      <c r="C12" s="1191"/>
      <c r="D12" s="1189"/>
      <c r="E12" s="1190"/>
      <c r="F12" s="1189"/>
      <c r="G12" s="1191"/>
      <c r="H12" s="1189"/>
      <c r="I12" s="1192"/>
      <c r="J12" s="1191"/>
      <c r="K12" s="1192"/>
      <c r="L12" s="1192"/>
      <c r="M12" s="1192"/>
      <c r="N12" s="1199"/>
      <c r="O12" s="606"/>
      <c r="P12" s="606"/>
      <c r="Q12" s="610" t="s">
        <v>242</v>
      </c>
      <c r="R12" s="610" t="s">
        <v>503</v>
      </c>
      <c r="S12" s="610"/>
      <c r="T12" s="606"/>
      <c r="U12" s="606"/>
      <c r="V12" s="606"/>
      <c r="W12" s="606"/>
      <c r="X12" s="606"/>
      <c r="Y12" s="606"/>
      <c r="Z12" s="606"/>
      <c r="AA12" s="606"/>
      <c r="AB12" s="606"/>
      <c r="AC12" s="606"/>
      <c r="AD12" s="606"/>
      <c r="AE12" s="606"/>
      <c r="AF12" s="606"/>
      <c r="AG12" s="606"/>
      <c r="AH12" s="606"/>
      <c r="AI12" s="606"/>
      <c r="AJ12" s="606"/>
      <c r="AK12" s="606"/>
      <c r="AL12" s="606"/>
      <c r="AM12" s="606"/>
      <c r="AN12" s="606"/>
      <c r="AO12" s="606"/>
      <c r="AP12" s="606"/>
      <c r="AQ12" s="606"/>
      <c r="AR12" s="606"/>
      <c r="AS12" s="606"/>
      <c r="AT12" s="606"/>
      <c r="AU12" s="606"/>
      <c r="AV12" s="606"/>
      <c r="AW12" s="606"/>
      <c r="AX12" s="606"/>
      <c r="AY12" s="606"/>
      <c r="AZ12" s="606"/>
    </row>
    <row r="13" spans="1:52" s="44" customFormat="1" ht="12.75" x14ac:dyDescent="0.2">
      <c r="A13" s="1187"/>
      <c r="B13" s="1188" t="str">
        <f>IF(Stammblatt!$L$4=1,Q13,R13)</f>
        <v>Stab</v>
      </c>
      <c r="C13" s="1191"/>
      <c r="D13" s="1189"/>
      <c r="E13" s="1190"/>
      <c r="F13" s="1189"/>
      <c r="G13" s="1191"/>
      <c r="H13" s="1189"/>
      <c r="I13" s="1192">
        <f>Stab_Cast_Ö_Reisekosten!H209</f>
        <v>0</v>
      </c>
      <c r="J13" s="1191"/>
      <c r="K13" s="80"/>
      <c r="L13" s="80"/>
      <c r="M13" s="80"/>
      <c r="N13" s="1199"/>
      <c r="O13" s="606"/>
      <c r="P13" s="606"/>
      <c r="Q13" s="610" t="s">
        <v>193</v>
      </c>
      <c r="R13" s="610" t="s">
        <v>501</v>
      </c>
      <c r="S13" s="610"/>
      <c r="T13" s="606"/>
      <c r="U13" s="606"/>
      <c r="V13" s="606"/>
      <c r="W13" s="606"/>
      <c r="X13" s="606"/>
      <c r="Y13" s="606"/>
      <c r="Z13" s="606"/>
      <c r="AA13" s="606"/>
      <c r="AB13" s="606"/>
      <c r="AC13" s="606"/>
      <c r="AD13" s="606"/>
      <c r="AE13" s="606"/>
      <c r="AF13" s="606"/>
      <c r="AG13" s="606"/>
      <c r="AH13" s="606"/>
      <c r="AI13" s="606"/>
      <c r="AJ13" s="606"/>
      <c r="AK13" s="606"/>
      <c r="AL13" s="606"/>
      <c r="AM13" s="606"/>
      <c r="AN13" s="606"/>
      <c r="AO13" s="606"/>
      <c r="AP13" s="606"/>
      <c r="AQ13" s="606"/>
      <c r="AR13" s="606"/>
      <c r="AS13" s="606"/>
      <c r="AT13" s="606"/>
      <c r="AU13" s="606"/>
      <c r="AV13" s="606"/>
      <c r="AW13" s="606"/>
      <c r="AX13" s="606"/>
      <c r="AY13" s="606"/>
      <c r="AZ13" s="606"/>
    </row>
    <row r="14" spans="1:52" s="44" customFormat="1" ht="12.75" x14ac:dyDescent="0.2">
      <c r="A14" s="1187"/>
      <c r="B14" s="1188" t="str">
        <f>IF(Stammblatt!$L$4=1,Q14,R14)</f>
        <v>Darsteller</v>
      </c>
      <c r="C14" s="1191"/>
      <c r="D14" s="1189"/>
      <c r="E14" s="1190"/>
      <c r="F14" s="1189"/>
      <c r="G14" s="1191"/>
      <c r="H14" s="1189"/>
      <c r="I14" s="1192">
        <f>Stab_Cast_Ö_Reisekosten!H264</f>
        <v>0</v>
      </c>
      <c r="J14" s="1191"/>
      <c r="K14" s="80"/>
      <c r="L14" s="80"/>
      <c r="M14" s="80"/>
      <c r="N14" s="1199"/>
      <c r="O14" s="606"/>
      <c r="P14" s="606"/>
      <c r="Q14" s="610" t="s">
        <v>151</v>
      </c>
      <c r="R14" s="610" t="s">
        <v>502</v>
      </c>
      <c r="S14" s="610"/>
      <c r="T14" s="606"/>
      <c r="U14" s="606"/>
      <c r="V14" s="606"/>
      <c r="W14" s="606"/>
      <c r="X14" s="606"/>
      <c r="Y14" s="606"/>
      <c r="Z14" s="606"/>
      <c r="AA14" s="606"/>
      <c r="AB14" s="606"/>
      <c r="AC14" s="606"/>
      <c r="AD14" s="606"/>
      <c r="AE14" s="606"/>
      <c r="AF14" s="606"/>
      <c r="AG14" s="606"/>
      <c r="AH14" s="606"/>
      <c r="AI14" s="606"/>
      <c r="AJ14" s="606"/>
      <c r="AK14" s="606"/>
      <c r="AL14" s="606"/>
      <c r="AM14" s="606"/>
      <c r="AN14" s="606"/>
      <c r="AO14" s="606"/>
      <c r="AP14" s="606"/>
      <c r="AQ14" s="606"/>
      <c r="AR14" s="606"/>
      <c r="AS14" s="606"/>
      <c r="AT14" s="606"/>
      <c r="AU14" s="606"/>
      <c r="AV14" s="606"/>
      <c r="AW14" s="606"/>
      <c r="AX14" s="606"/>
      <c r="AY14" s="606"/>
      <c r="AZ14" s="606"/>
    </row>
    <row r="15" spans="1:52" s="44" customFormat="1" ht="12.75" x14ac:dyDescent="0.2">
      <c r="A15" s="1187"/>
      <c r="B15" s="1188" t="str">
        <f>IF(Stammblatt!$L$4=1,Q15,R15)</f>
        <v>Sonstige</v>
      </c>
      <c r="C15" s="614">
        <v>0</v>
      </c>
      <c r="D15" s="1189" t="str">
        <f>IF(Stammblatt!$L$4=1,"x Flüge für:","x flights for")</f>
        <v>x Flüge für:</v>
      </c>
      <c r="E15" s="615" t="s">
        <v>848</v>
      </c>
      <c r="F15" s="615"/>
      <c r="G15" s="63">
        <v>0</v>
      </c>
      <c r="H15" s="1189" t="str">
        <f>IF(Stammblatt!$L$4=1,$Q$1,$R$1)</f>
        <v>je Einheit</v>
      </c>
      <c r="I15" s="1192">
        <f>C15*G15</f>
        <v>0</v>
      </c>
      <c r="J15" s="1191"/>
      <c r="K15" s="80"/>
      <c r="L15" s="80"/>
      <c r="M15" s="80"/>
      <c r="N15" s="1199"/>
      <c r="O15" s="606"/>
      <c r="P15" s="606"/>
      <c r="Q15" s="610" t="s">
        <v>194</v>
      </c>
      <c r="R15" s="610" t="s">
        <v>356</v>
      </c>
      <c r="S15" s="610"/>
      <c r="T15" s="606"/>
      <c r="U15" s="606"/>
      <c r="V15" s="606"/>
      <c r="W15" s="606"/>
      <c r="X15" s="606"/>
      <c r="Y15" s="606"/>
      <c r="Z15" s="606"/>
      <c r="AA15" s="606"/>
      <c r="AB15" s="606"/>
      <c r="AC15" s="606"/>
      <c r="AD15" s="606"/>
      <c r="AE15" s="606"/>
      <c r="AF15" s="606"/>
      <c r="AG15" s="606"/>
      <c r="AH15" s="606"/>
      <c r="AI15" s="606"/>
      <c r="AJ15" s="606"/>
      <c r="AK15" s="606"/>
      <c r="AL15" s="606"/>
      <c r="AM15" s="606"/>
      <c r="AN15" s="606"/>
      <c r="AO15" s="606"/>
      <c r="AP15" s="606"/>
      <c r="AQ15" s="606"/>
      <c r="AR15" s="606"/>
      <c r="AS15" s="606"/>
      <c r="AT15" s="606"/>
      <c r="AU15" s="606"/>
      <c r="AV15" s="606"/>
      <c r="AW15" s="606"/>
      <c r="AX15" s="606"/>
      <c r="AY15" s="606"/>
      <c r="AZ15" s="606"/>
    </row>
    <row r="16" spans="1:52" s="44" customFormat="1" ht="12.75" x14ac:dyDescent="0.2">
      <c r="A16" s="1187"/>
      <c r="B16" s="1188"/>
      <c r="C16" s="1188"/>
      <c r="D16" s="1188"/>
      <c r="E16" s="1188"/>
      <c r="F16" s="1188"/>
      <c r="G16" s="1188"/>
      <c r="H16" s="1189"/>
      <c r="I16" s="1192"/>
      <c r="J16" s="1191"/>
      <c r="K16" s="1192"/>
      <c r="L16" s="1192"/>
      <c r="M16" s="1192"/>
      <c r="N16" s="1199"/>
      <c r="O16" s="606"/>
      <c r="P16" s="606"/>
      <c r="Q16" s="610"/>
      <c r="R16" s="610"/>
      <c r="S16" s="610"/>
      <c r="T16" s="606"/>
      <c r="U16" s="606"/>
      <c r="V16" s="606"/>
      <c r="W16" s="606"/>
      <c r="X16" s="606"/>
      <c r="Y16" s="606"/>
      <c r="Z16" s="606"/>
      <c r="AA16" s="606"/>
      <c r="AB16" s="606"/>
      <c r="AC16" s="606"/>
      <c r="AD16" s="606"/>
      <c r="AE16" s="606"/>
      <c r="AF16" s="606"/>
      <c r="AG16" s="606"/>
      <c r="AH16" s="606"/>
      <c r="AI16" s="606"/>
      <c r="AJ16" s="606"/>
      <c r="AK16" s="606"/>
      <c r="AL16" s="606"/>
      <c r="AM16" s="606"/>
      <c r="AN16" s="606"/>
      <c r="AO16" s="606"/>
      <c r="AP16" s="606"/>
      <c r="AQ16" s="606"/>
      <c r="AR16" s="606"/>
      <c r="AS16" s="606"/>
      <c r="AT16" s="606"/>
      <c r="AU16" s="606"/>
      <c r="AV16" s="606"/>
      <c r="AW16" s="606"/>
      <c r="AX16" s="606"/>
      <c r="AY16" s="606"/>
      <c r="AZ16" s="606"/>
    </row>
    <row r="17" spans="1:52" s="44" customFormat="1" ht="12.75" x14ac:dyDescent="0.2">
      <c r="A17" s="1187"/>
      <c r="B17" s="1191" t="str">
        <f>IF(Stammblatt!$L$4=1,Q17,R17)</f>
        <v>Bahnfahrten</v>
      </c>
      <c r="C17" s="1191"/>
      <c r="D17" s="1189"/>
      <c r="E17" s="1190"/>
      <c r="F17" s="1189"/>
      <c r="G17" s="1191"/>
      <c r="H17" s="1189"/>
      <c r="I17" s="1192"/>
      <c r="J17" s="1191"/>
      <c r="K17" s="1192"/>
      <c r="L17" s="1192"/>
      <c r="M17" s="1192"/>
      <c r="N17" s="1199"/>
      <c r="O17" s="606"/>
      <c r="P17" s="606"/>
      <c r="Q17" s="610" t="s">
        <v>111</v>
      </c>
      <c r="R17" s="610" t="s">
        <v>504</v>
      </c>
      <c r="S17" s="610"/>
      <c r="T17" s="606"/>
      <c r="U17" s="606"/>
      <c r="V17" s="606"/>
      <c r="W17" s="606"/>
      <c r="X17" s="606"/>
      <c r="Y17" s="606"/>
      <c r="Z17" s="606"/>
      <c r="AA17" s="606"/>
      <c r="AB17" s="606"/>
      <c r="AC17" s="606"/>
      <c r="AD17" s="606"/>
      <c r="AE17" s="606"/>
      <c r="AF17" s="606"/>
      <c r="AG17" s="606"/>
      <c r="AH17" s="606"/>
      <c r="AI17" s="606"/>
      <c r="AJ17" s="606"/>
      <c r="AK17" s="606"/>
      <c r="AL17" s="606"/>
      <c r="AM17" s="606"/>
      <c r="AN17" s="606"/>
      <c r="AO17" s="606"/>
      <c r="AP17" s="606"/>
      <c r="AQ17" s="606"/>
      <c r="AR17" s="606"/>
      <c r="AS17" s="606"/>
      <c r="AT17" s="606"/>
      <c r="AU17" s="606"/>
      <c r="AV17" s="606"/>
      <c r="AW17" s="606"/>
      <c r="AX17" s="606"/>
      <c r="AY17" s="606"/>
      <c r="AZ17" s="606"/>
    </row>
    <row r="18" spans="1:52" s="44" customFormat="1" ht="12.75" x14ac:dyDescent="0.2">
      <c r="A18" s="1187"/>
      <c r="B18" s="1188" t="str">
        <f>IF(Stammblatt!$L$4=1,Q18,R18)</f>
        <v>Stab</v>
      </c>
      <c r="C18" s="1191"/>
      <c r="D18" s="1189"/>
      <c r="E18" s="1190"/>
      <c r="F18" s="1189"/>
      <c r="G18" s="1191"/>
      <c r="H18" s="1189"/>
      <c r="I18" s="1192">
        <f>Stab_Cast_Ö_Reisekosten!K209</f>
        <v>0</v>
      </c>
      <c r="J18" s="1191"/>
      <c r="K18" s="80"/>
      <c r="L18" s="80"/>
      <c r="M18" s="80"/>
      <c r="N18" s="1199"/>
      <c r="O18" s="606"/>
      <c r="P18" s="606"/>
      <c r="Q18" s="610" t="s">
        <v>193</v>
      </c>
      <c r="R18" s="610" t="s">
        <v>501</v>
      </c>
      <c r="S18" s="610"/>
      <c r="T18" s="606"/>
      <c r="U18" s="606"/>
      <c r="V18" s="606"/>
      <c r="W18" s="606"/>
      <c r="X18" s="606"/>
      <c r="Y18" s="606"/>
      <c r="Z18" s="606"/>
      <c r="AA18" s="606"/>
      <c r="AB18" s="606"/>
      <c r="AC18" s="606"/>
      <c r="AD18" s="606"/>
      <c r="AE18" s="606"/>
      <c r="AF18" s="606"/>
      <c r="AG18" s="606"/>
      <c r="AH18" s="606"/>
      <c r="AI18" s="606"/>
      <c r="AJ18" s="606"/>
      <c r="AK18" s="606"/>
      <c r="AL18" s="606"/>
      <c r="AM18" s="606"/>
      <c r="AN18" s="606"/>
      <c r="AO18" s="606"/>
      <c r="AP18" s="606"/>
      <c r="AQ18" s="606"/>
      <c r="AR18" s="606"/>
      <c r="AS18" s="606"/>
      <c r="AT18" s="606"/>
      <c r="AU18" s="606"/>
      <c r="AV18" s="606"/>
      <c r="AW18" s="606"/>
      <c r="AX18" s="606"/>
      <c r="AY18" s="606"/>
      <c r="AZ18" s="606"/>
    </row>
    <row r="19" spans="1:52" s="44" customFormat="1" ht="12.75" x14ac:dyDescent="0.2">
      <c r="A19" s="1187"/>
      <c r="B19" s="1188" t="str">
        <f>IF(Stammblatt!$L$4=1,Q19,R19)</f>
        <v>Darsteller</v>
      </c>
      <c r="C19" s="1191"/>
      <c r="D19" s="1189"/>
      <c r="E19" s="1190"/>
      <c r="F19" s="1189"/>
      <c r="G19" s="1191"/>
      <c r="H19" s="1189"/>
      <c r="I19" s="1192">
        <f>Stab_Cast_Ö_Reisekosten!K264</f>
        <v>0</v>
      </c>
      <c r="J19" s="1191"/>
      <c r="K19" s="80"/>
      <c r="L19" s="80"/>
      <c r="M19" s="80"/>
      <c r="N19" s="1199"/>
      <c r="O19" s="606"/>
      <c r="P19" s="606"/>
      <c r="Q19" s="610" t="s">
        <v>151</v>
      </c>
      <c r="R19" s="610" t="s">
        <v>502</v>
      </c>
      <c r="S19" s="610"/>
      <c r="T19" s="606"/>
      <c r="U19" s="606"/>
      <c r="V19" s="606"/>
      <c r="W19" s="606"/>
      <c r="X19" s="606"/>
      <c r="Y19" s="606"/>
      <c r="Z19" s="606"/>
      <c r="AA19" s="606"/>
      <c r="AB19" s="606"/>
      <c r="AC19" s="606"/>
      <c r="AD19" s="606"/>
      <c r="AE19" s="606"/>
      <c r="AF19" s="606"/>
      <c r="AG19" s="606"/>
      <c r="AH19" s="606"/>
      <c r="AI19" s="606"/>
      <c r="AJ19" s="606"/>
      <c r="AK19" s="606"/>
      <c r="AL19" s="606"/>
      <c r="AM19" s="606"/>
      <c r="AN19" s="606"/>
      <c r="AO19" s="606"/>
      <c r="AP19" s="606"/>
      <c r="AQ19" s="606"/>
      <c r="AR19" s="606"/>
      <c r="AS19" s="606"/>
      <c r="AT19" s="606"/>
      <c r="AU19" s="606"/>
      <c r="AV19" s="606"/>
      <c r="AW19" s="606"/>
      <c r="AX19" s="606"/>
      <c r="AY19" s="606"/>
      <c r="AZ19" s="606"/>
    </row>
    <row r="20" spans="1:52" s="44" customFormat="1" ht="12.75" x14ac:dyDescent="0.2">
      <c r="A20" s="1187"/>
      <c r="B20" s="1188" t="s">
        <v>1164</v>
      </c>
      <c r="C20" s="1191"/>
      <c r="D20" s="1189"/>
      <c r="E20" s="1190"/>
      <c r="F20" s="1189"/>
      <c r="G20" s="1191"/>
      <c r="H20" s="1189"/>
      <c r="I20" s="1192">
        <f>Stab_Cast_Ö_Reisekosten!K269</f>
        <v>0</v>
      </c>
      <c r="J20" s="1191"/>
      <c r="K20" s="80"/>
      <c r="L20" s="80"/>
      <c r="M20" s="80"/>
      <c r="N20" s="1199"/>
      <c r="O20" s="606"/>
      <c r="P20" s="606"/>
      <c r="Q20" s="610"/>
      <c r="R20" s="610"/>
      <c r="S20" s="610"/>
      <c r="T20" s="606"/>
      <c r="U20" s="606"/>
      <c r="V20" s="606"/>
      <c r="W20" s="606"/>
      <c r="X20" s="606"/>
      <c r="Y20" s="606"/>
      <c r="Z20" s="606"/>
      <c r="AA20" s="606"/>
      <c r="AB20" s="606"/>
      <c r="AC20" s="606"/>
      <c r="AD20" s="606"/>
      <c r="AE20" s="606"/>
      <c r="AF20" s="606"/>
      <c r="AG20" s="606"/>
      <c r="AH20" s="606"/>
      <c r="AI20" s="606"/>
      <c r="AJ20" s="606"/>
      <c r="AK20" s="606"/>
      <c r="AL20" s="606"/>
      <c r="AM20" s="606"/>
      <c r="AN20" s="606"/>
      <c r="AO20" s="606"/>
      <c r="AP20" s="606"/>
      <c r="AQ20" s="606"/>
      <c r="AR20" s="606"/>
      <c r="AS20" s="606"/>
      <c r="AT20" s="606"/>
      <c r="AU20" s="606"/>
      <c r="AV20" s="606"/>
      <c r="AW20" s="606"/>
      <c r="AX20" s="606"/>
      <c r="AY20" s="606"/>
      <c r="AZ20" s="606"/>
    </row>
    <row r="21" spans="1:52" s="44" customFormat="1" ht="12.75" x14ac:dyDescent="0.2">
      <c r="A21" s="1187"/>
      <c r="B21" s="1188" t="str">
        <f>IF(Stammblatt!$L$4=1,Q21,R21)</f>
        <v>Sonstige</v>
      </c>
      <c r="C21" s="614">
        <v>0</v>
      </c>
      <c r="D21" s="1189" t="str">
        <f>IF(Stammblatt!$L$4=1,"x Bahn für:","x train for")</f>
        <v>x Bahn für:</v>
      </c>
      <c r="E21" s="615" t="s">
        <v>849</v>
      </c>
      <c r="F21" s="615"/>
      <c r="G21" s="63">
        <v>0</v>
      </c>
      <c r="H21" s="1189" t="str">
        <f>IF(Stammblatt!$L$4=1,$Q$1,$R$1)</f>
        <v>je Einheit</v>
      </c>
      <c r="I21" s="1192">
        <f>C21*G21</f>
        <v>0</v>
      </c>
      <c r="J21" s="1191"/>
      <c r="K21" s="80"/>
      <c r="L21" s="80"/>
      <c r="M21" s="80"/>
      <c r="N21" s="1199"/>
      <c r="O21" s="606"/>
      <c r="P21" s="606"/>
      <c r="Q21" s="610" t="s">
        <v>194</v>
      </c>
      <c r="R21" s="610" t="s">
        <v>356</v>
      </c>
      <c r="S21" s="610"/>
      <c r="T21" s="606"/>
      <c r="U21" s="606"/>
      <c r="V21" s="606"/>
      <c r="W21" s="606"/>
      <c r="X21" s="606"/>
      <c r="Y21" s="606"/>
      <c r="Z21" s="606"/>
      <c r="AA21" s="606"/>
      <c r="AB21" s="606"/>
      <c r="AC21" s="606"/>
      <c r="AD21" s="606"/>
      <c r="AE21" s="606"/>
      <c r="AF21" s="606"/>
      <c r="AG21" s="606"/>
      <c r="AH21" s="606"/>
      <c r="AI21" s="606"/>
      <c r="AJ21" s="606"/>
      <c r="AK21" s="606"/>
      <c r="AL21" s="606"/>
      <c r="AM21" s="606"/>
      <c r="AN21" s="606"/>
      <c r="AO21" s="606"/>
      <c r="AP21" s="606"/>
      <c r="AQ21" s="606"/>
      <c r="AR21" s="606"/>
      <c r="AS21" s="606"/>
      <c r="AT21" s="606"/>
      <c r="AU21" s="606"/>
      <c r="AV21" s="606"/>
      <c r="AW21" s="606"/>
      <c r="AX21" s="606"/>
      <c r="AY21" s="606"/>
      <c r="AZ21" s="606"/>
    </row>
    <row r="22" spans="1:52" s="44" customFormat="1" ht="12.75" x14ac:dyDescent="0.2">
      <c r="A22" s="1187"/>
      <c r="B22" s="1191"/>
      <c r="C22" s="1191"/>
      <c r="D22" s="1189"/>
      <c r="E22" s="1190"/>
      <c r="F22" s="1189"/>
      <c r="G22" s="1191"/>
      <c r="H22" s="1189"/>
      <c r="I22" s="1192"/>
      <c r="J22" s="1191"/>
      <c r="K22" s="1192"/>
      <c r="L22" s="1192"/>
      <c r="M22" s="1192"/>
      <c r="N22" s="1199"/>
      <c r="O22" s="606"/>
      <c r="P22" s="606"/>
      <c r="Q22" s="610"/>
      <c r="R22" s="610"/>
      <c r="S22" s="610"/>
      <c r="T22" s="606"/>
      <c r="U22" s="606"/>
      <c r="V22" s="606"/>
      <c r="W22" s="606"/>
      <c r="X22" s="606"/>
      <c r="Y22" s="606"/>
      <c r="Z22" s="606"/>
      <c r="AA22" s="606"/>
      <c r="AB22" s="606"/>
      <c r="AC22" s="606"/>
      <c r="AD22" s="606"/>
      <c r="AE22" s="606"/>
      <c r="AF22" s="606"/>
      <c r="AG22" s="606"/>
      <c r="AH22" s="606"/>
      <c r="AI22" s="606"/>
      <c r="AJ22" s="606"/>
      <c r="AK22" s="606"/>
      <c r="AL22" s="606"/>
      <c r="AM22" s="606"/>
      <c r="AN22" s="606"/>
      <c r="AO22" s="606"/>
      <c r="AP22" s="606"/>
      <c r="AQ22" s="606"/>
      <c r="AR22" s="606"/>
      <c r="AS22" s="606"/>
      <c r="AT22" s="606"/>
      <c r="AU22" s="606"/>
      <c r="AV22" s="606"/>
      <c r="AW22" s="606"/>
      <c r="AX22" s="606"/>
      <c r="AY22" s="606"/>
      <c r="AZ22" s="606"/>
    </row>
    <row r="23" spans="1:52" s="44" customFormat="1" ht="12.75" x14ac:dyDescent="0.2">
      <c r="A23" s="1206"/>
      <c r="B23" s="1090" t="str">
        <f>IF(Stammblatt!$L$4=1,Q23,R23)</f>
        <v>Σ-Fahrtkosten</v>
      </c>
      <c r="C23" s="1152"/>
      <c r="D23" s="1153"/>
      <c r="E23" s="1154"/>
      <c r="F23" s="1154"/>
      <c r="G23" s="900"/>
      <c r="H23" s="900"/>
      <c r="I23" s="1207">
        <f>SUM(I6:I22)</f>
        <v>0</v>
      </c>
      <c r="J23" s="1208"/>
      <c r="K23" s="1207">
        <f>SUM(K6:K22)</f>
        <v>0</v>
      </c>
      <c r="L23" s="1207">
        <f>SUM(L6:L22)</f>
        <v>0</v>
      </c>
      <c r="M23" s="1207">
        <f>SUM(M6:M22)</f>
        <v>0</v>
      </c>
      <c r="N23" s="1199"/>
      <c r="O23" s="606"/>
      <c r="P23" s="606"/>
      <c r="Q23" s="610" t="s">
        <v>224</v>
      </c>
      <c r="R23" s="610" t="s">
        <v>505</v>
      </c>
      <c r="S23" s="610"/>
      <c r="T23" s="606"/>
      <c r="U23" s="606"/>
      <c r="V23" s="606"/>
      <c r="W23" s="606"/>
      <c r="X23" s="606"/>
      <c r="Y23" s="606"/>
      <c r="Z23" s="606"/>
      <c r="AA23" s="606"/>
      <c r="AB23" s="606"/>
      <c r="AC23" s="606"/>
      <c r="AD23" s="606"/>
      <c r="AE23" s="606"/>
      <c r="AF23" s="606"/>
      <c r="AG23" s="606"/>
      <c r="AH23" s="606"/>
      <c r="AI23" s="606"/>
      <c r="AJ23" s="606"/>
      <c r="AK23" s="606"/>
      <c r="AL23" s="606"/>
      <c r="AM23" s="606"/>
      <c r="AN23" s="606"/>
      <c r="AO23" s="606"/>
      <c r="AP23" s="606"/>
      <c r="AQ23" s="606"/>
      <c r="AR23" s="606"/>
      <c r="AS23" s="606"/>
      <c r="AT23" s="606"/>
      <c r="AU23" s="606"/>
      <c r="AV23" s="606"/>
      <c r="AW23" s="606"/>
      <c r="AX23" s="606"/>
      <c r="AY23" s="606"/>
      <c r="AZ23" s="606"/>
    </row>
    <row r="24" spans="1:52" s="44" customFormat="1" ht="12.75" x14ac:dyDescent="0.2">
      <c r="A24" s="1187"/>
      <c r="B24" s="1191"/>
      <c r="C24" s="1191"/>
      <c r="D24" s="1189"/>
      <c r="E24" s="1190"/>
      <c r="F24" s="1189"/>
      <c r="G24" s="1191"/>
      <c r="H24" s="1189"/>
      <c r="I24" s="1192"/>
      <c r="J24" s="1191"/>
      <c r="K24" s="1192"/>
      <c r="L24" s="1192"/>
      <c r="M24" s="1192"/>
      <c r="N24" s="1199"/>
      <c r="O24" s="606"/>
      <c r="P24" s="606"/>
      <c r="Q24" s="610"/>
      <c r="R24" s="610"/>
      <c r="S24" s="610"/>
      <c r="T24" s="606"/>
      <c r="U24" s="606"/>
      <c r="V24" s="606"/>
      <c r="W24" s="606"/>
      <c r="X24" s="606"/>
      <c r="Y24" s="606"/>
      <c r="Z24" s="606"/>
      <c r="AA24" s="606"/>
      <c r="AB24" s="606"/>
      <c r="AC24" s="606"/>
      <c r="AD24" s="606"/>
      <c r="AE24" s="606"/>
      <c r="AF24" s="606"/>
      <c r="AG24" s="606"/>
      <c r="AH24" s="606"/>
      <c r="AI24" s="606"/>
      <c r="AJ24" s="606"/>
      <c r="AK24" s="606"/>
      <c r="AL24" s="606"/>
      <c r="AM24" s="606"/>
      <c r="AN24" s="606"/>
      <c r="AO24" s="606"/>
      <c r="AP24" s="606"/>
      <c r="AQ24" s="606"/>
      <c r="AR24" s="606"/>
      <c r="AS24" s="606"/>
      <c r="AT24" s="606"/>
      <c r="AU24" s="606"/>
      <c r="AV24" s="606"/>
      <c r="AW24" s="606"/>
      <c r="AX24" s="606"/>
      <c r="AY24" s="606"/>
      <c r="AZ24" s="606"/>
    </row>
    <row r="25" spans="1:52" s="44" customFormat="1" ht="12.75" x14ac:dyDescent="0.2">
      <c r="A25" s="1187">
        <v>161</v>
      </c>
      <c r="B25" s="1203" t="str">
        <f>IF(Stammblatt!$L$4=1,Q25,R25)</f>
        <v>Tag- und Übernachtungsgelder (jeweils von der Mehrwertsteuer entlastet)</v>
      </c>
      <c r="C25" s="1191"/>
      <c r="D25" s="1189"/>
      <c r="E25" s="1190"/>
      <c r="F25" s="1189"/>
      <c r="G25" s="1191"/>
      <c r="H25" s="1189"/>
      <c r="I25" s="1192"/>
      <c r="J25" s="1191"/>
      <c r="K25" s="1192"/>
      <c r="L25" s="1192"/>
      <c r="M25" s="1192"/>
      <c r="N25" s="1199"/>
      <c r="O25" s="606"/>
      <c r="P25" s="606"/>
      <c r="Q25" s="610" t="s">
        <v>112</v>
      </c>
      <c r="R25" s="610" t="s">
        <v>528</v>
      </c>
      <c r="S25" s="610"/>
      <c r="T25" s="606"/>
      <c r="U25" s="606"/>
      <c r="V25" s="606"/>
      <c r="W25" s="606"/>
      <c r="X25" s="606"/>
      <c r="Y25" s="606"/>
      <c r="Z25" s="606"/>
      <c r="AA25" s="606"/>
      <c r="AB25" s="606"/>
      <c r="AC25" s="606"/>
      <c r="AD25" s="606"/>
      <c r="AE25" s="606"/>
      <c r="AF25" s="606"/>
      <c r="AG25" s="606"/>
      <c r="AH25" s="606"/>
      <c r="AI25" s="606"/>
      <c r="AJ25" s="606"/>
      <c r="AK25" s="606"/>
      <c r="AL25" s="606"/>
      <c r="AM25" s="606"/>
      <c r="AN25" s="606"/>
      <c r="AO25" s="606"/>
      <c r="AP25" s="606"/>
      <c r="AQ25" s="606"/>
      <c r="AR25" s="606"/>
      <c r="AS25" s="606"/>
      <c r="AT25" s="606"/>
      <c r="AU25" s="606"/>
      <c r="AV25" s="606"/>
      <c r="AW25" s="606"/>
      <c r="AX25" s="606"/>
      <c r="AY25" s="606"/>
      <c r="AZ25" s="606"/>
    </row>
    <row r="26" spans="1:52" s="44" customFormat="1" ht="12.75" x14ac:dyDescent="0.2">
      <c r="A26" s="1187"/>
      <c r="B26" s="1203"/>
      <c r="C26" s="1191"/>
      <c r="D26" s="1189"/>
      <c r="E26" s="1190"/>
      <c r="F26" s="1189"/>
      <c r="G26" s="1191"/>
      <c r="H26" s="1189"/>
      <c r="I26" s="1192"/>
      <c r="J26" s="1191"/>
      <c r="K26" s="1192"/>
      <c r="L26" s="1192"/>
      <c r="M26" s="1192"/>
      <c r="N26" s="1199"/>
      <c r="O26" s="606"/>
      <c r="P26" s="606"/>
      <c r="Q26" s="610"/>
      <c r="R26" s="610"/>
      <c r="S26" s="610"/>
      <c r="T26" s="606"/>
      <c r="U26" s="606"/>
      <c r="V26" s="606"/>
      <c r="W26" s="606"/>
      <c r="X26" s="606"/>
      <c r="Y26" s="606"/>
      <c r="Z26" s="606"/>
      <c r="AA26" s="606"/>
      <c r="AB26" s="606"/>
      <c r="AC26" s="606"/>
      <c r="AD26" s="606"/>
      <c r="AE26" s="606"/>
      <c r="AF26" s="606"/>
      <c r="AG26" s="606"/>
      <c r="AH26" s="606"/>
      <c r="AI26" s="606"/>
      <c r="AJ26" s="606"/>
      <c r="AK26" s="606"/>
      <c r="AL26" s="606"/>
      <c r="AM26" s="606"/>
      <c r="AN26" s="606"/>
      <c r="AO26" s="606"/>
      <c r="AP26" s="606"/>
      <c r="AQ26" s="606"/>
      <c r="AR26" s="606"/>
      <c r="AS26" s="606"/>
      <c r="AT26" s="606"/>
      <c r="AU26" s="606"/>
      <c r="AV26" s="606"/>
      <c r="AW26" s="606"/>
      <c r="AX26" s="606"/>
      <c r="AY26" s="606"/>
      <c r="AZ26" s="606"/>
    </row>
    <row r="27" spans="1:52" s="44" customFormat="1" ht="12.75" x14ac:dyDescent="0.2">
      <c r="A27" s="1187"/>
      <c r="B27" s="1191" t="str">
        <f>IF(Stammblatt!$L$4=1,Q27,R27)</f>
        <v>Diäten</v>
      </c>
      <c r="C27" s="1033" t="s">
        <v>542</v>
      </c>
      <c r="D27" s="1033" t="s">
        <v>197</v>
      </c>
      <c r="E27" s="1209" t="s">
        <v>255</v>
      </c>
      <c r="F27" s="1209" t="s">
        <v>254</v>
      </c>
      <c r="G27" s="1209" t="s">
        <v>543</v>
      </c>
      <c r="H27" s="1209" t="s">
        <v>544</v>
      </c>
      <c r="I27" s="1192"/>
      <c r="J27" s="1191"/>
      <c r="K27" s="1192"/>
      <c r="L27" s="1192"/>
      <c r="M27" s="1192"/>
      <c r="N27" s="1199"/>
      <c r="O27" s="606"/>
      <c r="P27" s="606"/>
      <c r="Q27" s="610" t="s">
        <v>113</v>
      </c>
      <c r="R27" s="610" t="s">
        <v>506</v>
      </c>
      <c r="S27" s="610"/>
      <c r="T27" s="606"/>
      <c r="U27" s="606"/>
      <c r="V27" s="606"/>
      <c r="W27" s="606"/>
      <c r="X27" s="606"/>
      <c r="Y27" s="606"/>
      <c r="Z27" s="606"/>
      <c r="AA27" s="606"/>
      <c r="AB27" s="606"/>
      <c r="AC27" s="606"/>
      <c r="AD27" s="606"/>
      <c r="AE27" s="606"/>
      <c r="AF27" s="606"/>
      <c r="AG27" s="606"/>
      <c r="AH27" s="606"/>
      <c r="AI27" s="606"/>
      <c r="AJ27" s="606"/>
      <c r="AK27" s="606"/>
      <c r="AL27" s="606"/>
      <c r="AM27" s="606"/>
      <c r="AN27" s="606"/>
      <c r="AO27" s="606"/>
      <c r="AP27" s="606"/>
      <c r="AQ27" s="606"/>
      <c r="AR27" s="606"/>
      <c r="AS27" s="606"/>
      <c r="AT27" s="606"/>
      <c r="AU27" s="606"/>
      <c r="AV27" s="606"/>
      <c r="AW27" s="606"/>
      <c r="AX27" s="606"/>
      <c r="AY27" s="606"/>
      <c r="AZ27" s="606"/>
    </row>
    <row r="28" spans="1:52" s="44" customFormat="1" ht="12.75" x14ac:dyDescent="0.2">
      <c r="A28" s="1187"/>
      <c r="B28" s="1191"/>
      <c r="C28" s="540">
        <f>Diäten_W/1.1</f>
        <v>14</v>
      </c>
      <c r="D28" s="1034">
        <f>Diäten_Ö/1.1</f>
        <v>27.27272727272727</v>
      </c>
      <c r="E28" s="91"/>
      <c r="F28" s="91"/>
      <c r="G28" s="91"/>
      <c r="H28" s="91"/>
      <c r="I28" s="1192"/>
      <c r="J28" s="1191"/>
      <c r="K28" s="1192"/>
      <c r="L28" s="1192"/>
      <c r="M28" s="1192"/>
      <c r="N28" s="1199"/>
      <c r="O28" s="606"/>
      <c r="P28" s="606"/>
      <c r="Q28" s="610"/>
      <c r="R28" s="610"/>
      <c r="S28" s="610"/>
      <c r="T28" s="606"/>
      <c r="U28" s="606"/>
      <c r="V28" s="606"/>
      <c r="W28" s="606"/>
      <c r="X28" s="606"/>
      <c r="Y28" s="606"/>
      <c r="Z28" s="606"/>
      <c r="AA28" s="606"/>
      <c r="AB28" s="606"/>
      <c r="AC28" s="606"/>
      <c r="AD28" s="606"/>
      <c r="AE28" s="606"/>
      <c r="AF28" s="606"/>
      <c r="AG28" s="606"/>
      <c r="AH28" s="606"/>
      <c r="AI28" s="606"/>
      <c r="AJ28" s="606"/>
      <c r="AK28" s="606"/>
      <c r="AL28" s="606"/>
      <c r="AM28" s="606"/>
      <c r="AN28" s="606"/>
      <c r="AO28" s="606"/>
      <c r="AP28" s="606"/>
      <c r="AQ28" s="606"/>
      <c r="AR28" s="606"/>
      <c r="AS28" s="606"/>
      <c r="AT28" s="606"/>
      <c r="AU28" s="606"/>
      <c r="AV28" s="606"/>
      <c r="AW28" s="606"/>
      <c r="AX28" s="606"/>
      <c r="AY28" s="606"/>
      <c r="AZ28" s="606"/>
    </row>
    <row r="29" spans="1:52" s="44" customFormat="1" ht="12.75" x14ac:dyDescent="0.2">
      <c r="A29" s="1187"/>
      <c r="B29" s="1188" t="str">
        <f>IF(Stammblatt!$L$4=1,Q29,R29)</f>
        <v>Stab</v>
      </c>
      <c r="C29" s="1210">
        <f>Stab_Cast_Ö_Reisekosten!L209*C28</f>
        <v>0</v>
      </c>
      <c r="D29" s="1210">
        <f>Stab_Cast_Ö_Reisekosten!M209*D28</f>
        <v>0</v>
      </c>
      <c r="E29" s="1210">
        <f>Stab_Cast_Ö_Reisekosten!N209*E28</f>
        <v>0</v>
      </c>
      <c r="F29" s="1210">
        <f>Stab_Cast_Ö_Reisekosten!O209*F28</f>
        <v>0</v>
      </c>
      <c r="G29" s="1210">
        <f>Stab_Cast_Ö_Reisekosten!P209*G28</f>
        <v>0</v>
      </c>
      <c r="H29" s="1210">
        <f>Stab_Cast_Ö_Reisekosten!Q209*H28</f>
        <v>0</v>
      </c>
      <c r="I29" s="1192">
        <f>SUM(C29:H29)</f>
        <v>0</v>
      </c>
      <c r="J29" s="1191"/>
      <c r="K29" s="80"/>
      <c r="L29" s="80"/>
      <c r="M29" s="80"/>
      <c r="N29" s="1199"/>
      <c r="O29" s="606"/>
      <c r="P29" s="606"/>
      <c r="Q29" s="610" t="s">
        <v>193</v>
      </c>
      <c r="R29" s="610" t="s">
        <v>501</v>
      </c>
      <c r="S29" s="610"/>
      <c r="T29" s="606"/>
      <c r="U29" s="606"/>
      <c r="V29" s="606"/>
      <c r="W29" s="606"/>
      <c r="X29" s="606"/>
      <c r="Y29" s="606"/>
      <c r="Z29" s="606"/>
      <c r="AA29" s="606"/>
      <c r="AB29" s="606"/>
      <c r="AC29" s="606"/>
      <c r="AD29" s="606"/>
      <c r="AE29" s="606"/>
      <c r="AF29" s="606"/>
      <c r="AG29" s="606"/>
      <c r="AH29" s="606"/>
      <c r="AI29" s="606"/>
      <c r="AJ29" s="606"/>
      <c r="AK29" s="606"/>
      <c r="AL29" s="606"/>
      <c r="AM29" s="606"/>
      <c r="AN29" s="606"/>
      <c r="AO29" s="606"/>
      <c r="AP29" s="606"/>
      <c r="AQ29" s="606"/>
      <c r="AR29" s="606"/>
      <c r="AS29" s="606"/>
      <c r="AT29" s="606"/>
      <c r="AU29" s="606"/>
      <c r="AV29" s="606"/>
      <c r="AW29" s="606"/>
      <c r="AX29" s="606"/>
      <c r="AY29" s="606"/>
      <c r="AZ29" s="606"/>
    </row>
    <row r="30" spans="1:52" s="44" customFormat="1" ht="12.75" x14ac:dyDescent="0.2">
      <c r="A30" s="1187"/>
      <c r="B30" s="1188" t="str">
        <f>IF(Stammblatt!$L$4=1,Q30,R30)</f>
        <v>Darsteller</v>
      </c>
      <c r="C30" s="1211">
        <f>Stab_Cast_Ö_Reisekosten!L264*C28</f>
        <v>0</v>
      </c>
      <c r="D30" s="1211">
        <f>Stab_Cast_Ö_Reisekosten!M264*D28</f>
        <v>0</v>
      </c>
      <c r="E30" s="1211">
        <f>Stab_Cast_Ö_Reisekosten!N264*E28</f>
        <v>0</v>
      </c>
      <c r="F30" s="1211">
        <f>Stab_Cast_Ö_Reisekosten!O264*F28</f>
        <v>0</v>
      </c>
      <c r="G30" s="1211">
        <f>Stab_Cast_Ö_Reisekosten!P264*G28</f>
        <v>0</v>
      </c>
      <c r="H30" s="1211">
        <f>Stab_Cast_Ö_Reisekosten!Q264*H28</f>
        <v>0</v>
      </c>
      <c r="I30" s="1192">
        <f>SUM(C30:H30)</f>
        <v>0</v>
      </c>
      <c r="J30" s="1191"/>
      <c r="K30" s="80"/>
      <c r="L30" s="80"/>
      <c r="M30" s="80"/>
      <c r="N30" s="1199"/>
      <c r="O30" s="606"/>
      <c r="P30" s="606"/>
      <c r="Q30" s="610" t="s">
        <v>151</v>
      </c>
      <c r="R30" s="610" t="s">
        <v>502</v>
      </c>
      <c r="S30" s="610"/>
      <c r="T30" s="606"/>
      <c r="U30" s="606"/>
      <c r="V30" s="606"/>
      <c r="W30" s="606"/>
      <c r="X30" s="606"/>
      <c r="Y30" s="606"/>
      <c r="Z30" s="606"/>
      <c r="AA30" s="606"/>
      <c r="AB30" s="606"/>
      <c r="AC30" s="606"/>
      <c r="AD30" s="606"/>
      <c r="AE30" s="606"/>
      <c r="AF30" s="606"/>
      <c r="AG30" s="606"/>
      <c r="AH30" s="606"/>
      <c r="AI30" s="606"/>
      <c r="AJ30" s="606"/>
      <c r="AK30" s="606"/>
      <c r="AL30" s="606"/>
      <c r="AM30" s="606"/>
      <c r="AN30" s="606"/>
      <c r="AO30" s="606"/>
      <c r="AP30" s="606"/>
      <c r="AQ30" s="606"/>
      <c r="AR30" s="606"/>
      <c r="AS30" s="606"/>
      <c r="AT30" s="606"/>
      <c r="AU30" s="606"/>
      <c r="AV30" s="606"/>
      <c r="AW30" s="606"/>
      <c r="AX30" s="606"/>
      <c r="AY30" s="606"/>
      <c r="AZ30" s="606"/>
    </row>
    <row r="31" spans="1:52" s="44" customFormat="1" ht="12.75" x14ac:dyDescent="0.2">
      <c r="A31" s="1187"/>
      <c r="B31" s="1188" t="str">
        <f>IF(Stammblatt!$L$4=1,Q31,R31)</f>
        <v>Komparsen u.a.</v>
      </c>
      <c r="C31" s="1212">
        <f>Stab_Cast_Ö_Reisekosten!L269*C28</f>
        <v>0</v>
      </c>
      <c r="D31" s="1212">
        <f>Stab_Cast_Ö_Reisekosten!M269*D28</f>
        <v>0</v>
      </c>
      <c r="E31" s="1212">
        <f>Stab_Cast_Ö_Reisekosten!N269*E28</f>
        <v>0</v>
      </c>
      <c r="F31" s="1212">
        <f>Stab_Cast_Ö_Reisekosten!O269*F28</f>
        <v>0</v>
      </c>
      <c r="G31" s="1212">
        <f>Stab_Cast_Ö_Reisekosten!P269*G28</f>
        <v>0</v>
      </c>
      <c r="H31" s="1212">
        <f>Stab_Cast_Ö_Reisekosten!Q269*H28</f>
        <v>0</v>
      </c>
      <c r="I31" s="1192">
        <f>SUM(C31:H31)</f>
        <v>0</v>
      </c>
      <c r="J31" s="1191"/>
      <c r="K31" s="80"/>
      <c r="L31" s="80"/>
      <c r="M31" s="80"/>
      <c r="N31" s="1199"/>
      <c r="O31" s="606"/>
      <c r="P31" s="606"/>
      <c r="Q31" s="610" t="s">
        <v>241</v>
      </c>
      <c r="R31" s="610" t="s">
        <v>353</v>
      </c>
      <c r="S31" s="610"/>
      <c r="T31" s="606"/>
      <c r="U31" s="606"/>
      <c r="V31" s="606"/>
      <c r="W31" s="606"/>
      <c r="X31" s="606"/>
      <c r="Y31" s="606"/>
      <c r="Z31" s="606"/>
      <c r="AA31" s="606"/>
      <c r="AB31" s="606"/>
      <c r="AC31" s="606"/>
      <c r="AD31" s="606"/>
      <c r="AE31" s="606"/>
      <c r="AF31" s="606"/>
      <c r="AG31" s="606"/>
      <c r="AH31" s="606"/>
      <c r="AI31" s="606"/>
      <c r="AJ31" s="606"/>
      <c r="AK31" s="606"/>
      <c r="AL31" s="606"/>
      <c r="AM31" s="606"/>
      <c r="AN31" s="606"/>
      <c r="AO31" s="606"/>
      <c r="AP31" s="606"/>
      <c r="AQ31" s="606"/>
      <c r="AR31" s="606"/>
      <c r="AS31" s="606"/>
      <c r="AT31" s="606"/>
      <c r="AU31" s="606"/>
      <c r="AV31" s="606"/>
      <c r="AW31" s="606"/>
      <c r="AX31" s="606"/>
      <c r="AY31" s="606"/>
      <c r="AZ31" s="606"/>
    </row>
    <row r="32" spans="1:52" s="44" customFormat="1" ht="12.75" x14ac:dyDescent="0.2">
      <c r="A32" s="1187"/>
      <c r="B32" s="1188"/>
      <c r="C32" s="1188"/>
      <c r="D32" s="1188"/>
      <c r="E32" s="1188"/>
      <c r="F32" s="1188"/>
      <c r="G32" s="1188"/>
      <c r="H32" s="1188"/>
      <c r="I32" s="1213"/>
      <c r="J32" s="1188"/>
      <c r="K32" s="1213"/>
      <c r="L32" s="1213"/>
      <c r="M32" s="1213"/>
      <c r="N32" s="1188"/>
      <c r="O32" s="606"/>
      <c r="P32" s="606"/>
      <c r="Q32" s="610"/>
      <c r="R32" s="610"/>
      <c r="S32" s="610"/>
      <c r="T32" s="606"/>
      <c r="U32" s="606"/>
      <c r="V32" s="606"/>
      <c r="W32" s="606"/>
      <c r="X32" s="606"/>
      <c r="Y32" s="606"/>
      <c r="Z32" s="606"/>
      <c r="AA32" s="606"/>
      <c r="AB32" s="606"/>
      <c r="AC32" s="606"/>
      <c r="AD32" s="606"/>
      <c r="AE32" s="606"/>
      <c r="AF32" s="606"/>
      <c r="AG32" s="606"/>
      <c r="AH32" s="606"/>
      <c r="AI32" s="606"/>
      <c r="AJ32" s="606"/>
      <c r="AK32" s="606"/>
      <c r="AL32" s="606"/>
      <c r="AM32" s="606"/>
      <c r="AN32" s="606"/>
      <c r="AO32" s="606"/>
      <c r="AP32" s="606"/>
      <c r="AQ32" s="606"/>
      <c r="AR32" s="606"/>
      <c r="AS32" s="606"/>
      <c r="AT32" s="606"/>
      <c r="AU32" s="606"/>
      <c r="AV32" s="606"/>
      <c r="AW32" s="606"/>
      <c r="AX32" s="606"/>
      <c r="AY32" s="606"/>
      <c r="AZ32" s="606"/>
    </row>
    <row r="33" spans="1:52" s="44" customFormat="1" ht="12.75" x14ac:dyDescent="0.2">
      <c r="A33" s="1187"/>
      <c r="B33" s="1191" t="s">
        <v>114</v>
      </c>
      <c r="C33" s="1191"/>
      <c r="D33" s="1189"/>
      <c r="E33" s="1190"/>
      <c r="F33" s="1189"/>
      <c r="G33" s="1191"/>
      <c r="H33" s="1189"/>
      <c r="I33" s="1192"/>
      <c r="J33" s="1191"/>
      <c r="K33" s="1192"/>
      <c r="L33" s="1192"/>
      <c r="M33" s="1192"/>
      <c r="N33" s="1199"/>
      <c r="O33" s="606"/>
      <c r="P33" s="606"/>
      <c r="Q33" s="610" t="s">
        <v>114</v>
      </c>
      <c r="R33" s="610"/>
      <c r="S33" s="610"/>
      <c r="T33" s="606"/>
      <c r="U33" s="606"/>
      <c r="V33" s="606"/>
      <c r="W33" s="606"/>
      <c r="X33" s="606"/>
      <c r="Y33" s="606"/>
      <c r="Z33" s="606"/>
      <c r="AA33" s="606"/>
      <c r="AB33" s="606"/>
      <c r="AC33" s="606"/>
      <c r="AD33" s="606"/>
      <c r="AE33" s="606"/>
      <c r="AF33" s="606"/>
      <c r="AG33" s="606"/>
      <c r="AH33" s="606"/>
      <c r="AI33" s="606"/>
      <c r="AJ33" s="606"/>
      <c r="AK33" s="606"/>
      <c r="AL33" s="606"/>
      <c r="AM33" s="606"/>
      <c r="AN33" s="606"/>
      <c r="AO33" s="606"/>
      <c r="AP33" s="606"/>
      <c r="AQ33" s="606"/>
      <c r="AR33" s="606"/>
      <c r="AS33" s="606"/>
      <c r="AT33" s="606"/>
      <c r="AU33" s="606"/>
      <c r="AV33" s="606"/>
      <c r="AW33" s="606"/>
      <c r="AX33" s="606"/>
      <c r="AY33" s="606"/>
      <c r="AZ33" s="606"/>
    </row>
    <row r="34" spans="1:52" s="44" customFormat="1" ht="12.75" x14ac:dyDescent="0.2">
      <c r="A34" s="1187"/>
      <c r="B34" s="1188" t="str">
        <f>IF(Stammblatt!$L$4=1,Q34,R34)</f>
        <v>Stab</v>
      </c>
      <c r="C34" s="1191">
        <f>Stab_Cast_Ö_Reisekosten!R209</f>
        <v>0</v>
      </c>
      <c r="D34" s="1189" t="str">
        <f>IF(Stammblatt!$L$4=1,$Q$2,$R$2)</f>
        <v>Tage</v>
      </c>
      <c r="E34" s="1190"/>
      <c r="F34" s="1190"/>
      <c r="G34" s="63"/>
      <c r="H34" s="1189" t="str">
        <f>IF(Stammblatt!$L$4=1,$Q$1,$R$1)</f>
        <v>je Einheit</v>
      </c>
      <c r="I34" s="1192">
        <f>C34*G34</f>
        <v>0</v>
      </c>
      <c r="J34" s="1191"/>
      <c r="K34" s="80"/>
      <c r="L34" s="80"/>
      <c r="M34" s="80"/>
      <c r="N34" s="1199"/>
      <c r="O34" s="606"/>
      <c r="P34" s="606"/>
      <c r="Q34" s="610" t="s">
        <v>193</v>
      </c>
      <c r="R34" s="610" t="s">
        <v>501</v>
      </c>
      <c r="S34" s="610"/>
      <c r="T34" s="606"/>
      <c r="U34" s="606"/>
      <c r="V34" s="606"/>
      <c r="W34" s="606"/>
      <c r="X34" s="606"/>
      <c r="Y34" s="606"/>
      <c r="Z34" s="606"/>
      <c r="AA34" s="606"/>
      <c r="AB34" s="606"/>
      <c r="AC34" s="606"/>
      <c r="AD34" s="606"/>
      <c r="AE34" s="606"/>
      <c r="AF34" s="606"/>
      <c r="AG34" s="606"/>
      <c r="AH34" s="606"/>
      <c r="AI34" s="606"/>
      <c r="AJ34" s="606"/>
      <c r="AK34" s="606"/>
      <c r="AL34" s="606"/>
      <c r="AM34" s="606"/>
      <c r="AN34" s="606"/>
      <c r="AO34" s="606"/>
      <c r="AP34" s="606"/>
      <c r="AQ34" s="606"/>
      <c r="AR34" s="606"/>
      <c r="AS34" s="606"/>
      <c r="AT34" s="606"/>
      <c r="AU34" s="606"/>
      <c r="AV34" s="606"/>
      <c r="AW34" s="606"/>
      <c r="AX34" s="606"/>
      <c r="AY34" s="606"/>
      <c r="AZ34" s="606"/>
    </row>
    <row r="35" spans="1:52" s="44" customFormat="1" ht="12.75" x14ac:dyDescent="0.2">
      <c r="A35" s="1187"/>
      <c r="B35" s="1188" t="str">
        <f>IF(Stammblatt!$L$4=1,Q35,R35)</f>
        <v>Darsteller</v>
      </c>
      <c r="C35" s="1191">
        <f>Stab_Cast_Ö_Reisekosten!R264</f>
        <v>0</v>
      </c>
      <c r="D35" s="1189" t="str">
        <f>IF(Stammblatt!$L$4=1,$Q$2,$R$2)</f>
        <v>Tage</v>
      </c>
      <c r="E35" s="1190"/>
      <c r="F35" s="1190"/>
      <c r="G35" s="63"/>
      <c r="H35" s="1189" t="str">
        <f>IF(Stammblatt!$L$4=1,$Q$1,$R$1)</f>
        <v>je Einheit</v>
      </c>
      <c r="I35" s="1192">
        <f>C35*G35</f>
        <v>0</v>
      </c>
      <c r="J35" s="1191"/>
      <c r="K35" s="80"/>
      <c r="L35" s="80"/>
      <c r="M35" s="80"/>
      <c r="N35" s="1199"/>
      <c r="O35" s="606"/>
      <c r="P35" s="606"/>
      <c r="Q35" s="610" t="s">
        <v>151</v>
      </c>
      <c r="R35" s="610" t="s">
        <v>502</v>
      </c>
      <c r="S35" s="610"/>
      <c r="T35" s="606"/>
      <c r="U35" s="606"/>
      <c r="V35" s="606"/>
      <c r="W35" s="606"/>
      <c r="X35" s="606"/>
      <c r="Y35" s="606"/>
      <c r="Z35" s="606"/>
      <c r="AA35" s="606"/>
      <c r="AB35" s="606"/>
      <c r="AC35" s="606"/>
      <c r="AD35" s="606"/>
      <c r="AE35" s="606"/>
      <c r="AF35" s="606"/>
      <c r="AG35" s="606"/>
      <c r="AH35" s="606"/>
      <c r="AI35" s="606"/>
      <c r="AJ35" s="606"/>
      <c r="AK35" s="606"/>
      <c r="AL35" s="606"/>
      <c r="AM35" s="606"/>
      <c r="AN35" s="606"/>
      <c r="AO35" s="606"/>
      <c r="AP35" s="606"/>
      <c r="AQ35" s="606"/>
      <c r="AR35" s="606"/>
      <c r="AS35" s="606"/>
      <c r="AT35" s="606"/>
      <c r="AU35" s="606"/>
      <c r="AV35" s="606"/>
      <c r="AW35" s="606"/>
      <c r="AX35" s="606"/>
      <c r="AY35" s="606"/>
      <c r="AZ35" s="606"/>
    </row>
    <row r="36" spans="1:52" s="44" customFormat="1" ht="12.75" x14ac:dyDescent="0.2">
      <c r="A36" s="1187"/>
      <c r="B36" s="1188" t="str">
        <f>IF(Stammblatt!$L$4=1,Q36,R36)</f>
        <v>Komparsen u.a.</v>
      </c>
      <c r="C36" s="1191">
        <f>Stab_Cast_Ö_Reisekosten!R269</f>
        <v>0</v>
      </c>
      <c r="D36" s="1189" t="str">
        <f>IF(Stammblatt!$L$4=1,$Q$2,$R$2)</f>
        <v>Tage</v>
      </c>
      <c r="E36" s="1190"/>
      <c r="F36" s="1190"/>
      <c r="G36" s="63"/>
      <c r="H36" s="1189" t="str">
        <f>IF(Stammblatt!$L$4=1,$Q$1,$R$1)</f>
        <v>je Einheit</v>
      </c>
      <c r="I36" s="1192">
        <f>C36*G36</f>
        <v>0</v>
      </c>
      <c r="J36" s="1191"/>
      <c r="K36" s="80"/>
      <c r="L36" s="80"/>
      <c r="M36" s="80"/>
      <c r="N36" s="1199"/>
      <c r="O36" s="606"/>
      <c r="P36" s="606"/>
      <c r="Q36" s="610" t="s">
        <v>241</v>
      </c>
      <c r="R36" s="610" t="s">
        <v>353</v>
      </c>
      <c r="S36" s="610"/>
      <c r="T36" s="606"/>
      <c r="U36" s="606"/>
      <c r="V36" s="606"/>
      <c r="W36" s="606"/>
      <c r="X36" s="606"/>
      <c r="Y36" s="606"/>
      <c r="Z36" s="606"/>
      <c r="AA36" s="606"/>
      <c r="AB36" s="606"/>
      <c r="AC36" s="606"/>
      <c r="AD36" s="606"/>
      <c r="AE36" s="606"/>
      <c r="AF36" s="606"/>
      <c r="AG36" s="606"/>
      <c r="AH36" s="606"/>
      <c r="AI36" s="606"/>
      <c r="AJ36" s="606"/>
      <c r="AK36" s="606"/>
      <c r="AL36" s="606"/>
      <c r="AM36" s="606"/>
      <c r="AN36" s="606"/>
      <c r="AO36" s="606"/>
      <c r="AP36" s="606"/>
      <c r="AQ36" s="606"/>
      <c r="AR36" s="606"/>
      <c r="AS36" s="606"/>
      <c r="AT36" s="606"/>
      <c r="AU36" s="606"/>
      <c r="AV36" s="606"/>
      <c r="AW36" s="606"/>
      <c r="AX36" s="606"/>
      <c r="AY36" s="606"/>
      <c r="AZ36" s="606"/>
    </row>
    <row r="37" spans="1:52" s="44" customFormat="1" ht="12.75" x14ac:dyDescent="0.2">
      <c r="A37" s="1187"/>
      <c r="B37" s="1191"/>
      <c r="C37" s="1191"/>
      <c r="D37" s="1189"/>
      <c r="E37" s="1190"/>
      <c r="F37" s="1189"/>
      <c r="G37" s="1191"/>
      <c r="H37" s="1189"/>
      <c r="I37" s="1192"/>
      <c r="J37" s="1191"/>
      <c r="K37" s="1192"/>
      <c r="L37" s="1192"/>
      <c r="M37" s="1192"/>
      <c r="N37" s="1199"/>
      <c r="O37" s="606"/>
      <c r="P37" s="606"/>
      <c r="Q37" s="610"/>
      <c r="R37" s="610"/>
      <c r="S37" s="610"/>
      <c r="T37" s="606"/>
      <c r="U37" s="606"/>
      <c r="V37" s="606"/>
      <c r="W37" s="606"/>
      <c r="X37" s="606"/>
      <c r="Y37" s="606"/>
      <c r="Z37" s="606"/>
      <c r="AA37" s="606"/>
      <c r="AB37" s="606"/>
      <c r="AC37" s="606"/>
      <c r="AD37" s="606"/>
      <c r="AE37" s="606"/>
      <c r="AF37" s="606"/>
      <c r="AG37" s="606"/>
      <c r="AH37" s="606"/>
      <c r="AI37" s="606"/>
      <c r="AJ37" s="606"/>
      <c r="AK37" s="606"/>
      <c r="AL37" s="606"/>
      <c r="AM37" s="606"/>
      <c r="AN37" s="606"/>
      <c r="AO37" s="606"/>
      <c r="AP37" s="606"/>
      <c r="AQ37" s="606"/>
      <c r="AR37" s="606"/>
      <c r="AS37" s="606"/>
      <c r="AT37" s="606"/>
      <c r="AU37" s="606"/>
      <c r="AV37" s="606"/>
      <c r="AW37" s="606"/>
      <c r="AX37" s="606"/>
      <c r="AY37" s="606"/>
      <c r="AZ37" s="606"/>
    </row>
    <row r="38" spans="1:52" s="44" customFormat="1" ht="12.75" x14ac:dyDescent="0.2">
      <c r="A38" s="1187"/>
      <c r="B38" s="1191" t="str">
        <f>IF(Stammblatt!$L$4=1,Q38,R38)</f>
        <v>Nächtigung</v>
      </c>
      <c r="C38" s="1191"/>
      <c r="D38" s="1189"/>
      <c r="E38" s="1190"/>
      <c r="F38" s="1189"/>
      <c r="G38" s="1191"/>
      <c r="H38" s="1189"/>
      <c r="I38" s="1192"/>
      <c r="J38" s="1191"/>
      <c r="K38" s="1192"/>
      <c r="L38" s="1192"/>
      <c r="M38" s="1192"/>
      <c r="N38" s="1199"/>
      <c r="O38" s="606"/>
      <c r="P38" s="606"/>
      <c r="Q38" s="610" t="s">
        <v>115</v>
      </c>
      <c r="R38" s="610" t="s">
        <v>507</v>
      </c>
      <c r="S38" s="610"/>
      <c r="T38" s="606"/>
      <c r="U38" s="606"/>
      <c r="V38" s="606"/>
      <c r="W38" s="606"/>
      <c r="X38" s="606"/>
      <c r="Y38" s="606"/>
      <c r="Z38" s="606"/>
      <c r="AA38" s="606"/>
      <c r="AB38" s="606"/>
      <c r="AC38" s="606"/>
      <c r="AD38" s="606"/>
      <c r="AE38" s="606"/>
      <c r="AF38" s="606"/>
      <c r="AG38" s="606"/>
      <c r="AH38" s="606"/>
      <c r="AI38" s="606"/>
      <c r="AJ38" s="606"/>
      <c r="AK38" s="606"/>
      <c r="AL38" s="606"/>
      <c r="AM38" s="606"/>
      <c r="AN38" s="606"/>
      <c r="AO38" s="606"/>
      <c r="AP38" s="606"/>
      <c r="AQ38" s="606"/>
      <c r="AR38" s="606"/>
      <c r="AS38" s="606"/>
      <c r="AT38" s="606"/>
      <c r="AU38" s="606"/>
      <c r="AV38" s="606"/>
      <c r="AW38" s="606"/>
      <c r="AX38" s="606"/>
      <c r="AY38" s="606"/>
      <c r="AZ38" s="606"/>
    </row>
    <row r="39" spans="1:52" s="44" customFormat="1" ht="12.75" x14ac:dyDescent="0.2">
      <c r="A39" s="1187"/>
      <c r="B39" s="1188" t="str">
        <f>IF(Stammblatt!$L$4=1,Q39,R39)</f>
        <v>Stab</v>
      </c>
      <c r="C39" s="1191"/>
      <c r="D39" s="1214"/>
      <c r="E39" s="1190"/>
      <c r="F39" s="1190"/>
      <c r="G39" s="1190"/>
      <c r="H39" s="1190"/>
      <c r="I39" s="1192">
        <f>Stab_Cast_Ö_Reisekosten!U209</f>
        <v>0</v>
      </c>
      <c r="J39" s="1191"/>
      <c r="K39" s="80"/>
      <c r="L39" s="80"/>
      <c r="M39" s="80"/>
      <c r="N39" s="1199"/>
      <c r="O39" s="606"/>
      <c r="P39" s="606"/>
      <c r="Q39" s="610" t="s">
        <v>193</v>
      </c>
      <c r="R39" s="610" t="s">
        <v>501</v>
      </c>
      <c r="S39" s="610"/>
      <c r="T39" s="606"/>
      <c r="U39" s="606"/>
      <c r="V39" s="606"/>
      <c r="W39" s="606"/>
      <c r="X39" s="606"/>
      <c r="Y39" s="606"/>
      <c r="Z39" s="606"/>
      <c r="AA39" s="606"/>
      <c r="AB39" s="606"/>
      <c r="AC39" s="606"/>
      <c r="AD39" s="606"/>
      <c r="AE39" s="606"/>
      <c r="AF39" s="606"/>
      <c r="AG39" s="606"/>
      <c r="AH39" s="606"/>
      <c r="AI39" s="606"/>
      <c r="AJ39" s="606"/>
      <c r="AK39" s="606"/>
      <c r="AL39" s="606"/>
      <c r="AM39" s="606"/>
      <c r="AN39" s="606"/>
      <c r="AO39" s="606"/>
      <c r="AP39" s="606"/>
      <c r="AQ39" s="606"/>
      <c r="AR39" s="606"/>
      <c r="AS39" s="606"/>
      <c r="AT39" s="606"/>
      <c r="AU39" s="606"/>
      <c r="AV39" s="606"/>
      <c r="AW39" s="606"/>
      <c r="AX39" s="606"/>
      <c r="AY39" s="606"/>
      <c r="AZ39" s="606"/>
    </row>
    <row r="40" spans="1:52" s="44" customFormat="1" ht="12.75" x14ac:dyDescent="0.2">
      <c r="A40" s="1187"/>
      <c r="B40" s="1188" t="str">
        <f>IF(Stammblatt!$L$4=1,Q40,R40)</f>
        <v>Darsteller</v>
      </c>
      <c r="C40" s="1191"/>
      <c r="D40" s="1214"/>
      <c r="E40" s="1190"/>
      <c r="F40" s="1190"/>
      <c r="G40" s="1190"/>
      <c r="H40" s="1190"/>
      <c r="I40" s="1192">
        <f>Stab_Cast_Ö_Reisekosten!U264</f>
        <v>0</v>
      </c>
      <c r="J40" s="1191"/>
      <c r="K40" s="80"/>
      <c r="L40" s="80"/>
      <c r="M40" s="80"/>
      <c r="N40" s="1199"/>
      <c r="O40" s="606"/>
      <c r="P40" s="606"/>
      <c r="Q40" s="610" t="s">
        <v>151</v>
      </c>
      <c r="R40" s="610" t="s">
        <v>502</v>
      </c>
      <c r="S40" s="610"/>
      <c r="T40" s="606"/>
      <c r="U40" s="606"/>
      <c r="V40" s="606"/>
      <c r="W40" s="606"/>
      <c r="X40" s="606"/>
      <c r="Y40" s="606"/>
      <c r="Z40" s="606"/>
      <c r="AA40" s="606"/>
      <c r="AB40" s="606"/>
      <c r="AC40" s="606"/>
      <c r="AD40" s="606"/>
      <c r="AE40" s="606"/>
      <c r="AF40" s="606"/>
      <c r="AG40" s="606"/>
      <c r="AH40" s="606"/>
      <c r="AI40" s="606"/>
      <c r="AJ40" s="606"/>
      <c r="AK40" s="606"/>
      <c r="AL40" s="606"/>
      <c r="AM40" s="606"/>
      <c r="AN40" s="606"/>
      <c r="AO40" s="606"/>
      <c r="AP40" s="606"/>
      <c r="AQ40" s="606"/>
      <c r="AR40" s="606"/>
      <c r="AS40" s="606"/>
      <c r="AT40" s="606"/>
      <c r="AU40" s="606"/>
      <c r="AV40" s="606"/>
      <c r="AW40" s="606"/>
      <c r="AX40" s="606"/>
      <c r="AY40" s="606"/>
      <c r="AZ40" s="606"/>
    </row>
    <row r="41" spans="1:52" s="44" customFormat="1" ht="12.75" x14ac:dyDescent="0.2">
      <c r="A41" s="1187"/>
      <c r="B41" s="1188" t="s">
        <v>1064</v>
      </c>
      <c r="C41" s="1191"/>
      <c r="D41" s="1214"/>
      <c r="E41" s="1190"/>
      <c r="F41" s="1190"/>
      <c r="G41" s="1190"/>
      <c r="H41" s="1190"/>
      <c r="I41" s="1192">
        <f>Stab_Cast_Ö_Reisekosten!U269</f>
        <v>0</v>
      </c>
      <c r="J41" s="1191"/>
      <c r="K41" s="80"/>
      <c r="L41" s="80"/>
      <c r="M41" s="80"/>
      <c r="N41" s="1199"/>
      <c r="O41" s="606"/>
      <c r="P41" s="606"/>
      <c r="Q41" s="610"/>
      <c r="R41" s="610"/>
      <c r="S41" s="610"/>
      <c r="T41" s="606"/>
      <c r="U41" s="606"/>
      <c r="V41" s="606"/>
      <c r="W41" s="606"/>
      <c r="X41" s="606"/>
      <c r="Y41" s="606"/>
      <c r="Z41" s="606"/>
      <c r="AA41" s="606"/>
      <c r="AB41" s="606"/>
      <c r="AC41" s="606"/>
      <c r="AD41" s="606"/>
      <c r="AE41" s="606"/>
      <c r="AF41" s="606"/>
      <c r="AG41" s="606"/>
      <c r="AH41" s="606"/>
      <c r="AI41" s="606"/>
      <c r="AJ41" s="606"/>
      <c r="AK41" s="606"/>
      <c r="AL41" s="606"/>
      <c r="AM41" s="606"/>
      <c r="AN41" s="606"/>
      <c r="AO41" s="606"/>
      <c r="AP41" s="606"/>
      <c r="AQ41" s="606"/>
      <c r="AR41" s="606"/>
      <c r="AS41" s="606"/>
      <c r="AT41" s="606"/>
      <c r="AU41" s="606"/>
      <c r="AV41" s="606"/>
      <c r="AW41" s="606"/>
      <c r="AX41" s="606"/>
      <c r="AY41" s="606"/>
      <c r="AZ41" s="606"/>
    </row>
    <row r="42" spans="1:52" s="44" customFormat="1" ht="12.75" x14ac:dyDescent="0.2">
      <c r="A42" s="1187"/>
      <c r="B42" s="1188" t="str">
        <f>IF(Stammblatt!$L$4=1,Q42,R42)</f>
        <v>Sonstige</v>
      </c>
      <c r="C42" s="1191"/>
      <c r="D42" s="1214"/>
      <c r="E42" s="1190"/>
      <c r="F42" s="1190"/>
      <c r="G42" s="1190"/>
      <c r="H42" s="1190"/>
      <c r="I42" s="80">
        <v>0</v>
      </c>
      <c r="J42" s="1191"/>
      <c r="K42" s="80"/>
      <c r="L42" s="80"/>
      <c r="M42" s="80"/>
      <c r="N42" s="1199"/>
      <c r="O42" s="606"/>
      <c r="P42" s="606"/>
      <c r="Q42" s="610" t="s">
        <v>194</v>
      </c>
      <c r="R42" s="610" t="s">
        <v>356</v>
      </c>
      <c r="S42" s="610"/>
      <c r="T42" s="606"/>
      <c r="U42" s="606"/>
      <c r="V42" s="606"/>
      <c r="W42" s="606"/>
      <c r="X42" s="606"/>
      <c r="Y42" s="606"/>
      <c r="Z42" s="606"/>
      <c r="AA42" s="606"/>
      <c r="AB42" s="606"/>
      <c r="AC42" s="606"/>
      <c r="AD42" s="606"/>
      <c r="AE42" s="606"/>
      <c r="AF42" s="606"/>
      <c r="AG42" s="606"/>
      <c r="AH42" s="606"/>
      <c r="AI42" s="606"/>
      <c r="AJ42" s="606"/>
      <c r="AK42" s="606"/>
      <c r="AL42" s="606"/>
      <c r="AM42" s="606"/>
      <c r="AN42" s="606"/>
      <c r="AO42" s="606"/>
      <c r="AP42" s="606"/>
      <c r="AQ42" s="606"/>
      <c r="AR42" s="606"/>
      <c r="AS42" s="606"/>
      <c r="AT42" s="606"/>
      <c r="AU42" s="606"/>
      <c r="AV42" s="606"/>
      <c r="AW42" s="606"/>
      <c r="AX42" s="606"/>
      <c r="AY42" s="606"/>
      <c r="AZ42" s="606"/>
    </row>
    <row r="43" spans="1:52" s="44" customFormat="1" ht="12.75" x14ac:dyDescent="0.2">
      <c r="A43" s="1187"/>
      <c r="B43" s="1191"/>
      <c r="C43" s="1191"/>
      <c r="D43" s="1189"/>
      <c r="E43" s="1190"/>
      <c r="F43" s="1189"/>
      <c r="G43" s="1191"/>
      <c r="H43" s="1189"/>
      <c r="I43" s="1192"/>
      <c r="J43" s="1191"/>
      <c r="K43" s="1192"/>
      <c r="L43" s="1192"/>
      <c r="M43" s="1192"/>
      <c r="N43" s="1199"/>
      <c r="O43" s="606"/>
      <c r="P43" s="606"/>
      <c r="Q43" s="610"/>
      <c r="R43" s="610"/>
      <c r="S43" s="610"/>
      <c r="T43" s="606"/>
      <c r="U43" s="606"/>
      <c r="V43" s="606"/>
      <c r="W43" s="606"/>
      <c r="X43" s="606"/>
      <c r="Y43" s="606"/>
      <c r="Z43" s="606"/>
      <c r="AA43" s="606"/>
      <c r="AB43" s="606"/>
      <c r="AC43" s="606"/>
      <c r="AD43" s="606"/>
      <c r="AE43" s="606"/>
      <c r="AF43" s="606"/>
      <c r="AG43" s="606"/>
      <c r="AH43" s="606"/>
      <c r="AI43" s="606"/>
      <c r="AJ43" s="606"/>
      <c r="AK43" s="606"/>
      <c r="AL43" s="606"/>
      <c r="AM43" s="606"/>
      <c r="AN43" s="606"/>
      <c r="AO43" s="606"/>
      <c r="AP43" s="606"/>
      <c r="AQ43" s="606"/>
      <c r="AR43" s="606"/>
      <c r="AS43" s="606"/>
      <c r="AT43" s="606"/>
      <c r="AU43" s="606"/>
      <c r="AV43" s="606"/>
      <c r="AW43" s="606"/>
      <c r="AX43" s="606"/>
      <c r="AY43" s="606"/>
      <c r="AZ43" s="606"/>
    </row>
    <row r="44" spans="1:52" s="44" customFormat="1" ht="12.75" x14ac:dyDescent="0.2">
      <c r="A44" s="1206"/>
      <c r="B44" s="1090" t="str">
        <f>IF(Stammblatt!$L$4=1,Q44,R44)</f>
        <v>Σ-Tag- und Übernachtungsgelder</v>
      </c>
      <c r="C44" s="1152"/>
      <c r="D44" s="1153"/>
      <c r="E44" s="1154"/>
      <c r="F44" s="1154"/>
      <c r="G44" s="900"/>
      <c r="H44" s="900"/>
      <c r="I44" s="1207">
        <f>SUM(I29:I43)</f>
        <v>0</v>
      </c>
      <c r="J44" s="1208"/>
      <c r="K44" s="1207">
        <f>SUM(K29:K43)</f>
        <v>0</v>
      </c>
      <c r="L44" s="1207">
        <f>SUM(L29:L43)</f>
        <v>0</v>
      </c>
      <c r="M44" s="1207">
        <f>SUM(M29:M43)</f>
        <v>0</v>
      </c>
      <c r="N44" s="1199"/>
      <c r="O44" s="606"/>
      <c r="P44" s="606"/>
      <c r="Q44" s="610" t="s">
        <v>225</v>
      </c>
      <c r="R44" s="610" t="s">
        <v>508</v>
      </c>
      <c r="S44" s="610"/>
      <c r="T44" s="606"/>
      <c r="U44" s="606"/>
      <c r="V44" s="606"/>
      <c r="W44" s="606"/>
      <c r="X44" s="606"/>
      <c r="Y44" s="606"/>
      <c r="Z44" s="606"/>
      <c r="AA44" s="606"/>
      <c r="AB44" s="606"/>
      <c r="AC44" s="606"/>
      <c r="AD44" s="606"/>
      <c r="AE44" s="606"/>
      <c r="AF44" s="606"/>
      <c r="AG44" s="606"/>
      <c r="AH44" s="606"/>
      <c r="AI44" s="606"/>
      <c r="AJ44" s="606"/>
      <c r="AK44" s="606"/>
      <c r="AL44" s="606"/>
      <c r="AM44" s="606"/>
      <c r="AN44" s="606"/>
      <c r="AO44" s="606"/>
      <c r="AP44" s="606"/>
      <c r="AQ44" s="606"/>
      <c r="AR44" s="606"/>
      <c r="AS44" s="606"/>
      <c r="AT44" s="606"/>
      <c r="AU44" s="606"/>
      <c r="AV44" s="606"/>
      <c r="AW44" s="606"/>
      <c r="AX44" s="606"/>
      <c r="AY44" s="606"/>
      <c r="AZ44" s="606"/>
    </row>
    <row r="45" spans="1:52" s="44" customFormat="1" ht="12.75" x14ac:dyDescent="0.2">
      <c r="A45" s="1187"/>
      <c r="B45" s="1191"/>
      <c r="C45" s="1191"/>
      <c r="D45" s="1189"/>
      <c r="E45" s="1190"/>
      <c r="F45" s="1189"/>
      <c r="G45" s="1191"/>
      <c r="H45" s="1189"/>
      <c r="I45" s="1192"/>
      <c r="J45" s="1191"/>
      <c r="K45" s="1192"/>
      <c r="L45" s="1192"/>
      <c r="M45" s="1192"/>
      <c r="N45" s="1199"/>
      <c r="O45" s="606"/>
      <c r="P45" s="606"/>
      <c r="Q45" s="610"/>
      <c r="R45" s="610"/>
      <c r="S45" s="610"/>
      <c r="T45" s="606"/>
      <c r="U45" s="606"/>
      <c r="V45" s="606"/>
      <c r="W45" s="606"/>
      <c r="X45" s="606"/>
      <c r="Y45" s="606"/>
      <c r="Z45" s="606"/>
      <c r="AA45" s="606"/>
      <c r="AB45" s="606"/>
      <c r="AC45" s="606"/>
      <c r="AD45" s="606"/>
      <c r="AE45" s="606"/>
      <c r="AF45" s="606"/>
      <c r="AG45" s="606"/>
      <c r="AH45" s="606"/>
      <c r="AI45" s="606"/>
      <c r="AJ45" s="606"/>
      <c r="AK45" s="606"/>
      <c r="AL45" s="606"/>
      <c r="AM45" s="606"/>
      <c r="AN45" s="606"/>
      <c r="AO45" s="606"/>
      <c r="AP45" s="606"/>
      <c r="AQ45" s="606"/>
      <c r="AR45" s="606"/>
      <c r="AS45" s="606"/>
      <c r="AT45" s="606"/>
      <c r="AU45" s="606"/>
      <c r="AV45" s="606"/>
      <c r="AW45" s="606"/>
      <c r="AX45" s="606"/>
      <c r="AY45" s="606"/>
      <c r="AZ45" s="606"/>
    </row>
    <row r="46" spans="1:52" s="46" customFormat="1" ht="12.75" x14ac:dyDescent="0.2">
      <c r="A46" s="1187">
        <v>162</v>
      </c>
      <c r="B46" s="1203" t="str">
        <f>IF(Stammblatt!$L$4=1,Q46,R46)</f>
        <v xml:space="preserve">Beförderungs- und Transportkosten, Frachten, Rollgelder und Taxis </v>
      </c>
      <c r="C46" s="1215"/>
      <c r="D46" s="1216"/>
      <c r="E46" s="1217"/>
      <c r="F46" s="1216"/>
      <c r="G46" s="1215"/>
      <c r="H46" s="1216"/>
      <c r="I46" s="1218"/>
      <c r="J46" s="1215"/>
      <c r="K46" s="1218"/>
      <c r="L46" s="1218"/>
      <c r="M46" s="1218"/>
      <c r="N46" s="1199"/>
      <c r="O46" s="608"/>
      <c r="P46" s="608"/>
      <c r="Q46" s="612" t="s">
        <v>116</v>
      </c>
      <c r="R46" s="612" t="s">
        <v>406</v>
      </c>
      <c r="S46" s="612"/>
      <c r="T46" s="608"/>
      <c r="U46" s="608"/>
      <c r="V46" s="608"/>
      <c r="W46" s="608"/>
      <c r="X46" s="608"/>
      <c r="Y46" s="608"/>
      <c r="Z46" s="608"/>
      <c r="AA46" s="608"/>
      <c r="AB46" s="608"/>
      <c r="AC46" s="608"/>
      <c r="AD46" s="608"/>
      <c r="AE46" s="608"/>
      <c r="AF46" s="608"/>
      <c r="AG46" s="608"/>
      <c r="AH46" s="608"/>
      <c r="AI46" s="608"/>
      <c r="AJ46" s="608"/>
      <c r="AK46" s="608"/>
      <c r="AL46" s="608"/>
      <c r="AM46" s="608"/>
      <c r="AN46" s="608"/>
      <c r="AO46" s="608"/>
      <c r="AP46" s="608"/>
      <c r="AQ46" s="608"/>
      <c r="AR46" s="608"/>
      <c r="AS46" s="608"/>
      <c r="AT46" s="608"/>
      <c r="AU46" s="608"/>
      <c r="AV46" s="608"/>
      <c r="AW46" s="608"/>
      <c r="AX46" s="608"/>
      <c r="AY46" s="608"/>
      <c r="AZ46" s="608"/>
    </row>
    <row r="47" spans="1:52" s="46" customFormat="1" ht="12.75" x14ac:dyDescent="0.2">
      <c r="A47" s="1187"/>
      <c r="B47" s="1203"/>
      <c r="C47" s="1215"/>
      <c r="D47" s="1216"/>
      <c r="E47" s="1217"/>
      <c r="F47" s="1216"/>
      <c r="G47" s="1215"/>
      <c r="H47" s="1216"/>
      <c r="I47" s="1218"/>
      <c r="J47" s="1215"/>
      <c r="K47" s="1218"/>
      <c r="L47" s="1218"/>
      <c r="M47" s="1218"/>
      <c r="N47" s="1199"/>
      <c r="O47" s="608"/>
      <c r="P47" s="608"/>
      <c r="Q47" s="612"/>
      <c r="R47" s="612"/>
      <c r="S47" s="612"/>
      <c r="T47" s="608"/>
      <c r="U47" s="608"/>
      <c r="V47" s="608"/>
      <c r="W47" s="608"/>
      <c r="X47" s="608"/>
      <c r="Y47" s="608"/>
      <c r="Z47" s="608"/>
      <c r="AA47" s="608"/>
      <c r="AB47" s="608"/>
      <c r="AC47" s="608"/>
      <c r="AD47" s="608"/>
      <c r="AE47" s="608"/>
      <c r="AF47" s="608"/>
      <c r="AG47" s="608"/>
      <c r="AH47" s="608"/>
      <c r="AI47" s="608"/>
      <c r="AJ47" s="608"/>
      <c r="AK47" s="608"/>
      <c r="AL47" s="608"/>
      <c r="AM47" s="608"/>
      <c r="AN47" s="608"/>
      <c r="AO47" s="608"/>
      <c r="AP47" s="608"/>
      <c r="AQ47" s="608"/>
      <c r="AR47" s="608"/>
      <c r="AS47" s="608"/>
      <c r="AT47" s="608"/>
      <c r="AU47" s="608"/>
      <c r="AV47" s="608"/>
      <c r="AW47" s="608"/>
      <c r="AX47" s="608"/>
      <c r="AY47" s="608"/>
      <c r="AZ47" s="608"/>
    </row>
    <row r="48" spans="1:52" s="44" customFormat="1" ht="12.75" x14ac:dyDescent="0.2">
      <c r="A48" s="1187"/>
      <c r="B48" s="1191" t="str">
        <f>IF(Stammblatt!$L$4=1,Q48,R48)</f>
        <v>Produktion</v>
      </c>
      <c r="C48" s="61">
        <v>0</v>
      </c>
      <c r="D48" s="1189" t="s">
        <v>118</v>
      </c>
      <c r="E48" s="62">
        <v>0</v>
      </c>
      <c r="F48" s="1189" t="str">
        <f>IF(Stammblatt!$L$4=1,$Q$3,$R$3)</f>
        <v>Wochen</v>
      </c>
      <c r="G48" s="63">
        <v>0</v>
      </c>
      <c r="H48" s="1189" t="str">
        <f>IF(Stammblatt!$L$4=1,$Q$1,$R$1)</f>
        <v>je Einheit</v>
      </c>
      <c r="I48" s="1192">
        <f t="shared" ref="I48:I53" si="0">C48*E48*G48</f>
        <v>0</v>
      </c>
      <c r="J48" s="1191"/>
      <c r="K48" s="80"/>
      <c r="L48" s="80"/>
      <c r="M48" s="80"/>
      <c r="N48" s="1199"/>
      <c r="O48" s="606"/>
      <c r="P48" s="606"/>
      <c r="Q48" s="610" t="s">
        <v>117</v>
      </c>
      <c r="R48" s="610" t="s">
        <v>510</v>
      </c>
      <c r="S48" s="610"/>
      <c r="T48" s="606"/>
      <c r="U48" s="606"/>
      <c r="V48" s="606"/>
      <c r="W48" s="606"/>
      <c r="X48" s="606"/>
      <c r="Y48" s="606"/>
      <c r="Z48" s="606"/>
      <c r="AA48" s="606"/>
      <c r="AB48" s="606"/>
      <c r="AC48" s="606"/>
      <c r="AD48" s="606"/>
      <c r="AE48" s="606"/>
      <c r="AF48" s="606"/>
      <c r="AG48" s="606"/>
      <c r="AH48" s="606"/>
      <c r="AI48" s="606"/>
      <c r="AJ48" s="606"/>
      <c r="AK48" s="606"/>
      <c r="AL48" s="606"/>
      <c r="AM48" s="606"/>
      <c r="AN48" s="606"/>
      <c r="AO48" s="606"/>
      <c r="AP48" s="606"/>
      <c r="AQ48" s="606"/>
      <c r="AR48" s="606"/>
      <c r="AS48" s="606"/>
      <c r="AT48" s="606"/>
      <c r="AU48" s="606"/>
      <c r="AV48" s="606"/>
      <c r="AW48" s="606"/>
      <c r="AX48" s="606"/>
      <c r="AY48" s="606"/>
      <c r="AZ48" s="606"/>
    </row>
    <row r="49" spans="1:52" s="44" customFormat="1" ht="12.75" x14ac:dyDescent="0.2">
      <c r="A49" s="1187"/>
      <c r="B49" s="1191" t="str">
        <f>IF(Stammblatt!$L$4=1,Q49,R49)</f>
        <v>Kamera</v>
      </c>
      <c r="C49" s="61">
        <v>0</v>
      </c>
      <c r="D49" s="1189" t="s">
        <v>118</v>
      </c>
      <c r="E49" s="62">
        <v>0</v>
      </c>
      <c r="F49" s="1189" t="str">
        <f>IF(Stammblatt!$L$4=1,$Q$3,$R$3)</f>
        <v>Wochen</v>
      </c>
      <c r="G49" s="63">
        <v>0</v>
      </c>
      <c r="H49" s="1189" t="str">
        <f>IF(Stammblatt!$L$4=1,$Q$1,$R$1)</f>
        <v>je Einheit</v>
      </c>
      <c r="I49" s="1192">
        <f t="shared" si="0"/>
        <v>0</v>
      </c>
      <c r="J49" s="1191"/>
      <c r="K49" s="80"/>
      <c r="L49" s="80"/>
      <c r="M49" s="80"/>
      <c r="N49" s="1199"/>
      <c r="O49" s="606"/>
      <c r="P49" s="606"/>
      <c r="Q49" s="610" t="s">
        <v>198</v>
      </c>
      <c r="R49" s="610" t="s">
        <v>511</v>
      </c>
      <c r="S49" s="610"/>
      <c r="T49" s="606"/>
      <c r="U49" s="606"/>
      <c r="V49" s="606"/>
      <c r="W49" s="606"/>
      <c r="X49" s="606"/>
      <c r="Y49" s="606"/>
      <c r="Z49" s="606"/>
      <c r="AA49" s="606"/>
      <c r="AB49" s="606"/>
      <c r="AC49" s="606"/>
      <c r="AD49" s="606"/>
      <c r="AE49" s="606"/>
      <c r="AF49" s="606"/>
      <c r="AG49" s="606"/>
      <c r="AH49" s="606"/>
      <c r="AI49" s="606"/>
      <c r="AJ49" s="606"/>
      <c r="AK49" s="606"/>
      <c r="AL49" s="606"/>
      <c r="AM49" s="606"/>
      <c r="AN49" s="606"/>
      <c r="AO49" s="606"/>
      <c r="AP49" s="606"/>
      <c r="AQ49" s="606"/>
      <c r="AR49" s="606"/>
      <c r="AS49" s="606"/>
      <c r="AT49" s="606"/>
      <c r="AU49" s="606"/>
      <c r="AV49" s="606"/>
      <c r="AW49" s="606"/>
      <c r="AX49" s="606"/>
      <c r="AY49" s="606"/>
      <c r="AZ49" s="606"/>
    </row>
    <row r="50" spans="1:52" s="44" customFormat="1" ht="12.75" x14ac:dyDescent="0.2">
      <c r="A50" s="1187"/>
      <c r="B50" s="1191" t="str">
        <f>IF(Stammblatt!$L$4=1,Q50,R50)</f>
        <v>Bühne</v>
      </c>
      <c r="C50" s="61">
        <v>0</v>
      </c>
      <c r="D50" s="1189" t="s">
        <v>118</v>
      </c>
      <c r="E50" s="62">
        <v>0</v>
      </c>
      <c r="F50" s="1189" t="str">
        <f>IF(Stammblatt!$L$4=1,$Q$3,$R$3)</f>
        <v>Wochen</v>
      </c>
      <c r="G50" s="63">
        <v>0</v>
      </c>
      <c r="H50" s="1189" t="str">
        <f>IF(Stammblatt!$L$4=1,$Q$1,$R$1)</f>
        <v>je Einheit</v>
      </c>
      <c r="I50" s="1192">
        <f t="shared" si="0"/>
        <v>0</v>
      </c>
      <c r="J50" s="1191"/>
      <c r="K50" s="80"/>
      <c r="L50" s="80"/>
      <c r="M50" s="80"/>
      <c r="N50" s="1199"/>
      <c r="O50" s="606"/>
      <c r="P50" s="606"/>
      <c r="Q50" s="610" t="s">
        <v>119</v>
      </c>
      <c r="R50" s="610" t="s">
        <v>327</v>
      </c>
      <c r="S50" s="610"/>
      <c r="T50" s="606"/>
      <c r="U50" s="606"/>
      <c r="V50" s="606"/>
      <c r="W50" s="606"/>
      <c r="X50" s="606"/>
      <c r="Y50" s="606"/>
      <c r="Z50" s="606"/>
      <c r="AA50" s="606"/>
      <c r="AB50" s="606"/>
      <c r="AC50" s="606"/>
      <c r="AD50" s="606"/>
      <c r="AE50" s="606"/>
      <c r="AF50" s="606"/>
      <c r="AG50" s="606"/>
      <c r="AH50" s="606"/>
      <c r="AI50" s="606"/>
      <c r="AJ50" s="606"/>
      <c r="AK50" s="606"/>
      <c r="AL50" s="606"/>
      <c r="AM50" s="606"/>
      <c r="AN50" s="606"/>
      <c r="AO50" s="606"/>
      <c r="AP50" s="606"/>
      <c r="AQ50" s="606"/>
      <c r="AR50" s="606"/>
      <c r="AS50" s="606"/>
      <c r="AT50" s="606"/>
      <c r="AU50" s="606"/>
      <c r="AV50" s="606"/>
      <c r="AW50" s="606"/>
      <c r="AX50" s="606"/>
      <c r="AY50" s="606"/>
      <c r="AZ50" s="606"/>
    </row>
    <row r="51" spans="1:52" s="44" customFormat="1" ht="12.75" x14ac:dyDescent="0.2">
      <c r="A51" s="1187"/>
      <c r="B51" s="1191" t="str">
        <f>IF(Stammblatt!$L$4=1,Q51,R51)</f>
        <v>Licht</v>
      </c>
      <c r="C51" s="61">
        <v>0</v>
      </c>
      <c r="D51" s="1189" t="s">
        <v>118</v>
      </c>
      <c r="E51" s="62">
        <v>0</v>
      </c>
      <c r="F51" s="1189" t="str">
        <f>IF(Stammblatt!$L$4=1,$Q$3,$R$3)</f>
        <v>Wochen</v>
      </c>
      <c r="G51" s="63">
        <v>0</v>
      </c>
      <c r="H51" s="1189" t="str">
        <f>IF(Stammblatt!$L$4=1,$Q$1,$R$1)</f>
        <v>je Einheit</v>
      </c>
      <c r="I51" s="1192">
        <f t="shared" si="0"/>
        <v>0</v>
      </c>
      <c r="J51" s="1191"/>
      <c r="K51" s="80"/>
      <c r="L51" s="80"/>
      <c r="M51" s="80"/>
      <c r="N51" s="1199"/>
      <c r="O51" s="606"/>
      <c r="P51" s="606"/>
      <c r="Q51" s="610" t="s">
        <v>199</v>
      </c>
      <c r="R51" s="610" t="s">
        <v>326</v>
      </c>
      <c r="S51" s="610"/>
      <c r="T51" s="606"/>
      <c r="U51" s="606"/>
      <c r="V51" s="606"/>
      <c r="W51" s="606"/>
      <c r="X51" s="606"/>
      <c r="Y51" s="606"/>
      <c r="Z51" s="606"/>
      <c r="AA51" s="606"/>
      <c r="AB51" s="606"/>
      <c r="AC51" s="606"/>
      <c r="AD51" s="606"/>
      <c r="AE51" s="606"/>
      <c r="AF51" s="606"/>
      <c r="AG51" s="606"/>
      <c r="AH51" s="606"/>
      <c r="AI51" s="606"/>
      <c r="AJ51" s="606"/>
      <c r="AK51" s="606"/>
      <c r="AL51" s="606"/>
      <c r="AM51" s="606"/>
      <c r="AN51" s="606"/>
      <c r="AO51" s="606"/>
      <c r="AP51" s="606"/>
      <c r="AQ51" s="606"/>
      <c r="AR51" s="606"/>
      <c r="AS51" s="606"/>
      <c r="AT51" s="606"/>
      <c r="AU51" s="606"/>
      <c r="AV51" s="606"/>
      <c r="AW51" s="606"/>
      <c r="AX51" s="606"/>
      <c r="AY51" s="606"/>
      <c r="AZ51" s="606"/>
    </row>
    <row r="52" spans="1:52" s="44" customFormat="1" ht="12.75" x14ac:dyDescent="0.2">
      <c r="A52" s="1187"/>
      <c r="B52" s="1191" t="str">
        <f>IF(Stammblatt!$L$4=1,Q52,R52)</f>
        <v>Requisite</v>
      </c>
      <c r="C52" s="61">
        <v>0</v>
      </c>
      <c r="D52" s="1189" t="s">
        <v>118</v>
      </c>
      <c r="E52" s="62">
        <v>0</v>
      </c>
      <c r="F52" s="1189" t="str">
        <f>IF(Stammblatt!$L$4=1,$Q$3,$R$3)</f>
        <v>Wochen</v>
      </c>
      <c r="G52" s="63">
        <v>0</v>
      </c>
      <c r="H52" s="1189" t="str">
        <f>IF(Stammblatt!$L$4=1,$Q$1,$R$1)</f>
        <v>je Einheit</v>
      </c>
      <c r="I52" s="1192">
        <f t="shared" si="0"/>
        <v>0</v>
      </c>
      <c r="J52" s="1191"/>
      <c r="K52" s="80"/>
      <c r="L52" s="80"/>
      <c r="M52" s="80"/>
      <c r="N52" s="1199"/>
      <c r="O52" s="606"/>
      <c r="P52" s="606"/>
      <c r="Q52" s="610" t="s">
        <v>200</v>
      </c>
      <c r="R52" s="610" t="s">
        <v>469</v>
      </c>
      <c r="S52" s="610"/>
      <c r="T52" s="606"/>
      <c r="U52" s="606"/>
      <c r="V52" s="606"/>
      <c r="W52" s="606"/>
      <c r="X52" s="606"/>
      <c r="Y52" s="606"/>
      <c r="Z52" s="606"/>
      <c r="AA52" s="606"/>
      <c r="AB52" s="606"/>
      <c r="AC52" s="606"/>
      <c r="AD52" s="606"/>
      <c r="AE52" s="606"/>
      <c r="AF52" s="606"/>
      <c r="AG52" s="606"/>
      <c r="AH52" s="606"/>
      <c r="AI52" s="606"/>
      <c r="AJ52" s="606"/>
      <c r="AK52" s="606"/>
      <c r="AL52" s="606"/>
      <c r="AM52" s="606"/>
      <c r="AN52" s="606"/>
      <c r="AO52" s="606"/>
      <c r="AP52" s="606"/>
      <c r="AQ52" s="606"/>
      <c r="AR52" s="606"/>
      <c r="AS52" s="606"/>
      <c r="AT52" s="606"/>
      <c r="AU52" s="606"/>
      <c r="AV52" s="606"/>
      <c r="AW52" s="606"/>
      <c r="AX52" s="606"/>
      <c r="AY52" s="606"/>
      <c r="AZ52" s="606"/>
    </row>
    <row r="53" spans="1:52" s="44" customFormat="1" ht="12.75" x14ac:dyDescent="0.2">
      <c r="A53" s="1187"/>
      <c r="B53" s="61"/>
      <c r="C53" s="61">
        <v>0</v>
      </c>
      <c r="D53" s="1189" t="s">
        <v>118</v>
      </c>
      <c r="E53" s="62">
        <v>0</v>
      </c>
      <c r="F53" s="1189" t="str">
        <f>IF(Stammblatt!$L$4=1,$Q$3,$R$3)</f>
        <v>Wochen</v>
      </c>
      <c r="G53" s="63">
        <v>0</v>
      </c>
      <c r="H53" s="1189" t="str">
        <f>IF(Stammblatt!$L$4=1,$Q$1,$R$1)</f>
        <v>je Einheit</v>
      </c>
      <c r="I53" s="1192">
        <f t="shared" si="0"/>
        <v>0</v>
      </c>
      <c r="J53" s="1191"/>
      <c r="K53" s="80"/>
      <c r="L53" s="80"/>
      <c r="M53" s="80"/>
      <c r="N53" s="1199"/>
      <c r="O53" s="606"/>
      <c r="P53" s="606"/>
      <c r="Q53" s="610" t="s">
        <v>194</v>
      </c>
      <c r="R53" s="610" t="s">
        <v>356</v>
      </c>
      <c r="S53" s="610"/>
      <c r="T53" s="606"/>
      <c r="U53" s="606"/>
      <c r="V53" s="606"/>
      <c r="W53" s="606"/>
      <c r="X53" s="606"/>
      <c r="Y53" s="606"/>
      <c r="Z53" s="606"/>
      <c r="AA53" s="606"/>
      <c r="AB53" s="606"/>
      <c r="AC53" s="606"/>
      <c r="AD53" s="606"/>
      <c r="AE53" s="606"/>
      <c r="AF53" s="606"/>
      <c r="AG53" s="606"/>
      <c r="AH53" s="606"/>
      <c r="AI53" s="606"/>
      <c r="AJ53" s="606"/>
      <c r="AK53" s="606"/>
      <c r="AL53" s="606"/>
      <c r="AM53" s="606"/>
      <c r="AN53" s="606"/>
      <c r="AO53" s="606"/>
      <c r="AP53" s="606"/>
      <c r="AQ53" s="606"/>
      <c r="AR53" s="606"/>
      <c r="AS53" s="606"/>
      <c r="AT53" s="606"/>
      <c r="AU53" s="606"/>
      <c r="AV53" s="606"/>
      <c r="AW53" s="606"/>
      <c r="AX53" s="606"/>
      <c r="AY53" s="606"/>
      <c r="AZ53" s="606"/>
    </row>
    <row r="54" spans="1:52" s="44" customFormat="1" ht="12.75" x14ac:dyDescent="0.2">
      <c r="A54" s="1187"/>
      <c r="B54" s="61"/>
      <c r="C54" s="61">
        <v>0</v>
      </c>
      <c r="D54" s="1189" t="s">
        <v>118</v>
      </c>
      <c r="E54" s="62">
        <v>0</v>
      </c>
      <c r="F54" s="1189" t="str">
        <f>IF(Stammblatt!$L$4=1,$Q$3,$R$3)</f>
        <v>Wochen</v>
      </c>
      <c r="G54" s="63">
        <v>0</v>
      </c>
      <c r="H54" s="1189" t="str">
        <f>IF(Stammblatt!$L$4=1,$Q$1,$R$1)</f>
        <v>je Einheit</v>
      </c>
      <c r="I54" s="1192">
        <f t="shared" ref="I54:I56" si="1">C54*E54*G54</f>
        <v>0</v>
      </c>
      <c r="J54" s="1191"/>
      <c r="K54" s="80"/>
      <c r="L54" s="80"/>
      <c r="M54" s="80"/>
      <c r="N54" s="1199"/>
      <c r="O54" s="606"/>
      <c r="P54" s="606"/>
      <c r="Q54" s="610"/>
      <c r="R54" s="610"/>
      <c r="S54" s="610"/>
      <c r="T54" s="606"/>
      <c r="U54" s="606"/>
      <c r="V54" s="606"/>
      <c r="W54" s="606"/>
      <c r="X54" s="606"/>
      <c r="Y54" s="606"/>
      <c r="Z54" s="606"/>
      <c r="AA54" s="606"/>
      <c r="AB54" s="606"/>
      <c r="AC54" s="606"/>
      <c r="AD54" s="606"/>
      <c r="AE54" s="606"/>
      <c r="AF54" s="606"/>
      <c r="AG54" s="606"/>
      <c r="AH54" s="606"/>
      <c r="AI54" s="606"/>
      <c r="AJ54" s="606"/>
      <c r="AK54" s="606"/>
      <c r="AL54" s="606"/>
      <c r="AM54" s="606"/>
      <c r="AN54" s="606"/>
      <c r="AO54" s="606"/>
      <c r="AP54" s="606"/>
      <c r="AQ54" s="606"/>
      <c r="AR54" s="606"/>
      <c r="AS54" s="606"/>
      <c r="AT54" s="606"/>
      <c r="AU54" s="606"/>
      <c r="AV54" s="606"/>
      <c r="AW54" s="606"/>
      <c r="AX54" s="606"/>
      <c r="AY54" s="606"/>
      <c r="AZ54" s="606"/>
    </row>
    <row r="55" spans="1:52" s="44" customFormat="1" ht="12.75" x14ac:dyDescent="0.2">
      <c r="A55" s="1187"/>
      <c r="B55" s="61"/>
      <c r="C55" s="61">
        <v>0</v>
      </c>
      <c r="D55" s="1189" t="s">
        <v>118</v>
      </c>
      <c r="E55" s="62">
        <v>0</v>
      </c>
      <c r="F55" s="1189" t="str">
        <f>IF(Stammblatt!$L$4=1,$Q$3,$R$3)</f>
        <v>Wochen</v>
      </c>
      <c r="G55" s="63">
        <v>0</v>
      </c>
      <c r="H55" s="1189" t="str">
        <f>IF(Stammblatt!$L$4=1,$Q$1,$R$1)</f>
        <v>je Einheit</v>
      </c>
      <c r="I55" s="1192">
        <f t="shared" si="1"/>
        <v>0</v>
      </c>
      <c r="J55" s="1191"/>
      <c r="K55" s="80"/>
      <c r="L55" s="80"/>
      <c r="M55" s="80"/>
      <c r="N55" s="1199"/>
      <c r="O55" s="606"/>
      <c r="P55" s="606"/>
      <c r="Q55" s="610"/>
      <c r="R55" s="610"/>
      <c r="S55" s="610"/>
      <c r="T55" s="606"/>
      <c r="U55" s="606"/>
      <c r="V55" s="606"/>
      <c r="W55" s="606"/>
      <c r="X55" s="606"/>
      <c r="Y55" s="606"/>
      <c r="Z55" s="606"/>
      <c r="AA55" s="606"/>
      <c r="AB55" s="606"/>
      <c r="AC55" s="606"/>
      <c r="AD55" s="606"/>
      <c r="AE55" s="606"/>
      <c r="AF55" s="606"/>
      <c r="AG55" s="606"/>
      <c r="AH55" s="606"/>
      <c r="AI55" s="606"/>
      <c r="AJ55" s="606"/>
      <c r="AK55" s="606"/>
      <c r="AL55" s="606"/>
      <c r="AM55" s="606"/>
      <c r="AN55" s="606"/>
      <c r="AO55" s="606"/>
      <c r="AP55" s="606"/>
      <c r="AQ55" s="606"/>
      <c r="AR55" s="606"/>
      <c r="AS55" s="606"/>
      <c r="AT55" s="606"/>
      <c r="AU55" s="606"/>
      <c r="AV55" s="606"/>
      <c r="AW55" s="606"/>
      <c r="AX55" s="606"/>
      <c r="AY55" s="606"/>
      <c r="AZ55" s="606"/>
    </row>
    <row r="56" spans="1:52" s="44" customFormat="1" ht="12.75" x14ac:dyDescent="0.2">
      <c r="A56" s="1187"/>
      <c r="B56" s="61"/>
      <c r="C56" s="61">
        <v>0</v>
      </c>
      <c r="D56" s="1189" t="s">
        <v>118</v>
      </c>
      <c r="E56" s="62">
        <v>0</v>
      </c>
      <c r="F56" s="1189" t="str">
        <f>IF(Stammblatt!$L$4=1,$Q$3,$R$3)</f>
        <v>Wochen</v>
      </c>
      <c r="G56" s="63">
        <v>0</v>
      </c>
      <c r="H56" s="1189" t="str">
        <f>IF(Stammblatt!$L$4=1,$Q$1,$R$1)</f>
        <v>je Einheit</v>
      </c>
      <c r="I56" s="1192">
        <f t="shared" si="1"/>
        <v>0</v>
      </c>
      <c r="J56" s="1191"/>
      <c r="K56" s="80"/>
      <c r="L56" s="80"/>
      <c r="M56" s="80"/>
      <c r="N56" s="1199"/>
      <c r="O56" s="606"/>
      <c r="P56" s="606"/>
      <c r="Q56" s="610"/>
      <c r="R56" s="610"/>
      <c r="S56" s="610"/>
      <c r="T56" s="606"/>
      <c r="U56" s="606"/>
      <c r="V56" s="606"/>
      <c r="W56" s="606"/>
      <c r="X56" s="606"/>
      <c r="Y56" s="606"/>
      <c r="Z56" s="606"/>
      <c r="AA56" s="606"/>
      <c r="AB56" s="606"/>
      <c r="AC56" s="606"/>
      <c r="AD56" s="606"/>
      <c r="AE56" s="606"/>
      <c r="AF56" s="606"/>
      <c r="AG56" s="606"/>
      <c r="AH56" s="606"/>
      <c r="AI56" s="606"/>
      <c r="AJ56" s="606"/>
      <c r="AK56" s="606"/>
      <c r="AL56" s="606"/>
      <c r="AM56" s="606"/>
      <c r="AN56" s="606"/>
      <c r="AO56" s="606"/>
      <c r="AP56" s="606"/>
      <c r="AQ56" s="606"/>
      <c r="AR56" s="606"/>
      <c r="AS56" s="606"/>
      <c r="AT56" s="606"/>
      <c r="AU56" s="606"/>
      <c r="AV56" s="606"/>
      <c r="AW56" s="606"/>
      <c r="AX56" s="606"/>
      <c r="AY56" s="606"/>
      <c r="AZ56" s="606"/>
    </row>
    <row r="57" spans="1:52" s="44" customFormat="1" ht="12.75" x14ac:dyDescent="0.2">
      <c r="A57" s="1187"/>
      <c r="B57" s="61"/>
      <c r="C57" s="61">
        <v>0</v>
      </c>
      <c r="D57" s="1189" t="s">
        <v>118</v>
      </c>
      <c r="E57" s="62">
        <v>0</v>
      </c>
      <c r="F57" s="1189" t="str">
        <f>IF(Stammblatt!$L$4=1,$Q$3,$R$3)</f>
        <v>Wochen</v>
      </c>
      <c r="G57" s="63">
        <v>0</v>
      </c>
      <c r="H57" s="1189" t="str">
        <f>IF(Stammblatt!$L$4=1,$Q$1,$R$1)</f>
        <v>je Einheit</v>
      </c>
      <c r="I57" s="1192">
        <f t="shared" ref="I57:I61" si="2">C57*E57*G57</f>
        <v>0</v>
      </c>
      <c r="J57" s="1191"/>
      <c r="K57" s="80"/>
      <c r="L57" s="80"/>
      <c r="M57" s="80"/>
      <c r="N57" s="1199"/>
      <c r="O57" s="606"/>
      <c r="P57" s="606"/>
      <c r="Q57" s="610"/>
      <c r="R57" s="610"/>
      <c r="S57" s="610"/>
      <c r="T57" s="606"/>
      <c r="U57" s="606"/>
      <c r="V57" s="606"/>
      <c r="W57" s="606"/>
      <c r="X57" s="606"/>
      <c r="Y57" s="606"/>
      <c r="Z57" s="606"/>
      <c r="AA57" s="606"/>
      <c r="AB57" s="606"/>
      <c r="AC57" s="606"/>
      <c r="AD57" s="606"/>
      <c r="AE57" s="606"/>
      <c r="AF57" s="606"/>
      <c r="AG57" s="606"/>
      <c r="AH57" s="606"/>
      <c r="AI57" s="606"/>
      <c r="AJ57" s="606"/>
      <c r="AK57" s="606"/>
      <c r="AL57" s="606"/>
      <c r="AM57" s="606"/>
      <c r="AN57" s="606"/>
      <c r="AO57" s="606"/>
      <c r="AP57" s="606"/>
      <c r="AQ57" s="606"/>
      <c r="AR57" s="606"/>
      <c r="AS57" s="606"/>
      <c r="AT57" s="606"/>
      <c r="AU57" s="606"/>
      <c r="AV57" s="606"/>
      <c r="AW57" s="606"/>
      <c r="AX57" s="606"/>
      <c r="AY57" s="606"/>
      <c r="AZ57" s="606"/>
    </row>
    <row r="58" spans="1:52" s="44" customFormat="1" ht="12.75" x14ac:dyDescent="0.2">
      <c r="A58" s="1187"/>
      <c r="B58" s="61"/>
      <c r="C58" s="61">
        <v>0</v>
      </c>
      <c r="D58" s="1189" t="s">
        <v>118</v>
      </c>
      <c r="E58" s="62">
        <v>0</v>
      </c>
      <c r="F58" s="1189" t="str">
        <f>IF(Stammblatt!$L$4=1,$Q$3,$R$3)</f>
        <v>Wochen</v>
      </c>
      <c r="G58" s="63">
        <v>0</v>
      </c>
      <c r="H58" s="1189" t="str">
        <f>IF(Stammblatt!$L$4=1,$Q$1,$R$1)</f>
        <v>je Einheit</v>
      </c>
      <c r="I58" s="1192">
        <f t="shared" si="2"/>
        <v>0</v>
      </c>
      <c r="J58" s="1191"/>
      <c r="K58" s="80"/>
      <c r="L58" s="80"/>
      <c r="M58" s="80"/>
      <c r="N58" s="1199"/>
      <c r="O58" s="606"/>
      <c r="P58" s="606"/>
      <c r="Q58" s="610"/>
      <c r="R58" s="610"/>
      <c r="S58" s="610"/>
      <c r="T58" s="606"/>
      <c r="U58" s="606"/>
      <c r="V58" s="606"/>
      <c r="W58" s="606"/>
      <c r="X58" s="606"/>
      <c r="Y58" s="606"/>
      <c r="Z58" s="606"/>
      <c r="AA58" s="606"/>
      <c r="AB58" s="606"/>
      <c r="AC58" s="606"/>
      <c r="AD58" s="606"/>
      <c r="AE58" s="606"/>
      <c r="AF58" s="606"/>
      <c r="AG58" s="606"/>
      <c r="AH58" s="606"/>
      <c r="AI58" s="606"/>
      <c r="AJ58" s="606"/>
      <c r="AK58" s="606"/>
      <c r="AL58" s="606"/>
      <c r="AM58" s="606"/>
      <c r="AN58" s="606"/>
      <c r="AO58" s="606"/>
      <c r="AP58" s="606"/>
      <c r="AQ58" s="606"/>
      <c r="AR58" s="606"/>
      <c r="AS58" s="606"/>
      <c r="AT58" s="606"/>
      <c r="AU58" s="606"/>
      <c r="AV58" s="606"/>
      <c r="AW58" s="606"/>
      <c r="AX58" s="606"/>
      <c r="AY58" s="606"/>
      <c r="AZ58" s="606"/>
    </row>
    <row r="59" spans="1:52" s="44" customFormat="1" ht="12.75" x14ac:dyDescent="0.2">
      <c r="A59" s="1187"/>
      <c r="B59" s="61"/>
      <c r="C59" s="61">
        <v>0</v>
      </c>
      <c r="D59" s="1189" t="s">
        <v>118</v>
      </c>
      <c r="E59" s="62">
        <v>0</v>
      </c>
      <c r="F59" s="1189" t="str">
        <f>IF(Stammblatt!$L$4=1,$Q$3,$R$3)</f>
        <v>Wochen</v>
      </c>
      <c r="G59" s="63">
        <v>0</v>
      </c>
      <c r="H59" s="1189" t="str">
        <f>IF(Stammblatt!$L$4=1,$Q$1,$R$1)</f>
        <v>je Einheit</v>
      </c>
      <c r="I59" s="1192">
        <f t="shared" si="2"/>
        <v>0</v>
      </c>
      <c r="J59" s="1191"/>
      <c r="K59" s="80"/>
      <c r="L59" s="80"/>
      <c r="M59" s="80"/>
      <c r="N59" s="1199"/>
      <c r="O59" s="606"/>
      <c r="P59" s="606"/>
      <c r="Q59" s="610"/>
      <c r="R59" s="610"/>
      <c r="S59" s="610"/>
      <c r="T59" s="606"/>
      <c r="U59" s="606"/>
      <c r="V59" s="606"/>
      <c r="W59" s="606"/>
      <c r="X59" s="606"/>
      <c r="Y59" s="606"/>
      <c r="Z59" s="606"/>
      <c r="AA59" s="606"/>
      <c r="AB59" s="606"/>
      <c r="AC59" s="606"/>
      <c r="AD59" s="606"/>
      <c r="AE59" s="606"/>
      <c r="AF59" s="606"/>
      <c r="AG59" s="606"/>
      <c r="AH59" s="606"/>
      <c r="AI59" s="606"/>
      <c r="AJ59" s="606"/>
      <c r="AK59" s="606"/>
      <c r="AL59" s="606"/>
      <c r="AM59" s="606"/>
      <c r="AN59" s="606"/>
      <c r="AO59" s="606"/>
      <c r="AP59" s="606"/>
      <c r="AQ59" s="606"/>
      <c r="AR59" s="606"/>
      <c r="AS59" s="606"/>
      <c r="AT59" s="606"/>
      <c r="AU59" s="606"/>
      <c r="AV59" s="606"/>
      <c r="AW59" s="606"/>
      <c r="AX59" s="606"/>
      <c r="AY59" s="606"/>
      <c r="AZ59" s="606"/>
    </row>
    <row r="60" spans="1:52" s="44" customFormat="1" ht="12.75" x14ac:dyDescent="0.2">
      <c r="A60" s="1187"/>
      <c r="B60" s="61"/>
      <c r="C60" s="61">
        <v>0</v>
      </c>
      <c r="D60" s="1189" t="s">
        <v>118</v>
      </c>
      <c r="E60" s="62">
        <v>0</v>
      </c>
      <c r="F60" s="1189" t="str">
        <f>IF(Stammblatt!$L$4=1,$Q$3,$R$3)</f>
        <v>Wochen</v>
      </c>
      <c r="G60" s="63">
        <v>0</v>
      </c>
      <c r="H60" s="1189" t="str">
        <f>IF(Stammblatt!$L$4=1,$Q$1,$R$1)</f>
        <v>je Einheit</v>
      </c>
      <c r="I60" s="1192">
        <f t="shared" si="2"/>
        <v>0</v>
      </c>
      <c r="J60" s="1191"/>
      <c r="K60" s="80"/>
      <c r="L60" s="80"/>
      <c r="M60" s="80"/>
      <c r="N60" s="1199"/>
      <c r="O60" s="606"/>
      <c r="P60" s="606"/>
      <c r="Q60" s="610"/>
      <c r="R60" s="610"/>
      <c r="S60" s="610"/>
      <c r="T60" s="606"/>
      <c r="U60" s="606"/>
      <c r="V60" s="606"/>
      <c r="W60" s="606"/>
      <c r="X60" s="606"/>
      <c r="Y60" s="606"/>
      <c r="Z60" s="606"/>
      <c r="AA60" s="606"/>
      <c r="AB60" s="606"/>
      <c r="AC60" s="606"/>
      <c r="AD60" s="606"/>
      <c r="AE60" s="606"/>
      <c r="AF60" s="606"/>
      <c r="AG60" s="606"/>
      <c r="AH60" s="606"/>
      <c r="AI60" s="606"/>
      <c r="AJ60" s="606"/>
      <c r="AK60" s="606"/>
      <c r="AL60" s="606"/>
      <c r="AM60" s="606"/>
      <c r="AN60" s="606"/>
      <c r="AO60" s="606"/>
      <c r="AP60" s="606"/>
      <c r="AQ60" s="606"/>
      <c r="AR60" s="606"/>
      <c r="AS60" s="606"/>
      <c r="AT60" s="606"/>
      <c r="AU60" s="606"/>
      <c r="AV60" s="606"/>
      <c r="AW60" s="606"/>
      <c r="AX60" s="606"/>
      <c r="AY60" s="606"/>
      <c r="AZ60" s="606"/>
    </row>
    <row r="61" spans="1:52" s="44" customFormat="1" ht="12.75" x14ac:dyDescent="0.2">
      <c r="A61" s="1187"/>
      <c r="B61" s="61"/>
      <c r="C61" s="61">
        <v>0</v>
      </c>
      <c r="D61" s="1189" t="s">
        <v>118</v>
      </c>
      <c r="E61" s="62">
        <v>0</v>
      </c>
      <c r="F61" s="1189" t="str">
        <f>IF(Stammblatt!$L$4=1,$Q$3,$R$3)</f>
        <v>Wochen</v>
      </c>
      <c r="G61" s="63">
        <v>0</v>
      </c>
      <c r="H61" s="1189" t="str">
        <f>IF(Stammblatt!$L$4=1,$Q$1,$R$1)</f>
        <v>je Einheit</v>
      </c>
      <c r="I61" s="1192">
        <f t="shared" si="2"/>
        <v>0</v>
      </c>
      <c r="J61" s="1191"/>
      <c r="K61" s="80"/>
      <c r="L61" s="80"/>
      <c r="M61" s="80"/>
      <c r="N61" s="1199"/>
      <c r="O61" s="606"/>
      <c r="P61" s="606"/>
      <c r="Q61" s="610"/>
      <c r="R61" s="610"/>
      <c r="S61" s="610"/>
      <c r="T61" s="606"/>
      <c r="U61" s="606"/>
      <c r="V61" s="606"/>
      <c r="W61" s="606"/>
      <c r="X61" s="606"/>
      <c r="Y61" s="606"/>
      <c r="Z61" s="606"/>
      <c r="AA61" s="606"/>
      <c r="AB61" s="606"/>
      <c r="AC61" s="606"/>
      <c r="AD61" s="606"/>
      <c r="AE61" s="606"/>
      <c r="AF61" s="606"/>
      <c r="AG61" s="606"/>
      <c r="AH61" s="606"/>
      <c r="AI61" s="606"/>
      <c r="AJ61" s="606"/>
      <c r="AK61" s="606"/>
      <c r="AL61" s="606"/>
      <c r="AM61" s="606"/>
      <c r="AN61" s="606"/>
      <c r="AO61" s="606"/>
      <c r="AP61" s="606"/>
      <c r="AQ61" s="606"/>
      <c r="AR61" s="606"/>
      <c r="AS61" s="606"/>
      <c r="AT61" s="606"/>
      <c r="AU61" s="606"/>
      <c r="AV61" s="606"/>
      <c r="AW61" s="606"/>
      <c r="AX61" s="606"/>
      <c r="AY61" s="606"/>
      <c r="AZ61" s="606"/>
    </row>
    <row r="62" spans="1:52" s="44" customFormat="1" ht="12.75" x14ac:dyDescent="0.2">
      <c r="A62" s="1187"/>
      <c r="B62" s="61"/>
      <c r="C62" s="61">
        <v>0</v>
      </c>
      <c r="D62" s="1189" t="s">
        <v>118</v>
      </c>
      <c r="E62" s="62">
        <v>0</v>
      </c>
      <c r="F62" s="1189" t="str">
        <f>IF(Stammblatt!$L$4=1,$Q$3,$R$3)</f>
        <v>Wochen</v>
      </c>
      <c r="G62" s="63">
        <v>0</v>
      </c>
      <c r="H62" s="1189" t="str">
        <f>IF(Stammblatt!$L$4=1,$Q$1,$R$1)</f>
        <v>je Einheit</v>
      </c>
      <c r="I62" s="1192">
        <f>C62*E62*G62</f>
        <v>0</v>
      </c>
      <c r="J62" s="1191"/>
      <c r="K62" s="80"/>
      <c r="L62" s="80"/>
      <c r="M62" s="80"/>
      <c r="N62" s="1199"/>
      <c r="O62" s="606"/>
      <c r="P62" s="606"/>
      <c r="Q62" s="610"/>
      <c r="R62" s="610"/>
      <c r="S62" s="610"/>
      <c r="T62" s="606"/>
      <c r="U62" s="606"/>
      <c r="V62" s="606"/>
      <c r="W62" s="606"/>
      <c r="X62" s="606"/>
      <c r="Y62" s="606"/>
      <c r="Z62" s="606"/>
      <c r="AA62" s="606"/>
      <c r="AB62" s="606"/>
      <c r="AC62" s="606"/>
      <c r="AD62" s="606"/>
      <c r="AE62" s="606"/>
      <c r="AF62" s="606"/>
      <c r="AG62" s="606"/>
      <c r="AH62" s="606"/>
      <c r="AI62" s="606"/>
      <c r="AJ62" s="606"/>
      <c r="AK62" s="606"/>
      <c r="AL62" s="606"/>
      <c r="AM62" s="606"/>
      <c r="AN62" s="606"/>
      <c r="AO62" s="606"/>
      <c r="AP62" s="606"/>
      <c r="AQ62" s="606"/>
      <c r="AR62" s="606"/>
      <c r="AS62" s="606"/>
      <c r="AT62" s="606"/>
      <c r="AU62" s="606"/>
      <c r="AV62" s="606"/>
      <c r="AW62" s="606"/>
      <c r="AX62" s="606"/>
      <c r="AY62" s="606"/>
      <c r="AZ62" s="606"/>
    </row>
    <row r="63" spans="1:52" s="44" customFormat="1" ht="12.75" x14ac:dyDescent="0.2">
      <c r="A63" s="1187"/>
      <c r="B63" s="61"/>
      <c r="C63" s="61">
        <v>0</v>
      </c>
      <c r="D63" s="1189" t="s">
        <v>118</v>
      </c>
      <c r="E63" s="62">
        <v>0</v>
      </c>
      <c r="F63" s="1189" t="str">
        <f>IF(Stammblatt!$L$4=1,$Q$3,$R$3)</f>
        <v>Wochen</v>
      </c>
      <c r="G63" s="63">
        <v>0</v>
      </c>
      <c r="H63" s="1189" t="str">
        <f>IF(Stammblatt!$L$4=1,$Q$1,$R$1)</f>
        <v>je Einheit</v>
      </c>
      <c r="I63" s="1192">
        <f>C63*E63*G63</f>
        <v>0</v>
      </c>
      <c r="J63" s="1191"/>
      <c r="K63" s="80"/>
      <c r="L63" s="80"/>
      <c r="M63" s="80"/>
      <c r="N63" s="1199"/>
      <c r="O63" s="606"/>
      <c r="P63" s="606"/>
      <c r="Q63" s="610"/>
      <c r="R63" s="610"/>
      <c r="S63" s="610"/>
      <c r="T63" s="606"/>
      <c r="U63" s="606"/>
      <c r="V63" s="606"/>
      <c r="W63" s="606"/>
      <c r="X63" s="606"/>
      <c r="Y63" s="606"/>
      <c r="Z63" s="606"/>
      <c r="AA63" s="606"/>
      <c r="AB63" s="606"/>
      <c r="AC63" s="606"/>
      <c r="AD63" s="606"/>
      <c r="AE63" s="606"/>
      <c r="AF63" s="606"/>
      <c r="AG63" s="606"/>
      <c r="AH63" s="606"/>
      <c r="AI63" s="606"/>
      <c r="AJ63" s="606"/>
      <c r="AK63" s="606"/>
      <c r="AL63" s="606"/>
      <c r="AM63" s="606"/>
      <c r="AN63" s="606"/>
      <c r="AO63" s="606"/>
      <c r="AP63" s="606"/>
      <c r="AQ63" s="606"/>
      <c r="AR63" s="606"/>
      <c r="AS63" s="606"/>
      <c r="AT63" s="606"/>
      <c r="AU63" s="606"/>
      <c r="AV63" s="606"/>
      <c r="AW63" s="606"/>
      <c r="AX63" s="606"/>
      <c r="AY63" s="606"/>
      <c r="AZ63" s="606"/>
    </row>
    <row r="64" spans="1:52" s="44" customFormat="1" ht="12.75" x14ac:dyDescent="0.2">
      <c r="A64" s="1187"/>
      <c r="B64" s="1191"/>
      <c r="C64" s="1191"/>
      <c r="D64" s="1191"/>
      <c r="E64" s="1191"/>
      <c r="F64" s="1191"/>
      <c r="G64" s="1191"/>
      <c r="H64" s="1191"/>
      <c r="I64" s="1191"/>
      <c r="J64" s="1191"/>
      <c r="K64" s="1191"/>
      <c r="L64" s="1191"/>
      <c r="M64" s="1191"/>
      <c r="N64" s="1199"/>
      <c r="O64" s="606"/>
      <c r="P64" s="606"/>
      <c r="Q64" s="610"/>
      <c r="R64" s="610"/>
      <c r="S64" s="610"/>
      <c r="T64" s="606"/>
      <c r="U64" s="606"/>
      <c r="V64" s="606"/>
      <c r="W64" s="606"/>
      <c r="X64" s="606"/>
      <c r="Y64" s="606"/>
      <c r="Z64" s="606"/>
      <c r="AA64" s="606"/>
      <c r="AB64" s="606"/>
      <c r="AC64" s="606"/>
      <c r="AD64" s="606"/>
      <c r="AE64" s="606"/>
      <c r="AF64" s="606"/>
      <c r="AG64" s="606"/>
      <c r="AH64" s="606"/>
      <c r="AI64" s="606"/>
      <c r="AJ64" s="606"/>
      <c r="AK64" s="606"/>
      <c r="AL64" s="606"/>
      <c r="AM64" s="606"/>
      <c r="AN64" s="606"/>
      <c r="AO64" s="606"/>
      <c r="AP64" s="606"/>
      <c r="AQ64" s="606"/>
      <c r="AR64" s="606"/>
      <c r="AS64" s="606"/>
      <c r="AT64" s="606"/>
      <c r="AU64" s="606"/>
      <c r="AV64" s="606"/>
      <c r="AW64" s="606"/>
      <c r="AX64" s="606"/>
      <c r="AY64" s="606"/>
      <c r="AZ64" s="606"/>
    </row>
    <row r="65" spans="1:52" s="44" customFormat="1" ht="12.75" x14ac:dyDescent="0.2">
      <c r="A65" s="1187"/>
      <c r="B65" s="1191" t="s">
        <v>889</v>
      </c>
      <c r="C65" s="1191"/>
      <c r="D65" s="1189"/>
      <c r="E65" s="1190"/>
      <c r="F65" s="1189"/>
      <c r="G65" s="1205"/>
      <c r="H65" s="1189"/>
      <c r="I65" s="80">
        <v>0</v>
      </c>
      <c r="J65" s="1191"/>
      <c r="K65" s="80"/>
      <c r="L65" s="80"/>
      <c r="M65" s="80"/>
      <c r="N65" s="1199"/>
      <c r="O65" s="606"/>
      <c r="P65" s="606"/>
      <c r="Q65" s="610"/>
      <c r="R65" s="610"/>
      <c r="S65" s="610"/>
      <c r="T65" s="606"/>
      <c r="U65" s="606"/>
      <c r="V65" s="606"/>
      <c r="W65" s="606"/>
      <c r="X65" s="606"/>
      <c r="Y65" s="606"/>
      <c r="Z65" s="606"/>
      <c r="AA65" s="606"/>
      <c r="AB65" s="606"/>
      <c r="AC65" s="606"/>
      <c r="AD65" s="606"/>
      <c r="AE65" s="606"/>
      <c r="AF65" s="606"/>
      <c r="AG65" s="606"/>
      <c r="AH65" s="606"/>
      <c r="AI65" s="606"/>
      <c r="AJ65" s="606"/>
      <c r="AK65" s="606"/>
      <c r="AL65" s="606"/>
      <c r="AM65" s="606"/>
      <c r="AN65" s="606"/>
      <c r="AO65" s="606"/>
      <c r="AP65" s="606"/>
      <c r="AQ65" s="606"/>
      <c r="AR65" s="606"/>
      <c r="AS65" s="606"/>
      <c r="AT65" s="606"/>
      <c r="AU65" s="606"/>
      <c r="AV65" s="606"/>
      <c r="AW65" s="606"/>
      <c r="AX65" s="606"/>
      <c r="AY65" s="606"/>
      <c r="AZ65" s="606"/>
    </row>
    <row r="66" spans="1:52" s="44" customFormat="1" ht="12.75" x14ac:dyDescent="0.2">
      <c r="A66" s="1187"/>
      <c r="B66" s="1191" t="str">
        <f>IF(Stammblatt!$L$4=1,Q66,R66)</f>
        <v>Frachten u. Rollgelder</v>
      </c>
      <c r="C66" s="1191"/>
      <c r="D66" s="1189"/>
      <c r="E66" s="1190"/>
      <c r="F66" s="1189"/>
      <c r="G66" s="1191"/>
      <c r="H66" s="1189"/>
      <c r="I66" s="80">
        <v>0</v>
      </c>
      <c r="J66" s="1191"/>
      <c r="K66" s="80"/>
      <c r="L66" s="80"/>
      <c r="M66" s="80"/>
      <c r="N66" s="1199"/>
      <c r="O66" s="606"/>
      <c r="P66" s="606"/>
      <c r="Q66" s="610" t="s">
        <v>120</v>
      </c>
      <c r="R66" s="610" t="s">
        <v>514</v>
      </c>
      <c r="S66" s="610"/>
      <c r="T66" s="606"/>
      <c r="U66" s="606"/>
      <c r="V66" s="606"/>
      <c r="W66" s="606"/>
      <c r="X66" s="606"/>
      <c r="Y66" s="606"/>
      <c r="Z66" s="606"/>
      <c r="AA66" s="606"/>
      <c r="AB66" s="606"/>
      <c r="AC66" s="606"/>
      <c r="AD66" s="606"/>
      <c r="AE66" s="606"/>
      <c r="AF66" s="606"/>
      <c r="AG66" s="606"/>
      <c r="AH66" s="606"/>
      <c r="AI66" s="606"/>
      <c r="AJ66" s="606"/>
      <c r="AK66" s="606"/>
      <c r="AL66" s="606"/>
      <c r="AM66" s="606"/>
      <c r="AN66" s="606"/>
      <c r="AO66" s="606"/>
      <c r="AP66" s="606"/>
      <c r="AQ66" s="606"/>
      <c r="AR66" s="606"/>
      <c r="AS66" s="606"/>
      <c r="AT66" s="606"/>
      <c r="AU66" s="606"/>
      <c r="AV66" s="606"/>
      <c r="AW66" s="606"/>
      <c r="AX66" s="606"/>
      <c r="AY66" s="606"/>
      <c r="AZ66" s="606"/>
    </row>
    <row r="67" spans="1:52" s="44" customFormat="1" ht="12.75" x14ac:dyDescent="0.2">
      <c r="A67" s="1187"/>
      <c r="B67" s="1191" t="str">
        <f>IF(Stammblatt!$L$4=1,Q67,R67)</f>
        <v>Taxis</v>
      </c>
      <c r="C67" s="1191"/>
      <c r="D67" s="1189"/>
      <c r="E67" s="1190"/>
      <c r="F67" s="1189"/>
      <c r="G67" s="1191"/>
      <c r="H67" s="1189"/>
      <c r="I67" s="80">
        <v>0</v>
      </c>
      <c r="J67" s="1191"/>
      <c r="K67" s="80"/>
      <c r="L67" s="80"/>
      <c r="M67" s="80"/>
      <c r="N67" s="1199"/>
      <c r="O67" s="606"/>
      <c r="P67" s="606"/>
      <c r="Q67" s="610" t="s">
        <v>121</v>
      </c>
      <c r="R67" s="610" t="s">
        <v>121</v>
      </c>
      <c r="S67" s="610"/>
      <c r="T67" s="606"/>
      <c r="U67" s="606"/>
      <c r="V67" s="606"/>
      <c r="W67" s="606"/>
      <c r="X67" s="606"/>
      <c r="Y67" s="606"/>
      <c r="Z67" s="606"/>
      <c r="AA67" s="606"/>
      <c r="AB67" s="606"/>
      <c r="AC67" s="606"/>
      <c r="AD67" s="606"/>
      <c r="AE67" s="606"/>
      <c r="AF67" s="606"/>
      <c r="AG67" s="606"/>
      <c r="AH67" s="606"/>
      <c r="AI67" s="606"/>
      <c r="AJ67" s="606"/>
      <c r="AK67" s="606"/>
      <c r="AL67" s="606"/>
      <c r="AM67" s="606"/>
      <c r="AN67" s="606"/>
      <c r="AO67" s="606"/>
      <c r="AP67" s="606"/>
      <c r="AQ67" s="606"/>
      <c r="AR67" s="606"/>
      <c r="AS67" s="606"/>
      <c r="AT67" s="606"/>
      <c r="AU67" s="606"/>
      <c r="AV67" s="606"/>
      <c r="AW67" s="606"/>
      <c r="AX67" s="606"/>
      <c r="AY67" s="606"/>
      <c r="AZ67" s="606"/>
    </row>
    <row r="68" spans="1:52" s="44" customFormat="1" ht="12.75" x14ac:dyDescent="0.2">
      <c r="A68" s="1187"/>
      <c r="B68" s="1191"/>
      <c r="C68" s="1191"/>
      <c r="D68" s="1189"/>
      <c r="E68" s="1190"/>
      <c r="F68" s="1189"/>
      <c r="G68" s="1191"/>
      <c r="H68" s="1189"/>
      <c r="I68" s="1192"/>
      <c r="J68" s="1191"/>
      <c r="K68" s="1192"/>
      <c r="L68" s="1192"/>
      <c r="M68" s="1192"/>
      <c r="N68" s="1199"/>
      <c r="O68" s="606"/>
      <c r="P68" s="606"/>
      <c r="Q68" s="610"/>
      <c r="R68" s="610"/>
      <c r="S68" s="610"/>
      <c r="T68" s="606"/>
      <c r="U68" s="606"/>
      <c r="V68" s="606"/>
      <c r="W68" s="606"/>
      <c r="X68" s="606"/>
      <c r="Y68" s="606"/>
      <c r="Z68" s="606"/>
      <c r="AA68" s="606"/>
      <c r="AB68" s="606"/>
      <c r="AC68" s="606"/>
      <c r="AD68" s="606"/>
      <c r="AE68" s="606"/>
      <c r="AF68" s="606"/>
      <c r="AG68" s="606"/>
      <c r="AH68" s="606"/>
      <c r="AI68" s="606"/>
      <c r="AJ68" s="606"/>
      <c r="AK68" s="606"/>
      <c r="AL68" s="606"/>
      <c r="AM68" s="606"/>
      <c r="AN68" s="606"/>
      <c r="AO68" s="606"/>
      <c r="AP68" s="606"/>
      <c r="AQ68" s="606"/>
      <c r="AR68" s="606"/>
      <c r="AS68" s="606"/>
      <c r="AT68" s="606"/>
      <c r="AU68" s="606"/>
      <c r="AV68" s="606"/>
      <c r="AW68" s="606"/>
      <c r="AX68" s="606"/>
      <c r="AY68" s="606"/>
      <c r="AZ68" s="606"/>
    </row>
    <row r="69" spans="1:52" s="47" customFormat="1" ht="12.75" x14ac:dyDescent="0.2">
      <c r="A69" s="1206"/>
      <c r="B69" s="1090" t="str">
        <f>IF(Stammblatt!$L$4=1,Q69,R69)</f>
        <v>Σ-Beförderungs- und Transportkosten, Frachten, Rollgelder und Taxis</v>
      </c>
      <c r="C69" s="1152"/>
      <c r="D69" s="1153"/>
      <c r="E69" s="1154"/>
      <c r="F69" s="1154"/>
      <c r="G69" s="900"/>
      <c r="H69" s="900"/>
      <c r="I69" s="1207">
        <f>SUM(I48:I68)</f>
        <v>0</v>
      </c>
      <c r="J69" s="1208"/>
      <c r="K69" s="1207">
        <f>SUM(K48:K68)</f>
        <v>0</v>
      </c>
      <c r="L69" s="1207">
        <f>SUM(L48:L68)</f>
        <v>0</v>
      </c>
      <c r="M69" s="1207">
        <f>SUM(M48:M68)</f>
        <v>0</v>
      </c>
      <c r="N69" s="1199"/>
      <c r="O69" s="609"/>
      <c r="P69" s="609"/>
      <c r="Q69" s="610" t="s">
        <v>226</v>
      </c>
      <c r="R69" s="610" t="s">
        <v>509</v>
      </c>
      <c r="S69" s="610"/>
      <c r="T69" s="609"/>
      <c r="U69" s="609"/>
      <c r="V69" s="609"/>
      <c r="W69" s="609"/>
      <c r="X69" s="609"/>
      <c r="Y69" s="609"/>
      <c r="Z69" s="609"/>
      <c r="AA69" s="609"/>
      <c r="AB69" s="609"/>
      <c r="AC69" s="609"/>
      <c r="AD69" s="609"/>
      <c r="AE69" s="609"/>
      <c r="AF69" s="609"/>
      <c r="AG69" s="609"/>
      <c r="AH69" s="609"/>
      <c r="AI69" s="609"/>
      <c r="AJ69" s="609"/>
      <c r="AK69" s="609"/>
      <c r="AL69" s="609"/>
      <c r="AM69" s="609"/>
      <c r="AN69" s="609"/>
      <c r="AO69" s="609"/>
      <c r="AP69" s="609"/>
      <c r="AQ69" s="609"/>
      <c r="AR69" s="609"/>
      <c r="AS69" s="609"/>
      <c r="AT69" s="609"/>
      <c r="AU69" s="609"/>
      <c r="AV69" s="609"/>
      <c r="AW69" s="609"/>
      <c r="AX69" s="609"/>
      <c r="AY69" s="609"/>
      <c r="AZ69" s="609"/>
    </row>
    <row r="70" spans="1:52" s="44" customFormat="1" ht="12.75" x14ac:dyDescent="0.2">
      <c r="A70" s="1187"/>
      <c r="B70" s="1191"/>
      <c r="C70" s="1191"/>
      <c r="D70" s="1189"/>
      <c r="E70" s="1190"/>
      <c r="F70" s="1189"/>
      <c r="G70" s="1191"/>
      <c r="H70" s="1189"/>
      <c r="I70" s="1192"/>
      <c r="J70" s="1191"/>
      <c r="K70" s="1192"/>
      <c r="L70" s="1192"/>
      <c r="M70" s="1192"/>
      <c r="N70" s="1199"/>
      <c r="O70" s="606"/>
      <c r="P70" s="606"/>
      <c r="Q70" s="610"/>
      <c r="R70" s="610"/>
      <c r="S70" s="610"/>
      <c r="T70" s="606"/>
      <c r="U70" s="606"/>
      <c r="V70" s="606"/>
      <c r="W70" s="606"/>
      <c r="X70" s="606"/>
      <c r="Y70" s="606"/>
      <c r="Z70" s="606"/>
      <c r="AA70" s="606"/>
      <c r="AB70" s="606"/>
      <c r="AC70" s="606"/>
      <c r="AD70" s="606"/>
      <c r="AE70" s="606"/>
      <c r="AF70" s="606"/>
      <c r="AG70" s="606"/>
      <c r="AH70" s="606"/>
      <c r="AI70" s="606"/>
      <c r="AJ70" s="606"/>
      <c r="AK70" s="606"/>
      <c r="AL70" s="606"/>
      <c r="AM70" s="606"/>
      <c r="AN70" s="606"/>
      <c r="AO70" s="606"/>
      <c r="AP70" s="606"/>
      <c r="AQ70" s="606"/>
      <c r="AR70" s="606"/>
      <c r="AS70" s="606"/>
      <c r="AT70" s="606"/>
      <c r="AU70" s="606"/>
      <c r="AV70" s="606"/>
      <c r="AW70" s="606"/>
      <c r="AX70" s="606"/>
      <c r="AY70" s="606"/>
      <c r="AZ70" s="606"/>
    </row>
    <row r="71" spans="1:52" s="44" customFormat="1" ht="12.75" x14ac:dyDescent="0.2">
      <c r="A71" s="1187"/>
      <c r="B71" s="1191"/>
      <c r="C71" s="1191"/>
      <c r="D71" s="1189"/>
      <c r="E71" s="1190"/>
      <c r="F71" s="1189"/>
      <c r="G71" s="1191"/>
      <c r="H71" s="1189"/>
      <c r="I71" s="1192"/>
      <c r="J71" s="1191"/>
      <c r="K71" s="1192"/>
      <c r="L71" s="1192"/>
      <c r="M71" s="1192"/>
      <c r="N71" s="1199"/>
      <c r="O71" s="606"/>
      <c r="P71" s="606"/>
      <c r="Q71" s="610"/>
      <c r="R71" s="610"/>
      <c r="S71" s="610"/>
      <c r="T71" s="606"/>
      <c r="U71" s="606"/>
      <c r="V71" s="606"/>
      <c r="W71" s="606"/>
      <c r="X71" s="606"/>
      <c r="Y71" s="606"/>
      <c r="Z71" s="606"/>
      <c r="AA71" s="606"/>
      <c r="AB71" s="606"/>
      <c r="AC71" s="606"/>
      <c r="AD71" s="606"/>
      <c r="AE71" s="606"/>
      <c r="AF71" s="606"/>
      <c r="AG71" s="606"/>
      <c r="AH71" s="606"/>
      <c r="AI71" s="606"/>
      <c r="AJ71" s="606"/>
      <c r="AK71" s="606"/>
      <c r="AL71" s="606"/>
      <c r="AM71" s="606"/>
      <c r="AN71" s="606"/>
      <c r="AO71" s="606"/>
      <c r="AP71" s="606"/>
      <c r="AQ71" s="606"/>
      <c r="AR71" s="606"/>
      <c r="AS71" s="606"/>
      <c r="AT71" s="606"/>
      <c r="AU71" s="606"/>
      <c r="AV71" s="606"/>
      <c r="AW71" s="606"/>
      <c r="AX71" s="606"/>
      <c r="AY71" s="606"/>
      <c r="AZ71" s="606"/>
    </row>
    <row r="72" spans="1:52" s="44" customFormat="1" ht="12.75" x14ac:dyDescent="0.2">
      <c r="A72" s="600"/>
      <c r="B72" s="601"/>
      <c r="C72" s="601"/>
      <c r="D72" s="604"/>
      <c r="E72" s="603"/>
      <c r="F72" s="604"/>
      <c r="G72" s="601"/>
      <c r="H72" s="604"/>
      <c r="I72" s="605"/>
      <c r="J72" s="601"/>
      <c r="K72" s="605"/>
      <c r="L72" s="605"/>
      <c r="M72" s="605"/>
      <c r="N72" s="602"/>
      <c r="O72" s="606"/>
      <c r="P72" s="606"/>
      <c r="Q72" s="610"/>
      <c r="R72" s="610"/>
      <c r="S72" s="610"/>
      <c r="T72" s="606"/>
      <c r="U72" s="606"/>
      <c r="V72" s="606"/>
      <c r="W72" s="606"/>
      <c r="X72" s="606"/>
      <c r="Y72" s="606"/>
      <c r="Z72" s="606"/>
      <c r="AA72" s="606"/>
      <c r="AB72" s="606"/>
      <c r="AC72" s="606"/>
      <c r="AD72" s="606"/>
      <c r="AE72" s="606"/>
      <c r="AF72" s="606"/>
      <c r="AG72" s="606"/>
      <c r="AH72" s="606"/>
      <c r="AI72" s="606"/>
      <c r="AJ72" s="606"/>
      <c r="AK72" s="606"/>
      <c r="AL72" s="606"/>
      <c r="AM72" s="606"/>
      <c r="AN72" s="606"/>
      <c r="AO72" s="606"/>
      <c r="AP72" s="606"/>
      <c r="AQ72" s="606"/>
      <c r="AR72" s="606"/>
      <c r="AS72" s="606"/>
      <c r="AT72" s="606"/>
      <c r="AU72" s="606"/>
      <c r="AV72" s="606"/>
      <c r="AW72" s="606"/>
      <c r="AX72" s="606"/>
      <c r="AY72" s="606"/>
      <c r="AZ72" s="606"/>
    </row>
    <row r="73" spans="1:52" s="44" customFormat="1" ht="12.75" x14ac:dyDescent="0.2">
      <c r="A73" s="600"/>
      <c r="B73" s="601"/>
      <c r="C73" s="601"/>
      <c r="D73" s="604"/>
      <c r="E73" s="603"/>
      <c r="F73" s="604"/>
      <c r="G73" s="601"/>
      <c r="H73" s="604"/>
      <c r="I73" s="605"/>
      <c r="J73" s="601"/>
      <c r="K73" s="605"/>
      <c r="L73" s="605"/>
      <c r="M73" s="605"/>
      <c r="N73" s="602"/>
      <c r="O73" s="606"/>
      <c r="P73" s="606"/>
      <c r="Q73" s="599"/>
      <c r="R73" s="599"/>
      <c r="S73" s="606"/>
      <c r="T73" s="606"/>
      <c r="U73" s="606"/>
      <c r="V73" s="606"/>
      <c r="W73" s="606"/>
      <c r="X73" s="606"/>
      <c r="Y73" s="606"/>
      <c r="Z73" s="606"/>
      <c r="AA73" s="606"/>
      <c r="AB73" s="606"/>
      <c r="AC73" s="606"/>
      <c r="AD73" s="606"/>
      <c r="AE73" s="606"/>
      <c r="AF73" s="606"/>
      <c r="AG73" s="606"/>
      <c r="AH73" s="606"/>
      <c r="AI73" s="606"/>
      <c r="AJ73" s="606"/>
      <c r="AK73" s="606"/>
      <c r="AL73" s="606"/>
      <c r="AM73" s="606"/>
      <c r="AN73" s="606"/>
      <c r="AO73" s="606"/>
      <c r="AP73" s="606"/>
      <c r="AQ73" s="606"/>
      <c r="AR73" s="606"/>
      <c r="AS73" s="606"/>
      <c r="AT73" s="606"/>
      <c r="AU73" s="606"/>
      <c r="AV73" s="606"/>
      <c r="AW73" s="606"/>
      <c r="AX73" s="606"/>
      <c r="AY73" s="606"/>
      <c r="AZ73" s="606"/>
    </row>
    <row r="74" spans="1:52" s="44" customFormat="1" ht="12.75" x14ac:dyDescent="0.2">
      <c r="A74" s="600"/>
      <c r="B74" s="601"/>
      <c r="C74" s="601"/>
      <c r="D74" s="604"/>
      <c r="E74" s="603"/>
      <c r="F74" s="604"/>
      <c r="G74" s="601"/>
      <c r="H74" s="604"/>
      <c r="I74" s="605"/>
      <c r="J74" s="601"/>
      <c r="K74" s="605"/>
      <c r="L74" s="605"/>
      <c r="M74" s="605"/>
      <c r="N74" s="602"/>
      <c r="O74" s="606"/>
      <c r="P74" s="606"/>
      <c r="Q74" s="599"/>
      <c r="R74" s="599"/>
      <c r="S74" s="606"/>
      <c r="T74" s="606"/>
      <c r="U74" s="606"/>
      <c r="V74" s="606"/>
      <c r="W74" s="606"/>
      <c r="X74" s="606"/>
      <c r="Y74" s="606"/>
      <c r="Z74" s="606"/>
      <c r="AA74" s="606"/>
      <c r="AB74" s="606"/>
      <c r="AC74" s="606"/>
      <c r="AD74" s="606"/>
      <c r="AE74" s="606"/>
      <c r="AF74" s="606"/>
      <c r="AG74" s="606"/>
      <c r="AH74" s="606"/>
      <c r="AI74" s="606"/>
      <c r="AJ74" s="606"/>
      <c r="AK74" s="606"/>
      <c r="AL74" s="606"/>
      <c r="AM74" s="606"/>
      <c r="AN74" s="606"/>
      <c r="AO74" s="606"/>
      <c r="AP74" s="606"/>
      <c r="AQ74" s="606"/>
      <c r="AR74" s="606"/>
      <c r="AS74" s="606"/>
      <c r="AT74" s="606"/>
      <c r="AU74" s="606"/>
      <c r="AV74" s="606"/>
      <c r="AW74" s="606"/>
      <c r="AX74" s="606"/>
      <c r="AY74" s="606"/>
      <c r="AZ74" s="606"/>
    </row>
    <row r="75" spans="1:52" s="44" customFormat="1" ht="12.75" x14ac:dyDescent="0.2">
      <c r="A75" s="613"/>
      <c r="B75" s="601"/>
      <c r="C75" s="601"/>
      <c r="D75" s="604"/>
      <c r="E75" s="603"/>
      <c r="F75" s="604"/>
      <c r="G75" s="601"/>
      <c r="H75" s="604"/>
      <c r="I75" s="605"/>
      <c r="J75" s="601"/>
      <c r="K75" s="605"/>
      <c r="L75" s="605"/>
      <c r="M75" s="605"/>
      <c r="N75" s="602"/>
      <c r="O75" s="606"/>
      <c r="P75" s="606"/>
      <c r="Q75" s="599"/>
      <c r="R75" s="599"/>
      <c r="S75" s="606"/>
      <c r="T75" s="606"/>
      <c r="U75" s="606"/>
      <c r="V75" s="606"/>
      <c r="W75" s="606"/>
      <c r="X75" s="606"/>
      <c r="Y75" s="606"/>
      <c r="Z75" s="606"/>
      <c r="AA75" s="606"/>
      <c r="AB75" s="606"/>
      <c r="AC75" s="606"/>
      <c r="AD75" s="606"/>
      <c r="AE75" s="606"/>
      <c r="AF75" s="606"/>
      <c r="AG75" s="606"/>
      <c r="AH75" s="606"/>
      <c r="AI75" s="606"/>
      <c r="AJ75" s="606"/>
      <c r="AK75" s="606"/>
      <c r="AL75" s="606"/>
      <c r="AM75" s="606"/>
      <c r="AN75" s="606"/>
      <c r="AO75" s="606"/>
      <c r="AP75" s="606"/>
      <c r="AQ75" s="606"/>
      <c r="AR75" s="606"/>
      <c r="AS75" s="606"/>
      <c r="AT75" s="606"/>
      <c r="AU75" s="606"/>
      <c r="AV75" s="606"/>
      <c r="AW75" s="606"/>
      <c r="AX75" s="606"/>
      <c r="AY75" s="606"/>
      <c r="AZ75" s="606"/>
    </row>
    <row r="76" spans="1:52" s="44" customFormat="1" ht="12.75" x14ac:dyDescent="0.2">
      <c r="A76" s="613"/>
      <c r="B76" s="601"/>
      <c r="C76" s="601"/>
      <c r="D76" s="604"/>
      <c r="E76" s="603"/>
      <c r="F76" s="604"/>
      <c r="G76" s="601"/>
      <c r="H76" s="604"/>
      <c r="I76" s="605"/>
      <c r="J76" s="601"/>
      <c r="K76" s="605"/>
      <c r="L76" s="605"/>
      <c r="M76" s="605"/>
      <c r="N76" s="602"/>
      <c r="O76" s="606"/>
      <c r="P76" s="606"/>
      <c r="Q76" s="599"/>
      <c r="R76" s="599"/>
      <c r="S76" s="606"/>
      <c r="T76" s="606"/>
      <c r="U76" s="606"/>
      <c r="V76" s="606"/>
      <c r="W76" s="606"/>
      <c r="X76" s="606"/>
      <c r="Y76" s="606"/>
      <c r="Z76" s="606"/>
      <c r="AA76" s="606"/>
      <c r="AB76" s="606"/>
      <c r="AC76" s="606"/>
      <c r="AD76" s="606"/>
      <c r="AE76" s="606"/>
      <c r="AF76" s="606"/>
      <c r="AG76" s="606"/>
      <c r="AH76" s="606"/>
      <c r="AI76" s="606"/>
      <c r="AJ76" s="606"/>
      <c r="AK76" s="606"/>
      <c r="AL76" s="606"/>
      <c r="AM76" s="606"/>
      <c r="AN76" s="606"/>
      <c r="AO76" s="606"/>
      <c r="AP76" s="606"/>
      <c r="AQ76" s="606"/>
      <c r="AR76" s="606"/>
      <c r="AS76" s="606"/>
      <c r="AT76" s="606"/>
      <c r="AU76" s="606"/>
      <c r="AV76" s="606"/>
      <c r="AW76" s="606"/>
      <c r="AX76" s="606"/>
      <c r="AY76" s="606"/>
      <c r="AZ76" s="606"/>
    </row>
    <row r="77" spans="1:52" s="44" customFormat="1" ht="12.75" x14ac:dyDescent="0.2">
      <c r="A77" s="613"/>
      <c r="B77" s="601"/>
      <c r="C77" s="601"/>
      <c r="D77" s="604"/>
      <c r="E77" s="603"/>
      <c r="F77" s="604"/>
      <c r="G77" s="601"/>
      <c r="H77" s="604"/>
      <c r="I77" s="605"/>
      <c r="J77" s="601"/>
      <c r="K77" s="605"/>
      <c r="L77" s="605"/>
      <c r="M77" s="605"/>
      <c r="N77" s="602"/>
      <c r="O77" s="606"/>
      <c r="P77" s="606"/>
      <c r="Q77" s="599"/>
      <c r="R77" s="599"/>
      <c r="S77" s="606"/>
      <c r="T77" s="606"/>
      <c r="U77" s="606"/>
      <c r="V77" s="606"/>
      <c r="W77" s="606"/>
      <c r="X77" s="606"/>
      <c r="Y77" s="606"/>
      <c r="Z77" s="606"/>
      <c r="AA77" s="606"/>
      <c r="AB77" s="606"/>
      <c r="AC77" s="606"/>
      <c r="AD77" s="606"/>
      <c r="AE77" s="606"/>
      <c r="AF77" s="606"/>
      <c r="AG77" s="606"/>
      <c r="AH77" s="606"/>
      <c r="AI77" s="606"/>
      <c r="AJ77" s="606"/>
      <c r="AK77" s="606"/>
      <c r="AL77" s="606"/>
      <c r="AM77" s="606"/>
      <c r="AN77" s="606"/>
      <c r="AO77" s="606"/>
      <c r="AP77" s="606"/>
      <c r="AQ77" s="606"/>
      <c r="AR77" s="606"/>
      <c r="AS77" s="606"/>
      <c r="AT77" s="606"/>
      <c r="AU77" s="606"/>
      <c r="AV77" s="606"/>
      <c r="AW77" s="606"/>
      <c r="AX77" s="606"/>
      <c r="AY77" s="606"/>
      <c r="AZ77" s="606"/>
    </row>
    <row r="78" spans="1:52" s="44" customFormat="1" ht="12.75" x14ac:dyDescent="0.2">
      <c r="A78" s="613"/>
      <c r="B78" s="601"/>
      <c r="C78" s="601"/>
      <c r="D78" s="604"/>
      <c r="E78" s="603"/>
      <c r="F78" s="604"/>
      <c r="G78" s="601"/>
      <c r="H78" s="604"/>
      <c r="I78" s="605"/>
      <c r="J78" s="601"/>
      <c r="K78" s="605"/>
      <c r="L78" s="605"/>
      <c r="M78" s="605"/>
      <c r="N78" s="602"/>
      <c r="O78" s="606"/>
      <c r="P78" s="606"/>
      <c r="Q78" s="599"/>
      <c r="R78" s="599"/>
      <c r="S78" s="606"/>
      <c r="T78" s="606"/>
      <c r="U78" s="606"/>
      <c r="V78" s="606"/>
      <c r="W78" s="606"/>
      <c r="X78" s="606"/>
      <c r="Y78" s="606"/>
      <c r="Z78" s="606"/>
      <c r="AA78" s="606"/>
      <c r="AB78" s="606"/>
      <c r="AC78" s="606"/>
      <c r="AD78" s="606"/>
      <c r="AE78" s="606"/>
      <c r="AF78" s="606"/>
      <c r="AG78" s="606"/>
      <c r="AH78" s="606"/>
      <c r="AI78" s="606"/>
      <c r="AJ78" s="606"/>
      <c r="AK78" s="606"/>
      <c r="AL78" s="606"/>
      <c r="AM78" s="606"/>
      <c r="AN78" s="606"/>
      <c r="AO78" s="606"/>
      <c r="AP78" s="606"/>
      <c r="AQ78" s="606"/>
      <c r="AR78" s="606"/>
      <c r="AS78" s="606"/>
      <c r="AT78" s="606"/>
      <c r="AU78" s="606"/>
      <c r="AV78" s="606"/>
      <c r="AW78" s="606"/>
      <c r="AX78" s="606"/>
      <c r="AY78" s="606"/>
      <c r="AZ78" s="606"/>
    </row>
    <row r="79" spans="1:52" s="44" customFormat="1" ht="12.75" x14ac:dyDescent="0.2">
      <c r="A79" s="613"/>
      <c r="B79" s="601"/>
      <c r="C79" s="601"/>
      <c r="D79" s="604"/>
      <c r="E79" s="603"/>
      <c r="F79" s="604"/>
      <c r="G79" s="601"/>
      <c r="H79" s="604"/>
      <c r="I79" s="605"/>
      <c r="J79" s="601"/>
      <c r="K79" s="605"/>
      <c r="L79" s="605"/>
      <c r="M79" s="605"/>
      <c r="N79" s="602"/>
      <c r="O79" s="606"/>
      <c r="P79" s="606"/>
      <c r="Q79" s="599"/>
      <c r="R79" s="599"/>
      <c r="S79" s="606"/>
      <c r="T79" s="606"/>
      <c r="U79" s="606"/>
      <c r="V79" s="606"/>
      <c r="W79" s="606"/>
      <c r="X79" s="606"/>
      <c r="Y79" s="606"/>
      <c r="Z79" s="606"/>
      <c r="AA79" s="606"/>
      <c r="AB79" s="606"/>
      <c r="AC79" s="606"/>
      <c r="AD79" s="606"/>
      <c r="AE79" s="606"/>
      <c r="AF79" s="606"/>
      <c r="AG79" s="606"/>
      <c r="AH79" s="606"/>
      <c r="AI79" s="606"/>
      <c r="AJ79" s="606"/>
      <c r="AK79" s="606"/>
      <c r="AL79" s="606"/>
      <c r="AM79" s="606"/>
      <c r="AN79" s="606"/>
      <c r="AO79" s="606"/>
      <c r="AP79" s="606"/>
      <c r="AQ79" s="606"/>
      <c r="AR79" s="606"/>
      <c r="AS79" s="606"/>
      <c r="AT79" s="606"/>
      <c r="AU79" s="606"/>
      <c r="AV79" s="606"/>
      <c r="AW79" s="606"/>
      <c r="AX79" s="606"/>
      <c r="AY79" s="606"/>
      <c r="AZ79" s="606"/>
    </row>
    <row r="80" spans="1:52" s="44" customFormat="1" ht="12.75" x14ac:dyDescent="0.2">
      <c r="A80" s="613"/>
      <c r="B80" s="601"/>
      <c r="C80" s="601"/>
      <c r="D80" s="604"/>
      <c r="E80" s="603"/>
      <c r="F80" s="604"/>
      <c r="G80" s="601"/>
      <c r="H80" s="604"/>
      <c r="I80" s="605"/>
      <c r="J80" s="601"/>
      <c r="K80" s="605"/>
      <c r="L80" s="605"/>
      <c r="M80" s="605"/>
      <c r="N80" s="602"/>
      <c r="O80" s="606"/>
      <c r="P80" s="606"/>
      <c r="Q80" s="599"/>
      <c r="R80" s="599"/>
      <c r="S80" s="606"/>
      <c r="T80" s="606"/>
      <c r="U80" s="606"/>
      <c r="V80" s="606"/>
      <c r="W80" s="606"/>
      <c r="X80" s="606"/>
      <c r="Y80" s="606"/>
      <c r="Z80" s="606"/>
      <c r="AA80" s="606"/>
      <c r="AB80" s="606"/>
      <c r="AC80" s="606"/>
      <c r="AD80" s="606"/>
      <c r="AE80" s="606"/>
      <c r="AF80" s="606"/>
      <c r="AG80" s="606"/>
      <c r="AH80" s="606"/>
      <c r="AI80" s="606"/>
      <c r="AJ80" s="606"/>
      <c r="AK80" s="606"/>
      <c r="AL80" s="606"/>
      <c r="AM80" s="606"/>
      <c r="AN80" s="606"/>
      <c r="AO80" s="606"/>
      <c r="AP80" s="606"/>
      <c r="AQ80" s="606"/>
      <c r="AR80" s="606"/>
      <c r="AS80" s="606"/>
      <c r="AT80" s="606"/>
      <c r="AU80" s="606"/>
      <c r="AV80" s="606"/>
      <c r="AW80" s="606"/>
      <c r="AX80" s="606"/>
      <c r="AY80" s="606"/>
      <c r="AZ80" s="606"/>
    </row>
    <row r="81" spans="1:52" s="44" customFormat="1" ht="12.75" x14ac:dyDescent="0.2">
      <c r="A81" s="613"/>
      <c r="B81" s="601"/>
      <c r="C81" s="601"/>
      <c r="D81" s="604"/>
      <c r="E81" s="603"/>
      <c r="F81" s="604"/>
      <c r="G81" s="601"/>
      <c r="H81" s="604"/>
      <c r="I81" s="605"/>
      <c r="J81" s="601"/>
      <c r="K81" s="605"/>
      <c r="L81" s="605"/>
      <c r="M81" s="605"/>
      <c r="N81" s="602"/>
      <c r="O81" s="606"/>
      <c r="P81" s="606"/>
      <c r="Q81" s="599"/>
      <c r="R81" s="599"/>
      <c r="S81" s="606"/>
      <c r="T81" s="606"/>
      <c r="U81" s="606"/>
      <c r="V81" s="606"/>
      <c r="W81" s="606"/>
      <c r="X81" s="606"/>
      <c r="Y81" s="606"/>
      <c r="Z81" s="606"/>
      <c r="AA81" s="606"/>
      <c r="AB81" s="606"/>
      <c r="AC81" s="606"/>
      <c r="AD81" s="606"/>
      <c r="AE81" s="606"/>
      <c r="AF81" s="606"/>
      <c r="AG81" s="606"/>
      <c r="AH81" s="606"/>
      <c r="AI81" s="606"/>
      <c r="AJ81" s="606"/>
      <c r="AK81" s="606"/>
      <c r="AL81" s="606"/>
      <c r="AM81" s="606"/>
      <c r="AN81" s="606"/>
      <c r="AO81" s="606"/>
      <c r="AP81" s="606"/>
      <c r="AQ81" s="606"/>
      <c r="AR81" s="606"/>
      <c r="AS81" s="606"/>
      <c r="AT81" s="606"/>
      <c r="AU81" s="606"/>
      <c r="AV81" s="606"/>
      <c r="AW81" s="606"/>
      <c r="AX81" s="606"/>
      <c r="AY81" s="606"/>
      <c r="AZ81" s="606"/>
    </row>
    <row r="82" spans="1:52" s="44" customFormat="1" ht="12.75" x14ac:dyDescent="0.2">
      <c r="A82" s="613"/>
      <c r="B82" s="601"/>
      <c r="C82" s="601"/>
      <c r="D82" s="604"/>
      <c r="E82" s="603"/>
      <c r="F82" s="604"/>
      <c r="G82" s="601"/>
      <c r="H82" s="604"/>
      <c r="I82" s="605"/>
      <c r="J82" s="601"/>
      <c r="K82" s="605"/>
      <c r="L82" s="605"/>
      <c r="M82" s="605"/>
      <c r="N82" s="602"/>
      <c r="O82" s="606"/>
      <c r="P82" s="606"/>
      <c r="Q82" s="599"/>
      <c r="R82" s="599"/>
      <c r="S82" s="606"/>
      <c r="T82" s="606"/>
      <c r="U82" s="606"/>
      <c r="V82" s="606"/>
      <c r="W82" s="606"/>
      <c r="X82" s="606"/>
      <c r="Y82" s="606"/>
      <c r="Z82" s="606"/>
      <c r="AA82" s="606"/>
      <c r="AB82" s="606"/>
      <c r="AC82" s="606"/>
      <c r="AD82" s="606"/>
      <c r="AE82" s="606"/>
      <c r="AF82" s="606"/>
      <c r="AG82" s="606"/>
      <c r="AH82" s="606"/>
      <c r="AI82" s="606"/>
      <c r="AJ82" s="606"/>
      <c r="AK82" s="606"/>
      <c r="AL82" s="606"/>
      <c r="AM82" s="606"/>
      <c r="AN82" s="606"/>
      <c r="AO82" s="606"/>
      <c r="AP82" s="606"/>
      <c r="AQ82" s="606"/>
      <c r="AR82" s="606"/>
      <c r="AS82" s="606"/>
      <c r="AT82" s="606"/>
      <c r="AU82" s="606"/>
      <c r="AV82" s="606"/>
      <c r="AW82" s="606"/>
      <c r="AX82" s="606"/>
      <c r="AY82" s="606"/>
      <c r="AZ82" s="606"/>
    </row>
    <row r="83" spans="1:52" s="44" customFormat="1" ht="12.75" x14ac:dyDescent="0.2">
      <c r="A83" s="613"/>
      <c r="B83" s="601"/>
      <c r="C83" s="601"/>
      <c r="D83" s="604"/>
      <c r="E83" s="603"/>
      <c r="F83" s="604"/>
      <c r="G83" s="601"/>
      <c r="H83" s="604"/>
      <c r="I83" s="605"/>
      <c r="J83" s="601"/>
      <c r="K83" s="605"/>
      <c r="L83" s="605"/>
      <c r="M83" s="605"/>
      <c r="N83" s="602"/>
      <c r="O83" s="606"/>
      <c r="P83" s="606"/>
      <c r="Q83" s="599"/>
      <c r="R83" s="599"/>
      <c r="S83" s="606"/>
      <c r="T83" s="606"/>
      <c r="U83" s="606"/>
      <c r="V83" s="606"/>
      <c r="W83" s="606"/>
      <c r="X83" s="606"/>
      <c r="Y83" s="606"/>
      <c r="Z83" s="606"/>
      <c r="AA83" s="606"/>
      <c r="AB83" s="606"/>
      <c r="AC83" s="606"/>
      <c r="AD83" s="606"/>
      <c r="AE83" s="606"/>
      <c r="AF83" s="606"/>
      <c r="AG83" s="606"/>
      <c r="AH83" s="606"/>
      <c r="AI83" s="606"/>
      <c r="AJ83" s="606"/>
      <c r="AK83" s="606"/>
      <c r="AL83" s="606"/>
      <c r="AM83" s="606"/>
      <c r="AN83" s="606"/>
      <c r="AO83" s="606"/>
      <c r="AP83" s="606"/>
      <c r="AQ83" s="606"/>
      <c r="AR83" s="606"/>
      <c r="AS83" s="606"/>
      <c r="AT83" s="606"/>
      <c r="AU83" s="606"/>
      <c r="AV83" s="606"/>
      <c r="AW83" s="606"/>
      <c r="AX83" s="606"/>
      <c r="AY83" s="606"/>
      <c r="AZ83" s="606"/>
    </row>
    <row r="84" spans="1:52" s="44" customFormat="1" ht="12.75" x14ac:dyDescent="0.2">
      <c r="A84" s="613"/>
      <c r="B84" s="601"/>
      <c r="C84" s="601"/>
      <c r="D84" s="604"/>
      <c r="E84" s="603"/>
      <c r="F84" s="604"/>
      <c r="G84" s="601"/>
      <c r="H84" s="604"/>
      <c r="I84" s="605"/>
      <c r="J84" s="601"/>
      <c r="K84" s="605"/>
      <c r="L84" s="605"/>
      <c r="M84" s="605"/>
      <c r="N84" s="602"/>
      <c r="O84" s="606"/>
      <c r="P84" s="606"/>
      <c r="Q84" s="599"/>
      <c r="R84" s="599"/>
      <c r="S84" s="606"/>
      <c r="T84" s="606"/>
      <c r="U84" s="606"/>
      <c r="V84" s="606"/>
      <c r="W84" s="606"/>
      <c r="X84" s="606"/>
      <c r="Y84" s="606"/>
      <c r="Z84" s="606"/>
      <c r="AA84" s="606"/>
      <c r="AB84" s="606"/>
      <c r="AC84" s="606"/>
      <c r="AD84" s="606"/>
      <c r="AE84" s="606"/>
      <c r="AF84" s="606"/>
      <c r="AG84" s="606"/>
      <c r="AH84" s="606"/>
      <c r="AI84" s="606"/>
      <c r="AJ84" s="606"/>
      <c r="AK84" s="606"/>
      <c r="AL84" s="606"/>
      <c r="AM84" s="606"/>
      <c r="AN84" s="606"/>
      <c r="AO84" s="606"/>
      <c r="AP84" s="606"/>
      <c r="AQ84" s="606"/>
      <c r="AR84" s="606"/>
      <c r="AS84" s="606"/>
      <c r="AT84" s="606"/>
      <c r="AU84" s="606"/>
      <c r="AV84" s="606"/>
      <c r="AW84" s="606"/>
      <c r="AX84" s="606"/>
      <c r="AY84" s="606"/>
      <c r="AZ84" s="606"/>
    </row>
    <row r="85" spans="1:52" s="44" customFormat="1" ht="12.75" x14ac:dyDescent="0.2">
      <c r="A85" s="613"/>
      <c r="B85" s="601"/>
      <c r="C85" s="601"/>
      <c r="D85" s="604"/>
      <c r="E85" s="603"/>
      <c r="F85" s="604"/>
      <c r="G85" s="601"/>
      <c r="H85" s="604"/>
      <c r="I85" s="605"/>
      <c r="J85" s="601"/>
      <c r="K85" s="605"/>
      <c r="L85" s="605"/>
      <c r="M85" s="605"/>
      <c r="N85" s="602"/>
      <c r="O85" s="606"/>
      <c r="P85" s="606"/>
      <c r="Q85" s="599"/>
      <c r="R85" s="599"/>
      <c r="S85" s="606"/>
      <c r="T85" s="606"/>
      <c r="U85" s="606"/>
      <c r="V85" s="606"/>
      <c r="W85" s="606"/>
      <c r="X85" s="606"/>
      <c r="Y85" s="606"/>
      <c r="Z85" s="606"/>
      <c r="AA85" s="606"/>
      <c r="AB85" s="606"/>
      <c r="AC85" s="606"/>
      <c r="AD85" s="606"/>
      <c r="AE85" s="606"/>
      <c r="AF85" s="606"/>
      <c r="AG85" s="606"/>
      <c r="AH85" s="606"/>
      <c r="AI85" s="606"/>
      <c r="AJ85" s="606"/>
      <c r="AK85" s="606"/>
      <c r="AL85" s="606"/>
      <c r="AM85" s="606"/>
      <c r="AN85" s="606"/>
      <c r="AO85" s="606"/>
      <c r="AP85" s="606"/>
      <c r="AQ85" s="606"/>
      <c r="AR85" s="606"/>
      <c r="AS85" s="606"/>
      <c r="AT85" s="606"/>
      <c r="AU85" s="606"/>
      <c r="AV85" s="606"/>
      <c r="AW85" s="606"/>
      <c r="AX85" s="606"/>
      <c r="AY85" s="606"/>
      <c r="AZ85" s="606"/>
    </row>
    <row r="86" spans="1:52" s="44" customFormat="1" ht="12.75" x14ac:dyDescent="0.2">
      <c r="A86" s="613"/>
      <c r="B86" s="601"/>
      <c r="C86" s="601"/>
      <c r="D86" s="604"/>
      <c r="E86" s="603"/>
      <c r="F86" s="604"/>
      <c r="G86" s="601"/>
      <c r="H86" s="604"/>
      <c r="I86" s="605"/>
      <c r="J86" s="601"/>
      <c r="K86" s="605"/>
      <c r="L86" s="605"/>
      <c r="M86" s="605"/>
      <c r="N86" s="602"/>
      <c r="O86" s="606"/>
      <c r="P86" s="606"/>
      <c r="Q86" s="599"/>
      <c r="R86" s="599"/>
      <c r="S86" s="606"/>
      <c r="T86" s="606"/>
      <c r="U86" s="606"/>
      <c r="V86" s="606"/>
      <c r="W86" s="606"/>
      <c r="X86" s="606"/>
      <c r="Y86" s="606"/>
      <c r="Z86" s="606"/>
      <c r="AA86" s="606"/>
      <c r="AB86" s="606"/>
      <c r="AC86" s="606"/>
      <c r="AD86" s="606"/>
      <c r="AE86" s="606"/>
      <c r="AF86" s="606"/>
      <c r="AG86" s="606"/>
      <c r="AH86" s="606"/>
      <c r="AI86" s="606"/>
      <c r="AJ86" s="606"/>
      <c r="AK86" s="606"/>
      <c r="AL86" s="606"/>
      <c r="AM86" s="606"/>
      <c r="AN86" s="606"/>
      <c r="AO86" s="606"/>
      <c r="AP86" s="606"/>
      <c r="AQ86" s="606"/>
      <c r="AR86" s="606"/>
      <c r="AS86" s="606"/>
      <c r="AT86" s="606"/>
      <c r="AU86" s="606"/>
      <c r="AV86" s="606"/>
      <c r="AW86" s="606"/>
      <c r="AX86" s="606"/>
      <c r="AY86" s="606"/>
      <c r="AZ86" s="606"/>
    </row>
    <row r="87" spans="1:52" s="44" customFormat="1" ht="12.75" x14ac:dyDescent="0.2">
      <c r="A87" s="613"/>
      <c r="B87" s="601"/>
      <c r="C87" s="601"/>
      <c r="D87" s="604"/>
      <c r="E87" s="603"/>
      <c r="F87" s="604"/>
      <c r="G87" s="601"/>
      <c r="H87" s="604"/>
      <c r="I87" s="605"/>
      <c r="J87" s="601"/>
      <c r="K87" s="605"/>
      <c r="L87" s="605"/>
      <c r="M87" s="605"/>
      <c r="N87" s="602"/>
      <c r="O87" s="606"/>
      <c r="P87" s="606"/>
      <c r="Q87" s="599"/>
      <c r="R87" s="599"/>
      <c r="S87" s="606"/>
      <c r="T87" s="606"/>
      <c r="U87" s="606"/>
      <c r="V87" s="606"/>
      <c r="W87" s="606"/>
      <c r="X87" s="606"/>
      <c r="Y87" s="606"/>
      <c r="Z87" s="606"/>
      <c r="AA87" s="606"/>
      <c r="AB87" s="606"/>
      <c r="AC87" s="606"/>
      <c r="AD87" s="606"/>
      <c r="AE87" s="606"/>
      <c r="AF87" s="606"/>
      <c r="AG87" s="606"/>
      <c r="AH87" s="606"/>
      <c r="AI87" s="606"/>
      <c r="AJ87" s="606"/>
      <c r="AK87" s="606"/>
      <c r="AL87" s="606"/>
      <c r="AM87" s="606"/>
      <c r="AN87" s="606"/>
      <c r="AO87" s="606"/>
      <c r="AP87" s="606"/>
      <c r="AQ87" s="606"/>
      <c r="AR87" s="606"/>
      <c r="AS87" s="606"/>
      <c r="AT87" s="606"/>
      <c r="AU87" s="606"/>
      <c r="AV87" s="606"/>
      <c r="AW87" s="606"/>
      <c r="AX87" s="606"/>
      <c r="AY87" s="606"/>
      <c r="AZ87" s="606"/>
    </row>
    <row r="88" spans="1:52" s="44" customFormat="1" ht="12.75" x14ac:dyDescent="0.2">
      <c r="A88" s="613"/>
      <c r="B88" s="601"/>
      <c r="C88" s="601"/>
      <c r="D88" s="604"/>
      <c r="E88" s="603"/>
      <c r="F88" s="604"/>
      <c r="G88" s="601"/>
      <c r="H88" s="604"/>
      <c r="I88" s="605"/>
      <c r="J88" s="601"/>
      <c r="K88" s="605"/>
      <c r="L88" s="605"/>
      <c r="M88" s="605"/>
      <c r="N88" s="602"/>
      <c r="O88" s="606"/>
      <c r="P88" s="606"/>
      <c r="Q88" s="599"/>
      <c r="R88" s="599"/>
      <c r="S88" s="606"/>
      <c r="T88" s="606"/>
      <c r="U88" s="606"/>
      <c r="V88" s="606"/>
      <c r="W88" s="606"/>
      <c r="X88" s="606"/>
      <c r="Y88" s="606"/>
      <c r="Z88" s="606"/>
      <c r="AA88" s="606"/>
      <c r="AB88" s="606"/>
      <c r="AC88" s="606"/>
      <c r="AD88" s="606"/>
      <c r="AE88" s="606"/>
      <c r="AF88" s="606"/>
      <c r="AG88" s="606"/>
      <c r="AH88" s="606"/>
      <c r="AI88" s="606"/>
      <c r="AJ88" s="606"/>
      <c r="AK88" s="606"/>
      <c r="AL88" s="606"/>
      <c r="AM88" s="606"/>
      <c r="AN88" s="606"/>
      <c r="AO88" s="606"/>
      <c r="AP88" s="606"/>
      <c r="AQ88" s="606"/>
      <c r="AR88" s="606"/>
      <c r="AS88" s="606"/>
      <c r="AT88" s="606"/>
      <c r="AU88" s="606"/>
      <c r="AV88" s="606"/>
      <c r="AW88" s="606"/>
      <c r="AX88" s="606"/>
      <c r="AY88" s="606"/>
      <c r="AZ88" s="606"/>
    </row>
    <row r="89" spans="1:52" s="44" customFormat="1" ht="12.75" x14ac:dyDescent="0.2">
      <c r="A89" s="613"/>
      <c r="B89" s="601"/>
      <c r="C89" s="601"/>
      <c r="D89" s="604"/>
      <c r="E89" s="603"/>
      <c r="F89" s="604"/>
      <c r="G89" s="601"/>
      <c r="H89" s="604"/>
      <c r="I89" s="605"/>
      <c r="J89" s="601"/>
      <c r="K89" s="605"/>
      <c r="L89" s="605"/>
      <c r="M89" s="605"/>
      <c r="N89" s="602"/>
      <c r="O89" s="606"/>
      <c r="P89" s="606"/>
      <c r="Q89" s="599"/>
      <c r="R89" s="599"/>
      <c r="S89" s="606"/>
      <c r="T89" s="606"/>
      <c r="U89" s="606"/>
      <c r="V89" s="606"/>
      <c r="W89" s="606"/>
      <c r="X89" s="606"/>
      <c r="Y89" s="606"/>
      <c r="Z89" s="606"/>
      <c r="AA89" s="606"/>
      <c r="AB89" s="606"/>
      <c r="AC89" s="606"/>
      <c r="AD89" s="606"/>
      <c r="AE89" s="606"/>
      <c r="AF89" s="606"/>
      <c r="AG89" s="606"/>
      <c r="AH89" s="606"/>
      <c r="AI89" s="606"/>
      <c r="AJ89" s="606"/>
      <c r="AK89" s="606"/>
      <c r="AL89" s="606"/>
      <c r="AM89" s="606"/>
      <c r="AN89" s="606"/>
      <c r="AO89" s="606"/>
      <c r="AP89" s="606"/>
      <c r="AQ89" s="606"/>
      <c r="AR89" s="606"/>
      <c r="AS89" s="606"/>
      <c r="AT89" s="606"/>
      <c r="AU89" s="606"/>
      <c r="AV89" s="606"/>
      <c r="AW89" s="606"/>
      <c r="AX89" s="606"/>
      <c r="AY89" s="606"/>
      <c r="AZ89" s="606"/>
    </row>
    <row r="90" spans="1:52" s="44" customFormat="1" ht="12.75" x14ac:dyDescent="0.2">
      <c r="A90" s="613"/>
      <c r="B90" s="601"/>
      <c r="C90" s="601"/>
      <c r="D90" s="604"/>
      <c r="E90" s="603"/>
      <c r="F90" s="604"/>
      <c r="G90" s="601"/>
      <c r="H90" s="604"/>
      <c r="I90" s="605"/>
      <c r="J90" s="601"/>
      <c r="K90" s="605"/>
      <c r="L90" s="605"/>
      <c r="M90" s="605"/>
      <c r="N90" s="602"/>
      <c r="O90" s="606"/>
      <c r="P90" s="606"/>
      <c r="Q90" s="599"/>
      <c r="R90" s="599"/>
      <c r="S90" s="606"/>
      <c r="T90" s="606"/>
      <c r="U90" s="606"/>
      <c r="V90" s="606"/>
      <c r="W90" s="606"/>
      <c r="X90" s="606"/>
      <c r="Y90" s="606"/>
      <c r="Z90" s="606"/>
      <c r="AA90" s="606"/>
      <c r="AB90" s="606"/>
      <c r="AC90" s="606"/>
      <c r="AD90" s="606"/>
      <c r="AE90" s="606"/>
      <c r="AF90" s="606"/>
      <c r="AG90" s="606"/>
      <c r="AH90" s="606"/>
      <c r="AI90" s="606"/>
      <c r="AJ90" s="606"/>
      <c r="AK90" s="606"/>
      <c r="AL90" s="606"/>
      <c r="AM90" s="606"/>
      <c r="AN90" s="606"/>
      <c r="AO90" s="606"/>
      <c r="AP90" s="606"/>
      <c r="AQ90" s="606"/>
      <c r="AR90" s="606"/>
      <c r="AS90" s="606"/>
      <c r="AT90" s="606"/>
      <c r="AU90" s="606"/>
      <c r="AV90" s="606"/>
      <c r="AW90" s="606"/>
      <c r="AX90" s="606"/>
      <c r="AY90" s="606"/>
      <c r="AZ90" s="606"/>
    </row>
    <row r="91" spans="1:52" s="44" customFormat="1" ht="12.75" x14ac:dyDescent="0.2">
      <c r="A91" s="613"/>
      <c r="B91" s="601"/>
      <c r="C91" s="601"/>
      <c r="D91" s="604"/>
      <c r="E91" s="603"/>
      <c r="F91" s="604"/>
      <c r="G91" s="601"/>
      <c r="H91" s="604"/>
      <c r="I91" s="605"/>
      <c r="J91" s="601"/>
      <c r="K91" s="605"/>
      <c r="L91" s="605"/>
      <c r="M91" s="605"/>
      <c r="N91" s="602"/>
      <c r="O91" s="606"/>
      <c r="P91" s="606"/>
      <c r="Q91" s="599"/>
      <c r="R91" s="599"/>
      <c r="S91" s="606"/>
      <c r="T91" s="606"/>
      <c r="U91" s="606"/>
      <c r="V91" s="606"/>
      <c r="W91" s="606"/>
      <c r="X91" s="606"/>
      <c r="Y91" s="606"/>
      <c r="Z91" s="606"/>
      <c r="AA91" s="606"/>
      <c r="AB91" s="606"/>
      <c r="AC91" s="606"/>
      <c r="AD91" s="606"/>
      <c r="AE91" s="606"/>
      <c r="AF91" s="606"/>
      <c r="AG91" s="606"/>
      <c r="AH91" s="606"/>
      <c r="AI91" s="606"/>
      <c r="AJ91" s="606"/>
      <c r="AK91" s="606"/>
      <c r="AL91" s="606"/>
      <c r="AM91" s="606"/>
      <c r="AN91" s="606"/>
      <c r="AO91" s="606"/>
      <c r="AP91" s="606"/>
      <c r="AQ91" s="606"/>
      <c r="AR91" s="606"/>
      <c r="AS91" s="606"/>
      <c r="AT91" s="606"/>
      <c r="AU91" s="606"/>
      <c r="AV91" s="606"/>
      <c r="AW91" s="606"/>
      <c r="AX91" s="606"/>
      <c r="AY91" s="606"/>
      <c r="AZ91" s="606"/>
    </row>
    <row r="92" spans="1:52" s="44" customFormat="1" ht="12.75" x14ac:dyDescent="0.2">
      <c r="A92" s="613"/>
      <c r="B92" s="601"/>
      <c r="C92" s="601"/>
      <c r="D92" s="604"/>
      <c r="E92" s="603"/>
      <c r="F92" s="604"/>
      <c r="G92" s="601"/>
      <c r="H92" s="604"/>
      <c r="I92" s="605"/>
      <c r="J92" s="601"/>
      <c r="K92" s="605"/>
      <c r="L92" s="605"/>
      <c r="M92" s="605"/>
      <c r="N92" s="602"/>
      <c r="O92" s="606"/>
      <c r="P92" s="606"/>
      <c r="Q92" s="599"/>
      <c r="R92" s="599"/>
      <c r="S92" s="606"/>
      <c r="T92" s="606"/>
      <c r="U92" s="606"/>
      <c r="V92" s="606"/>
      <c r="W92" s="606"/>
      <c r="X92" s="606"/>
      <c r="Y92" s="606"/>
      <c r="Z92" s="606"/>
      <c r="AA92" s="606"/>
      <c r="AB92" s="606"/>
      <c r="AC92" s="606"/>
      <c r="AD92" s="606"/>
      <c r="AE92" s="606"/>
      <c r="AF92" s="606"/>
      <c r="AG92" s="606"/>
      <c r="AH92" s="606"/>
      <c r="AI92" s="606"/>
      <c r="AJ92" s="606"/>
      <c r="AK92" s="606"/>
      <c r="AL92" s="606"/>
      <c r="AM92" s="606"/>
      <c r="AN92" s="606"/>
      <c r="AO92" s="606"/>
      <c r="AP92" s="606"/>
      <c r="AQ92" s="606"/>
      <c r="AR92" s="606"/>
      <c r="AS92" s="606"/>
      <c r="AT92" s="606"/>
      <c r="AU92" s="606"/>
      <c r="AV92" s="606"/>
      <c r="AW92" s="606"/>
      <c r="AX92" s="606"/>
      <c r="AY92" s="606"/>
      <c r="AZ92" s="606"/>
    </row>
    <row r="93" spans="1:52" s="44" customFormat="1" ht="12.75" x14ac:dyDescent="0.2">
      <c r="A93" s="613"/>
      <c r="B93" s="601"/>
      <c r="C93" s="601"/>
      <c r="D93" s="604"/>
      <c r="E93" s="603"/>
      <c r="F93" s="604"/>
      <c r="G93" s="601"/>
      <c r="H93" s="604"/>
      <c r="I93" s="605"/>
      <c r="J93" s="601"/>
      <c r="K93" s="605"/>
      <c r="L93" s="605"/>
      <c r="M93" s="605"/>
      <c r="N93" s="602"/>
      <c r="O93" s="606"/>
      <c r="P93" s="606"/>
      <c r="Q93" s="599"/>
      <c r="R93" s="599"/>
      <c r="S93" s="606"/>
      <c r="T93" s="606"/>
      <c r="U93" s="606"/>
      <c r="V93" s="606"/>
      <c r="W93" s="606"/>
      <c r="X93" s="606"/>
      <c r="Y93" s="606"/>
      <c r="Z93" s="606"/>
      <c r="AA93" s="606"/>
      <c r="AB93" s="606"/>
      <c r="AC93" s="606"/>
      <c r="AD93" s="606"/>
      <c r="AE93" s="606"/>
      <c r="AF93" s="606"/>
      <c r="AG93" s="606"/>
      <c r="AH93" s="606"/>
      <c r="AI93" s="606"/>
      <c r="AJ93" s="606"/>
      <c r="AK93" s="606"/>
      <c r="AL93" s="606"/>
      <c r="AM93" s="606"/>
      <c r="AN93" s="606"/>
      <c r="AO93" s="606"/>
      <c r="AP93" s="606"/>
      <c r="AQ93" s="606"/>
      <c r="AR93" s="606"/>
      <c r="AS93" s="606"/>
      <c r="AT93" s="606"/>
      <c r="AU93" s="606"/>
      <c r="AV93" s="606"/>
      <c r="AW93" s="606"/>
      <c r="AX93" s="606"/>
      <c r="AY93" s="606"/>
      <c r="AZ93" s="606"/>
    </row>
    <row r="94" spans="1:52" s="44" customFormat="1" ht="12.75" x14ac:dyDescent="0.2">
      <c r="A94" s="613"/>
      <c r="B94" s="601"/>
      <c r="C94" s="601"/>
      <c r="D94" s="604"/>
      <c r="E94" s="603"/>
      <c r="F94" s="604"/>
      <c r="G94" s="601"/>
      <c r="H94" s="604"/>
      <c r="I94" s="605"/>
      <c r="J94" s="601"/>
      <c r="K94" s="605"/>
      <c r="L94" s="605"/>
      <c r="M94" s="605"/>
      <c r="N94" s="602"/>
      <c r="O94" s="606"/>
      <c r="P94" s="606"/>
      <c r="Q94" s="599"/>
      <c r="R94" s="599"/>
      <c r="S94" s="606"/>
      <c r="T94" s="606"/>
      <c r="U94" s="606"/>
      <c r="V94" s="606"/>
      <c r="W94" s="606"/>
      <c r="X94" s="606"/>
      <c r="Y94" s="606"/>
      <c r="Z94" s="606"/>
      <c r="AA94" s="606"/>
      <c r="AB94" s="606"/>
      <c r="AC94" s="606"/>
      <c r="AD94" s="606"/>
      <c r="AE94" s="606"/>
      <c r="AF94" s="606"/>
      <c r="AG94" s="606"/>
      <c r="AH94" s="606"/>
      <c r="AI94" s="606"/>
      <c r="AJ94" s="606"/>
      <c r="AK94" s="606"/>
      <c r="AL94" s="606"/>
      <c r="AM94" s="606"/>
      <c r="AN94" s="606"/>
      <c r="AO94" s="606"/>
      <c r="AP94" s="606"/>
      <c r="AQ94" s="606"/>
      <c r="AR94" s="606"/>
      <c r="AS94" s="606"/>
      <c r="AT94" s="606"/>
      <c r="AU94" s="606"/>
      <c r="AV94" s="606"/>
      <c r="AW94" s="606"/>
      <c r="AX94" s="606"/>
      <c r="AY94" s="606"/>
      <c r="AZ94" s="606"/>
    </row>
    <row r="95" spans="1:52" s="44" customFormat="1" ht="12.75" x14ac:dyDescent="0.2">
      <c r="A95" s="613"/>
      <c r="B95" s="601"/>
      <c r="C95" s="601"/>
      <c r="D95" s="604"/>
      <c r="E95" s="603"/>
      <c r="F95" s="604"/>
      <c r="G95" s="601"/>
      <c r="H95" s="604"/>
      <c r="I95" s="605"/>
      <c r="J95" s="601"/>
      <c r="K95" s="605"/>
      <c r="L95" s="605"/>
      <c r="M95" s="605"/>
      <c r="N95" s="602"/>
      <c r="O95" s="606"/>
      <c r="P95" s="606"/>
      <c r="Q95" s="599"/>
      <c r="R95" s="599"/>
      <c r="S95" s="606"/>
      <c r="T95" s="606"/>
      <c r="U95" s="606"/>
      <c r="V95" s="606"/>
      <c r="W95" s="606"/>
      <c r="X95" s="606"/>
      <c r="Y95" s="606"/>
      <c r="Z95" s="606"/>
      <c r="AA95" s="606"/>
      <c r="AB95" s="606"/>
      <c r="AC95" s="606"/>
      <c r="AD95" s="606"/>
      <c r="AE95" s="606"/>
      <c r="AF95" s="606"/>
      <c r="AG95" s="606"/>
      <c r="AH95" s="606"/>
      <c r="AI95" s="606"/>
      <c r="AJ95" s="606"/>
      <c r="AK95" s="606"/>
      <c r="AL95" s="606"/>
      <c r="AM95" s="606"/>
      <c r="AN95" s="606"/>
      <c r="AO95" s="606"/>
      <c r="AP95" s="606"/>
      <c r="AQ95" s="606"/>
      <c r="AR95" s="606"/>
      <c r="AS95" s="606"/>
      <c r="AT95" s="606"/>
      <c r="AU95" s="606"/>
      <c r="AV95" s="606"/>
      <c r="AW95" s="606"/>
      <c r="AX95" s="606"/>
      <c r="AY95" s="606"/>
      <c r="AZ95" s="606"/>
    </row>
    <row r="96" spans="1:52" s="44" customFormat="1" ht="12.75" x14ac:dyDescent="0.2">
      <c r="A96" s="613"/>
      <c r="B96" s="601"/>
      <c r="C96" s="601"/>
      <c r="D96" s="604"/>
      <c r="E96" s="603"/>
      <c r="F96" s="604"/>
      <c r="G96" s="601"/>
      <c r="H96" s="604"/>
      <c r="I96" s="605"/>
      <c r="J96" s="601"/>
      <c r="K96" s="605"/>
      <c r="L96" s="605"/>
      <c r="M96" s="605"/>
      <c r="N96" s="602"/>
      <c r="O96" s="606"/>
      <c r="P96" s="606"/>
      <c r="Q96" s="599"/>
      <c r="R96" s="599"/>
      <c r="S96" s="606"/>
      <c r="T96" s="606"/>
      <c r="U96" s="606"/>
      <c r="V96" s="606"/>
      <c r="W96" s="606"/>
      <c r="X96" s="606"/>
      <c r="Y96" s="606"/>
      <c r="Z96" s="606"/>
      <c r="AA96" s="606"/>
      <c r="AB96" s="606"/>
      <c r="AC96" s="606"/>
      <c r="AD96" s="606"/>
      <c r="AE96" s="606"/>
      <c r="AF96" s="606"/>
      <c r="AG96" s="606"/>
      <c r="AH96" s="606"/>
      <c r="AI96" s="606"/>
      <c r="AJ96" s="606"/>
      <c r="AK96" s="606"/>
      <c r="AL96" s="606"/>
      <c r="AM96" s="606"/>
      <c r="AN96" s="606"/>
      <c r="AO96" s="606"/>
      <c r="AP96" s="606"/>
      <c r="AQ96" s="606"/>
      <c r="AR96" s="606"/>
      <c r="AS96" s="606"/>
      <c r="AT96" s="606"/>
      <c r="AU96" s="606"/>
      <c r="AV96" s="606"/>
      <c r="AW96" s="606"/>
      <c r="AX96" s="606"/>
      <c r="AY96" s="606"/>
      <c r="AZ96" s="606"/>
    </row>
    <row r="97" spans="1:52" s="44" customFormat="1" ht="12.75" x14ac:dyDescent="0.2">
      <c r="A97" s="613"/>
      <c r="B97" s="601"/>
      <c r="C97" s="601"/>
      <c r="D97" s="604"/>
      <c r="E97" s="603"/>
      <c r="F97" s="604"/>
      <c r="G97" s="601"/>
      <c r="H97" s="604"/>
      <c r="I97" s="605"/>
      <c r="J97" s="601"/>
      <c r="K97" s="605"/>
      <c r="L97" s="605"/>
      <c r="M97" s="605"/>
      <c r="N97" s="602"/>
      <c r="O97" s="606"/>
      <c r="P97" s="606"/>
      <c r="Q97" s="599"/>
      <c r="R97" s="599"/>
      <c r="S97" s="606"/>
      <c r="T97" s="606"/>
      <c r="U97" s="606"/>
      <c r="V97" s="606"/>
      <c r="W97" s="606"/>
      <c r="X97" s="606"/>
      <c r="Y97" s="606"/>
      <c r="Z97" s="606"/>
      <c r="AA97" s="606"/>
      <c r="AB97" s="606"/>
      <c r="AC97" s="606"/>
      <c r="AD97" s="606"/>
      <c r="AE97" s="606"/>
      <c r="AF97" s="606"/>
      <c r="AG97" s="606"/>
      <c r="AH97" s="606"/>
      <c r="AI97" s="606"/>
      <c r="AJ97" s="606"/>
      <c r="AK97" s="606"/>
      <c r="AL97" s="606"/>
      <c r="AM97" s="606"/>
      <c r="AN97" s="606"/>
      <c r="AO97" s="606"/>
      <c r="AP97" s="606"/>
      <c r="AQ97" s="606"/>
      <c r="AR97" s="606"/>
      <c r="AS97" s="606"/>
      <c r="AT97" s="606"/>
      <c r="AU97" s="606"/>
      <c r="AV97" s="606"/>
      <c r="AW97" s="606"/>
      <c r="AX97" s="606"/>
      <c r="AY97" s="606"/>
      <c r="AZ97" s="606"/>
    </row>
    <row r="98" spans="1:52" s="44" customFormat="1" ht="12.75" x14ac:dyDescent="0.2">
      <c r="A98" s="613"/>
      <c r="B98" s="601"/>
      <c r="C98" s="601"/>
      <c r="D98" s="604"/>
      <c r="E98" s="603"/>
      <c r="F98" s="604"/>
      <c r="G98" s="601"/>
      <c r="H98" s="604"/>
      <c r="I98" s="605"/>
      <c r="J98" s="601"/>
      <c r="K98" s="605"/>
      <c r="L98" s="605"/>
      <c r="M98" s="605"/>
      <c r="N98" s="602"/>
      <c r="O98" s="606"/>
      <c r="P98" s="606"/>
      <c r="Q98" s="599"/>
      <c r="R98" s="599"/>
      <c r="S98" s="606"/>
      <c r="T98" s="606"/>
      <c r="U98" s="606"/>
      <c r="V98" s="606"/>
      <c r="W98" s="606"/>
      <c r="X98" s="606"/>
      <c r="Y98" s="606"/>
      <c r="Z98" s="606"/>
      <c r="AA98" s="606"/>
      <c r="AB98" s="606"/>
      <c r="AC98" s="606"/>
      <c r="AD98" s="606"/>
      <c r="AE98" s="606"/>
      <c r="AF98" s="606"/>
      <c r="AG98" s="606"/>
      <c r="AH98" s="606"/>
      <c r="AI98" s="606"/>
      <c r="AJ98" s="606"/>
      <c r="AK98" s="606"/>
      <c r="AL98" s="606"/>
      <c r="AM98" s="606"/>
      <c r="AN98" s="606"/>
      <c r="AO98" s="606"/>
      <c r="AP98" s="606"/>
      <c r="AQ98" s="606"/>
      <c r="AR98" s="606"/>
      <c r="AS98" s="606"/>
      <c r="AT98" s="606"/>
      <c r="AU98" s="606"/>
      <c r="AV98" s="606"/>
      <c r="AW98" s="606"/>
      <c r="AX98" s="606"/>
      <c r="AY98" s="606"/>
      <c r="AZ98" s="606"/>
    </row>
    <row r="99" spans="1:52" s="44" customFormat="1" ht="12.75" x14ac:dyDescent="0.2">
      <c r="A99" s="613"/>
      <c r="B99" s="601"/>
      <c r="C99" s="601"/>
      <c r="D99" s="604"/>
      <c r="E99" s="603"/>
      <c r="F99" s="604"/>
      <c r="G99" s="601"/>
      <c r="H99" s="604"/>
      <c r="I99" s="605"/>
      <c r="J99" s="601"/>
      <c r="K99" s="605"/>
      <c r="L99" s="605"/>
      <c r="M99" s="605"/>
      <c r="N99" s="602"/>
      <c r="O99" s="606"/>
      <c r="P99" s="606"/>
      <c r="Q99" s="599"/>
      <c r="R99" s="599"/>
      <c r="S99" s="606"/>
      <c r="T99" s="606"/>
      <c r="U99" s="606"/>
      <c r="V99" s="606"/>
      <c r="W99" s="606"/>
      <c r="X99" s="606"/>
      <c r="Y99" s="606"/>
      <c r="Z99" s="606"/>
      <c r="AA99" s="606"/>
      <c r="AB99" s="606"/>
      <c r="AC99" s="606"/>
      <c r="AD99" s="606"/>
      <c r="AE99" s="606"/>
      <c r="AF99" s="606"/>
      <c r="AG99" s="606"/>
      <c r="AH99" s="606"/>
      <c r="AI99" s="606"/>
      <c r="AJ99" s="606"/>
      <c r="AK99" s="606"/>
      <c r="AL99" s="606"/>
      <c r="AM99" s="606"/>
      <c r="AN99" s="606"/>
      <c r="AO99" s="606"/>
      <c r="AP99" s="606"/>
      <c r="AQ99" s="606"/>
      <c r="AR99" s="606"/>
      <c r="AS99" s="606"/>
      <c r="AT99" s="606"/>
      <c r="AU99" s="606"/>
      <c r="AV99" s="606"/>
      <c r="AW99" s="606"/>
      <c r="AX99" s="606"/>
      <c r="AY99" s="606"/>
      <c r="AZ99" s="606"/>
    </row>
    <row r="100" spans="1:52" s="44" customFormat="1" ht="12.75" x14ac:dyDescent="0.2">
      <c r="A100" s="613"/>
      <c r="B100" s="601"/>
      <c r="C100" s="601"/>
      <c r="D100" s="604"/>
      <c r="E100" s="603"/>
      <c r="F100" s="604"/>
      <c r="G100" s="601"/>
      <c r="H100" s="604"/>
      <c r="I100" s="605"/>
      <c r="J100" s="601"/>
      <c r="K100" s="605"/>
      <c r="L100" s="605"/>
      <c r="M100" s="605"/>
      <c r="N100" s="602"/>
      <c r="O100" s="606"/>
      <c r="P100" s="606"/>
      <c r="Q100" s="599"/>
      <c r="R100" s="599"/>
      <c r="S100" s="606"/>
      <c r="T100" s="606"/>
      <c r="U100" s="606"/>
      <c r="V100" s="606"/>
      <c r="W100" s="606"/>
      <c r="X100" s="606"/>
      <c r="Y100" s="606"/>
      <c r="Z100" s="606"/>
      <c r="AA100" s="606"/>
      <c r="AB100" s="606"/>
      <c r="AC100" s="606"/>
      <c r="AD100" s="606"/>
      <c r="AE100" s="606"/>
      <c r="AF100" s="606"/>
      <c r="AG100" s="606"/>
      <c r="AH100" s="606"/>
      <c r="AI100" s="606"/>
      <c r="AJ100" s="606"/>
      <c r="AK100" s="606"/>
      <c r="AL100" s="606"/>
      <c r="AM100" s="606"/>
      <c r="AN100" s="606"/>
      <c r="AO100" s="606"/>
      <c r="AP100" s="606"/>
      <c r="AQ100" s="606"/>
      <c r="AR100" s="606"/>
      <c r="AS100" s="606"/>
      <c r="AT100" s="606"/>
      <c r="AU100" s="606"/>
      <c r="AV100" s="606"/>
      <c r="AW100" s="606"/>
      <c r="AX100" s="606"/>
      <c r="AY100" s="606"/>
      <c r="AZ100" s="606"/>
    </row>
    <row r="101" spans="1:52" s="44" customFormat="1" ht="12.75" x14ac:dyDescent="0.2">
      <c r="A101" s="613"/>
      <c r="B101" s="601"/>
      <c r="C101" s="601"/>
      <c r="D101" s="604"/>
      <c r="E101" s="603"/>
      <c r="F101" s="604"/>
      <c r="G101" s="601"/>
      <c r="H101" s="604"/>
      <c r="I101" s="605"/>
      <c r="J101" s="601"/>
      <c r="K101" s="605"/>
      <c r="L101" s="605"/>
      <c r="M101" s="605"/>
      <c r="N101" s="602"/>
      <c r="O101" s="606"/>
      <c r="P101" s="606"/>
      <c r="Q101" s="599"/>
      <c r="R101" s="599"/>
      <c r="S101" s="606"/>
      <c r="T101" s="606"/>
      <c r="U101" s="606"/>
      <c r="V101" s="606"/>
      <c r="W101" s="606"/>
      <c r="X101" s="606"/>
      <c r="Y101" s="606"/>
      <c r="Z101" s="606"/>
      <c r="AA101" s="606"/>
      <c r="AB101" s="606"/>
      <c r="AC101" s="606"/>
      <c r="AD101" s="606"/>
      <c r="AE101" s="606"/>
      <c r="AF101" s="606"/>
      <c r="AG101" s="606"/>
      <c r="AH101" s="606"/>
      <c r="AI101" s="606"/>
      <c r="AJ101" s="606"/>
      <c r="AK101" s="606"/>
      <c r="AL101" s="606"/>
      <c r="AM101" s="606"/>
      <c r="AN101" s="606"/>
      <c r="AO101" s="606"/>
      <c r="AP101" s="606"/>
      <c r="AQ101" s="606"/>
      <c r="AR101" s="606"/>
      <c r="AS101" s="606"/>
      <c r="AT101" s="606"/>
      <c r="AU101" s="606"/>
      <c r="AV101" s="606"/>
      <c r="AW101" s="606"/>
      <c r="AX101" s="606"/>
      <c r="AY101" s="606"/>
      <c r="AZ101" s="606"/>
    </row>
    <row r="102" spans="1:52" s="44" customFormat="1" ht="12.75" x14ac:dyDescent="0.2">
      <c r="A102" s="613"/>
      <c r="B102" s="601"/>
      <c r="C102" s="601"/>
      <c r="D102" s="604"/>
      <c r="E102" s="603"/>
      <c r="F102" s="604"/>
      <c r="G102" s="601"/>
      <c r="H102" s="604"/>
      <c r="I102" s="605"/>
      <c r="J102" s="601"/>
      <c r="K102" s="605"/>
      <c r="L102" s="605"/>
      <c r="M102" s="605"/>
      <c r="N102" s="602"/>
      <c r="O102" s="606"/>
      <c r="P102" s="606"/>
      <c r="Q102" s="599"/>
      <c r="R102" s="599"/>
      <c r="S102" s="606"/>
      <c r="T102" s="606"/>
      <c r="U102" s="606"/>
      <c r="V102" s="606"/>
      <c r="W102" s="606"/>
      <c r="X102" s="606"/>
      <c r="Y102" s="606"/>
      <c r="Z102" s="606"/>
      <c r="AA102" s="606"/>
      <c r="AB102" s="606"/>
      <c r="AC102" s="606"/>
      <c r="AD102" s="606"/>
      <c r="AE102" s="606"/>
      <c r="AF102" s="606"/>
      <c r="AG102" s="606"/>
      <c r="AH102" s="606"/>
      <c r="AI102" s="606"/>
      <c r="AJ102" s="606"/>
      <c r="AK102" s="606"/>
      <c r="AL102" s="606"/>
      <c r="AM102" s="606"/>
      <c r="AN102" s="606"/>
      <c r="AO102" s="606"/>
      <c r="AP102" s="606"/>
      <c r="AQ102" s="606"/>
      <c r="AR102" s="606"/>
      <c r="AS102" s="606"/>
      <c r="AT102" s="606"/>
      <c r="AU102" s="606"/>
      <c r="AV102" s="606"/>
      <c r="AW102" s="606"/>
      <c r="AX102" s="606"/>
      <c r="AY102" s="606"/>
      <c r="AZ102" s="606"/>
    </row>
    <row r="103" spans="1:52" s="44" customFormat="1" ht="12.75" x14ac:dyDescent="0.2">
      <c r="A103" s="613"/>
      <c r="B103" s="601"/>
      <c r="C103" s="601"/>
      <c r="D103" s="604"/>
      <c r="E103" s="603"/>
      <c r="F103" s="604"/>
      <c r="G103" s="601"/>
      <c r="H103" s="604"/>
      <c r="I103" s="605"/>
      <c r="J103" s="601"/>
      <c r="K103" s="605"/>
      <c r="L103" s="605"/>
      <c r="M103" s="605"/>
      <c r="N103" s="602"/>
      <c r="O103" s="606"/>
      <c r="P103" s="606"/>
      <c r="Q103" s="599"/>
      <c r="R103" s="599"/>
      <c r="S103" s="606"/>
      <c r="T103" s="606"/>
      <c r="U103" s="606"/>
      <c r="V103" s="606"/>
      <c r="W103" s="606"/>
      <c r="X103" s="606"/>
      <c r="Y103" s="606"/>
      <c r="Z103" s="606"/>
      <c r="AA103" s="606"/>
      <c r="AB103" s="606"/>
      <c r="AC103" s="606"/>
      <c r="AD103" s="606"/>
      <c r="AE103" s="606"/>
      <c r="AF103" s="606"/>
      <c r="AG103" s="606"/>
      <c r="AH103" s="606"/>
      <c r="AI103" s="606"/>
      <c r="AJ103" s="606"/>
      <c r="AK103" s="606"/>
      <c r="AL103" s="606"/>
      <c r="AM103" s="606"/>
      <c r="AN103" s="606"/>
      <c r="AO103" s="606"/>
      <c r="AP103" s="606"/>
      <c r="AQ103" s="606"/>
      <c r="AR103" s="606"/>
      <c r="AS103" s="606"/>
      <c r="AT103" s="606"/>
      <c r="AU103" s="606"/>
      <c r="AV103" s="606"/>
      <c r="AW103" s="606"/>
      <c r="AX103" s="606"/>
      <c r="AY103" s="606"/>
      <c r="AZ103" s="606"/>
    </row>
    <row r="104" spans="1:52" s="44" customFormat="1" ht="12.75" x14ac:dyDescent="0.2">
      <c r="A104" s="613"/>
      <c r="B104" s="601"/>
      <c r="C104" s="601"/>
      <c r="D104" s="604"/>
      <c r="E104" s="603"/>
      <c r="F104" s="604"/>
      <c r="G104" s="601"/>
      <c r="H104" s="604"/>
      <c r="I104" s="605"/>
      <c r="J104" s="601"/>
      <c r="K104" s="605"/>
      <c r="L104" s="605"/>
      <c r="M104" s="605"/>
      <c r="N104" s="602"/>
      <c r="O104" s="606"/>
      <c r="P104" s="606"/>
      <c r="Q104" s="599"/>
      <c r="R104" s="599"/>
      <c r="S104" s="606"/>
      <c r="T104" s="606"/>
      <c r="U104" s="606"/>
      <c r="V104" s="606"/>
      <c r="W104" s="606"/>
      <c r="X104" s="606"/>
      <c r="Y104" s="606"/>
      <c r="Z104" s="606"/>
      <c r="AA104" s="606"/>
      <c r="AB104" s="606"/>
      <c r="AC104" s="606"/>
      <c r="AD104" s="606"/>
      <c r="AE104" s="606"/>
      <c r="AF104" s="606"/>
      <c r="AG104" s="606"/>
      <c r="AH104" s="606"/>
      <c r="AI104" s="606"/>
      <c r="AJ104" s="606"/>
      <c r="AK104" s="606"/>
      <c r="AL104" s="606"/>
      <c r="AM104" s="606"/>
      <c r="AN104" s="606"/>
      <c r="AO104" s="606"/>
      <c r="AP104" s="606"/>
      <c r="AQ104" s="606"/>
      <c r="AR104" s="606"/>
      <c r="AS104" s="606"/>
      <c r="AT104" s="606"/>
      <c r="AU104" s="606"/>
      <c r="AV104" s="606"/>
      <c r="AW104" s="606"/>
      <c r="AX104" s="606"/>
      <c r="AY104" s="606"/>
      <c r="AZ104" s="606"/>
    </row>
    <row r="105" spans="1:52" s="44" customFormat="1" ht="12.75" x14ac:dyDescent="0.2">
      <c r="A105" s="613"/>
      <c r="B105" s="601"/>
      <c r="C105" s="601"/>
      <c r="D105" s="604"/>
      <c r="E105" s="603"/>
      <c r="F105" s="604"/>
      <c r="G105" s="601"/>
      <c r="H105" s="604"/>
      <c r="I105" s="605"/>
      <c r="J105" s="601"/>
      <c r="K105" s="605"/>
      <c r="L105" s="605"/>
      <c r="M105" s="605"/>
      <c r="N105" s="602"/>
      <c r="O105" s="606"/>
      <c r="P105" s="606"/>
      <c r="Q105" s="599"/>
      <c r="R105" s="599"/>
      <c r="S105" s="606"/>
      <c r="T105" s="606"/>
      <c r="U105" s="606"/>
      <c r="V105" s="606"/>
      <c r="W105" s="606"/>
      <c r="X105" s="606"/>
      <c r="Y105" s="606"/>
      <c r="Z105" s="606"/>
      <c r="AA105" s="606"/>
      <c r="AB105" s="606"/>
      <c r="AC105" s="606"/>
      <c r="AD105" s="606"/>
      <c r="AE105" s="606"/>
      <c r="AF105" s="606"/>
      <c r="AG105" s="606"/>
      <c r="AH105" s="606"/>
      <c r="AI105" s="606"/>
      <c r="AJ105" s="606"/>
      <c r="AK105" s="606"/>
      <c r="AL105" s="606"/>
      <c r="AM105" s="606"/>
      <c r="AN105" s="606"/>
      <c r="AO105" s="606"/>
      <c r="AP105" s="606"/>
      <c r="AQ105" s="606"/>
      <c r="AR105" s="606"/>
      <c r="AS105" s="606"/>
      <c r="AT105" s="606"/>
      <c r="AU105" s="606"/>
      <c r="AV105" s="606"/>
      <c r="AW105" s="606"/>
      <c r="AX105" s="606"/>
      <c r="AY105" s="606"/>
      <c r="AZ105" s="606"/>
    </row>
    <row r="106" spans="1:52" s="44" customFormat="1" ht="12.75" x14ac:dyDescent="0.2">
      <c r="A106" s="613"/>
      <c r="B106" s="601"/>
      <c r="C106" s="601"/>
      <c r="D106" s="604"/>
      <c r="E106" s="603"/>
      <c r="F106" s="604"/>
      <c r="G106" s="601"/>
      <c r="H106" s="604"/>
      <c r="I106" s="605"/>
      <c r="J106" s="601"/>
      <c r="K106" s="605"/>
      <c r="L106" s="605"/>
      <c r="M106" s="605"/>
      <c r="N106" s="602"/>
      <c r="O106" s="606"/>
      <c r="P106" s="606"/>
      <c r="Q106" s="599"/>
      <c r="R106" s="599"/>
      <c r="S106" s="606"/>
      <c r="T106" s="606"/>
      <c r="U106" s="606"/>
      <c r="V106" s="606"/>
      <c r="W106" s="606"/>
      <c r="X106" s="606"/>
      <c r="Y106" s="606"/>
      <c r="Z106" s="606"/>
      <c r="AA106" s="606"/>
      <c r="AB106" s="606"/>
      <c r="AC106" s="606"/>
      <c r="AD106" s="606"/>
      <c r="AE106" s="606"/>
      <c r="AF106" s="606"/>
      <c r="AG106" s="606"/>
      <c r="AH106" s="606"/>
      <c r="AI106" s="606"/>
      <c r="AJ106" s="606"/>
      <c r="AK106" s="606"/>
      <c r="AL106" s="606"/>
      <c r="AM106" s="606"/>
      <c r="AN106" s="606"/>
      <c r="AO106" s="606"/>
      <c r="AP106" s="606"/>
      <c r="AQ106" s="606"/>
      <c r="AR106" s="606"/>
      <c r="AS106" s="606"/>
      <c r="AT106" s="606"/>
      <c r="AU106" s="606"/>
      <c r="AV106" s="606"/>
      <c r="AW106" s="606"/>
      <c r="AX106" s="606"/>
      <c r="AY106" s="606"/>
      <c r="AZ106" s="606"/>
    </row>
    <row r="107" spans="1:52" s="44" customFormat="1" ht="12.75" x14ac:dyDescent="0.2">
      <c r="A107" s="613"/>
      <c r="B107" s="601"/>
      <c r="C107" s="601"/>
      <c r="D107" s="604"/>
      <c r="E107" s="603"/>
      <c r="F107" s="604"/>
      <c r="G107" s="601"/>
      <c r="H107" s="604"/>
      <c r="I107" s="605"/>
      <c r="J107" s="601"/>
      <c r="K107" s="605"/>
      <c r="L107" s="605"/>
      <c r="M107" s="605"/>
      <c r="N107" s="602"/>
      <c r="O107" s="606"/>
      <c r="P107" s="606"/>
      <c r="Q107" s="599"/>
      <c r="R107" s="599"/>
      <c r="S107" s="606"/>
      <c r="T107" s="606"/>
      <c r="U107" s="606"/>
      <c r="V107" s="606"/>
      <c r="W107" s="606"/>
      <c r="X107" s="606"/>
      <c r="Y107" s="606"/>
      <c r="Z107" s="606"/>
      <c r="AA107" s="606"/>
      <c r="AB107" s="606"/>
      <c r="AC107" s="606"/>
      <c r="AD107" s="606"/>
      <c r="AE107" s="606"/>
      <c r="AF107" s="606"/>
      <c r="AG107" s="606"/>
      <c r="AH107" s="606"/>
      <c r="AI107" s="606"/>
      <c r="AJ107" s="606"/>
      <c r="AK107" s="606"/>
      <c r="AL107" s="606"/>
      <c r="AM107" s="606"/>
      <c r="AN107" s="606"/>
      <c r="AO107" s="606"/>
      <c r="AP107" s="606"/>
      <c r="AQ107" s="606"/>
      <c r="AR107" s="606"/>
      <c r="AS107" s="606"/>
      <c r="AT107" s="606"/>
      <c r="AU107" s="606"/>
      <c r="AV107" s="606"/>
      <c r="AW107" s="606"/>
      <c r="AX107" s="606"/>
      <c r="AY107" s="606"/>
      <c r="AZ107" s="606"/>
    </row>
    <row r="108" spans="1:52" s="44" customFormat="1" ht="12.75" x14ac:dyDescent="0.2">
      <c r="A108" s="613"/>
      <c r="B108" s="601"/>
      <c r="C108" s="601"/>
      <c r="D108" s="604"/>
      <c r="E108" s="603"/>
      <c r="F108" s="604"/>
      <c r="G108" s="601"/>
      <c r="H108" s="604"/>
      <c r="I108" s="605"/>
      <c r="J108" s="601"/>
      <c r="K108" s="605"/>
      <c r="L108" s="605"/>
      <c r="M108" s="605"/>
      <c r="N108" s="602"/>
      <c r="O108" s="606"/>
      <c r="P108" s="606"/>
      <c r="Q108" s="599"/>
      <c r="R108" s="599"/>
      <c r="S108" s="606"/>
      <c r="T108" s="606"/>
      <c r="U108" s="606"/>
      <c r="V108" s="606"/>
      <c r="W108" s="606"/>
      <c r="X108" s="606"/>
      <c r="Y108" s="606"/>
      <c r="Z108" s="606"/>
      <c r="AA108" s="606"/>
      <c r="AB108" s="606"/>
      <c r="AC108" s="606"/>
      <c r="AD108" s="606"/>
      <c r="AE108" s="606"/>
      <c r="AF108" s="606"/>
      <c r="AG108" s="606"/>
      <c r="AH108" s="606"/>
      <c r="AI108" s="606"/>
      <c r="AJ108" s="606"/>
      <c r="AK108" s="606"/>
      <c r="AL108" s="606"/>
      <c r="AM108" s="606"/>
      <c r="AN108" s="606"/>
      <c r="AO108" s="606"/>
      <c r="AP108" s="606"/>
      <c r="AQ108" s="606"/>
      <c r="AR108" s="606"/>
      <c r="AS108" s="606"/>
      <c r="AT108" s="606"/>
      <c r="AU108" s="606"/>
      <c r="AV108" s="606"/>
      <c r="AW108" s="606"/>
      <c r="AX108" s="606"/>
      <c r="AY108" s="606"/>
      <c r="AZ108" s="606"/>
    </row>
    <row r="109" spans="1:52" s="44" customFormat="1" ht="12.75" x14ac:dyDescent="0.2">
      <c r="A109" s="613"/>
      <c r="B109" s="601"/>
      <c r="C109" s="601"/>
      <c r="D109" s="604"/>
      <c r="E109" s="603"/>
      <c r="F109" s="604"/>
      <c r="G109" s="601"/>
      <c r="H109" s="604"/>
      <c r="I109" s="605"/>
      <c r="J109" s="601"/>
      <c r="K109" s="605"/>
      <c r="L109" s="605"/>
      <c r="M109" s="605"/>
      <c r="N109" s="602"/>
      <c r="O109" s="606"/>
      <c r="P109" s="606"/>
      <c r="Q109" s="599"/>
      <c r="R109" s="599"/>
      <c r="S109" s="606"/>
      <c r="T109" s="606"/>
      <c r="U109" s="606"/>
      <c r="V109" s="606"/>
      <c r="W109" s="606"/>
      <c r="X109" s="606"/>
      <c r="Y109" s="606"/>
      <c r="Z109" s="606"/>
      <c r="AA109" s="606"/>
      <c r="AB109" s="606"/>
      <c r="AC109" s="606"/>
      <c r="AD109" s="606"/>
      <c r="AE109" s="606"/>
      <c r="AF109" s="606"/>
      <c r="AG109" s="606"/>
      <c r="AH109" s="606"/>
      <c r="AI109" s="606"/>
      <c r="AJ109" s="606"/>
      <c r="AK109" s="606"/>
      <c r="AL109" s="606"/>
      <c r="AM109" s="606"/>
      <c r="AN109" s="606"/>
      <c r="AO109" s="606"/>
      <c r="AP109" s="606"/>
      <c r="AQ109" s="606"/>
      <c r="AR109" s="606"/>
      <c r="AS109" s="606"/>
      <c r="AT109" s="606"/>
      <c r="AU109" s="606"/>
      <c r="AV109" s="606"/>
      <c r="AW109" s="606"/>
      <c r="AX109" s="606"/>
      <c r="AY109" s="606"/>
      <c r="AZ109" s="606"/>
    </row>
    <row r="110" spans="1:52" s="44" customFormat="1" ht="12.75" x14ac:dyDescent="0.2">
      <c r="A110" s="613"/>
      <c r="B110" s="601"/>
      <c r="C110" s="601"/>
      <c r="D110" s="604"/>
      <c r="E110" s="603"/>
      <c r="F110" s="604"/>
      <c r="G110" s="601"/>
      <c r="H110" s="604"/>
      <c r="I110" s="605"/>
      <c r="J110" s="601"/>
      <c r="K110" s="605"/>
      <c r="L110" s="605"/>
      <c r="M110" s="605"/>
      <c r="N110" s="602"/>
      <c r="O110" s="606"/>
      <c r="P110" s="606"/>
      <c r="Q110" s="599"/>
      <c r="R110" s="599"/>
      <c r="S110" s="606"/>
      <c r="T110" s="606"/>
      <c r="U110" s="606"/>
      <c r="V110" s="606"/>
      <c r="W110" s="606"/>
      <c r="X110" s="606"/>
      <c r="Y110" s="606"/>
      <c r="Z110" s="606"/>
      <c r="AA110" s="606"/>
      <c r="AB110" s="606"/>
      <c r="AC110" s="606"/>
      <c r="AD110" s="606"/>
      <c r="AE110" s="606"/>
      <c r="AF110" s="606"/>
      <c r="AG110" s="606"/>
      <c r="AH110" s="606"/>
      <c r="AI110" s="606"/>
      <c r="AJ110" s="606"/>
      <c r="AK110" s="606"/>
      <c r="AL110" s="606"/>
      <c r="AM110" s="606"/>
      <c r="AN110" s="606"/>
      <c r="AO110" s="606"/>
      <c r="AP110" s="606"/>
      <c r="AQ110" s="606"/>
      <c r="AR110" s="606"/>
      <c r="AS110" s="606"/>
      <c r="AT110" s="606"/>
      <c r="AU110" s="606"/>
      <c r="AV110" s="606"/>
      <c r="AW110" s="606"/>
      <c r="AX110" s="606"/>
      <c r="AY110" s="606"/>
      <c r="AZ110" s="606"/>
    </row>
    <row r="111" spans="1:52" s="44" customFormat="1" ht="12.75" x14ac:dyDescent="0.2">
      <c r="A111" s="613"/>
      <c r="B111" s="601"/>
      <c r="C111" s="601"/>
      <c r="D111" s="604"/>
      <c r="E111" s="603"/>
      <c r="F111" s="604"/>
      <c r="G111" s="601"/>
      <c r="H111" s="604"/>
      <c r="I111" s="605"/>
      <c r="J111" s="601"/>
      <c r="K111" s="605"/>
      <c r="L111" s="605"/>
      <c r="M111" s="605"/>
      <c r="N111" s="602"/>
      <c r="O111" s="606"/>
      <c r="P111" s="606"/>
      <c r="Q111" s="599"/>
      <c r="R111" s="599"/>
      <c r="S111" s="606"/>
      <c r="T111" s="606"/>
      <c r="U111" s="606"/>
      <c r="V111" s="606"/>
      <c r="W111" s="606"/>
      <c r="X111" s="606"/>
      <c r="Y111" s="606"/>
      <c r="Z111" s="606"/>
      <c r="AA111" s="606"/>
      <c r="AB111" s="606"/>
      <c r="AC111" s="606"/>
      <c r="AD111" s="606"/>
      <c r="AE111" s="606"/>
      <c r="AF111" s="606"/>
      <c r="AG111" s="606"/>
      <c r="AH111" s="606"/>
      <c r="AI111" s="606"/>
      <c r="AJ111" s="606"/>
      <c r="AK111" s="606"/>
      <c r="AL111" s="606"/>
      <c r="AM111" s="606"/>
      <c r="AN111" s="606"/>
      <c r="AO111" s="606"/>
      <c r="AP111" s="606"/>
      <c r="AQ111" s="606"/>
      <c r="AR111" s="606"/>
      <c r="AS111" s="606"/>
      <c r="AT111" s="606"/>
      <c r="AU111" s="606"/>
      <c r="AV111" s="606"/>
      <c r="AW111" s="606"/>
      <c r="AX111" s="606"/>
      <c r="AY111" s="606"/>
      <c r="AZ111" s="606"/>
    </row>
    <row r="112" spans="1:52" s="44" customFormat="1" ht="12.75" x14ac:dyDescent="0.2">
      <c r="A112" s="613"/>
      <c r="B112" s="601"/>
      <c r="C112" s="601"/>
      <c r="D112" s="604"/>
      <c r="E112" s="603"/>
      <c r="F112" s="604"/>
      <c r="G112" s="601"/>
      <c r="H112" s="604"/>
      <c r="I112" s="605"/>
      <c r="J112" s="601"/>
      <c r="K112" s="605"/>
      <c r="L112" s="605"/>
      <c r="M112" s="605"/>
      <c r="N112" s="602"/>
      <c r="O112" s="606"/>
      <c r="P112" s="606"/>
      <c r="Q112" s="599"/>
      <c r="R112" s="599"/>
      <c r="S112" s="606"/>
      <c r="T112" s="606"/>
      <c r="U112" s="606"/>
      <c r="V112" s="606"/>
      <c r="W112" s="606"/>
      <c r="X112" s="606"/>
      <c r="Y112" s="606"/>
      <c r="Z112" s="606"/>
      <c r="AA112" s="606"/>
      <c r="AB112" s="606"/>
      <c r="AC112" s="606"/>
      <c r="AD112" s="606"/>
      <c r="AE112" s="606"/>
      <c r="AF112" s="606"/>
      <c r="AG112" s="606"/>
      <c r="AH112" s="606"/>
      <c r="AI112" s="606"/>
      <c r="AJ112" s="606"/>
      <c r="AK112" s="606"/>
      <c r="AL112" s="606"/>
      <c r="AM112" s="606"/>
      <c r="AN112" s="606"/>
      <c r="AO112" s="606"/>
      <c r="AP112" s="606"/>
      <c r="AQ112" s="606"/>
      <c r="AR112" s="606"/>
      <c r="AS112" s="606"/>
      <c r="AT112" s="606"/>
      <c r="AU112" s="606"/>
      <c r="AV112" s="606"/>
      <c r="AW112" s="606"/>
      <c r="AX112" s="606"/>
      <c r="AY112" s="606"/>
      <c r="AZ112" s="606"/>
    </row>
    <row r="113" spans="1:52" s="44" customFormat="1" ht="12.75" x14ac:dyDescent="0.2">
      <c r="A113" s="613"/>
      <c r="B113" s="601"/>
      <c r="C113" s="601"/>
      <c r="D113" s="604"/>
      <c r="E113" s="603"/>
      <c r="F113" s="604"/>
      <c r="G113" s="601"/>
      <c r="H113" s="604"/>
      <c r="I113" s="605"/>
      <c r="J113" s="601"/>
      <c r="K113" s="605"/>
      <c r="L113" s="605"/>
      <c r="M113" s="605"/>
      <c r="N113" s="602"/>
      <c r="O113" s="606"/>
      <c r="P113" s="606"/>
      <c r="Q113" s="599"/>
      <c r="R113" s="599"/>
      <c r="S113" s="606"/>
      <c r="T113" s="606"/>
      <c r="U113" s="606"/>
      <c r="V113" s="606"/>
      <c r="W113" s="606"/>
      <c r="X113" s="606"/>
      <c r="Y113" s="606"/>
      <c r="Z113" s="606"/>
      <c r="AA113" s="606"/>
      <c r="AB113" s="606"/>
      <c r="AC113" s="606"/>
      <c r="AD113" s="606"/>
      <c r="AE113" s="606"/>
      <c r="AF113" s="606"/>
      <c r="AG113" s="606"/>
      <c r="AH113" s="606"/>
      <c r="AI113" s="606"/>
      <c r="AJ113" s="606"/>
      <c r="AK113" s="606"/>
      <c r="AL113" s="606"/>
      <c r="AM113" s="606"/>
      <c r="AN113" s="606"/>
      <c r="AO113" s="606"/>
      <c r="AP113" s="606"/>
      <c r="AQ113" s="606"/>
      <c r="AR113" s="606"/>
      <c r="AS113" s="606"/>
      <c r="AT113" s="606"/>
      <c r="AU113" s="606"/>
      <c r="AV113" s="606"/>
      <c r="AW113" s="606"/>
      <c r="AX113" s="606"/>
      <c r="AY113" s="606"/>
      <c r="AZ113" s="606"/>
    </row>
    <row r="114" spans="1:52" s="44" customFormat="1" ht="12.75" x14ac:dyDescent="0.2">
      <c r="A114" s="613"/>
      <c r="B114" s="601"/>
      <c r="C114" s="601"/>
      <c r="D114" s="604"/>
      <c r="E114" s="603"/>
      <c r="F114" s="604"/>
      <c r="G114" s="601"/>
      <c r="H114" s="604"/>
      <c r="I114" s="605"/>
      <c r="J114" s="601"/>
      <c r="K114" s="605"/>
      <c r="L114" s="605"/>
      <c r="M114" s="605"/>
      <c r="N114" s="602"/>
      <c r="O114" s="606"/>
      <c r="P114" s="606"/>
      <c r="Q114" s="599"/>
      <c r="R114" s="599"/>
      <c r="S114" s="606"/>
      <c r="T114" s="606"/>
      <c r="U114" s="606"/>
      <c r="V114" s="606"/>
      <c r="W114" s="606"/>
      <c r="X114" s="606"/>
      <c r="Y114" s="606"/>
      <c r="Z114" s="606"/>
      <c r="AA114" s="606"/>
      <c r="AB114" s="606"/>
      <c r="AC114" s="606"/>
      <c r="AD114" s="606"/>
      <c r="AE114" s="606"/>
      <c r="AF114" s="606"/>
      <c r="AG114" s="606"/>
      <c r="AH114" s="606"/>
      <c r="AI114" s="606"/>
      <c r="AJ114" s="606"/>
      <c r="AK114" s="606"/>
      <c r="AL114" s="606"/>
      <c r="AM114" s="606"/>
      <c r="AN114" s="606"/>
      <c r="AO114" s="606"/>
      <c r="AP114" s="606"/>
      <c r="AQ114" s="606"/>
      <c r="AR114" s="606"/>
      <c r="AS114" s="606"/>
      <c r="AT114" s="606"/>
      <c r="AU114" s="606"/>
      <c r="AV114" s="606"/>
      <c r="AW114" s="606"/>
      <c r="AX114" s="606"/>
      <c r="AY114" s="606"/>
      <c r="AZ114" s="606"/>
    </row>
    <row r="115" spans="1:52" s="44" customFormat="1" ht="12.75" x14ac:dyDescent="0.2">
      <c r="A115" s="613"/>
      <c r="B115" s="601"/>
      <c r="C115" s="601"/>
      <c r="D115" s="604"/>
      <c r="E115" s="603"/>
      <c r="F115" s="604"/>
      <c r="G115" s="601"/>
      <c r="H115" s="604"/>
      <c r="I115" s="605"/>
      <c r="J115" s="601"/>
      <c r="K115" s="605"/>
      <c r="L115" s="605"/>
      <c r="M115" s="605"/>
      <c r="N115" s="602"/>
      <c r="O115" s="606"/>
      <c r="P115" s="606"/>
      <c r="Q115" s="599"/>
      <c r="R115" s="599"/>
      <c r="S115" s="606"/>
      <c r="T115" s="606"/>
      <c r="U115" s="606"/>
      <c r="V115" s="606"/>
      <c r="W115" s="606"/>
      <c r="X115" s="606"/>
      <c r="Y115" s="606"/>
      <c r="Z115" s="606"/>
      <c r="AA115" s="606"/>
      <c r="AB115" s="606"/>
      <c r="AC115" s="606"/>
      <c r="AD115" s="606"/>
      <c r="AE115" s="606"/>
      <c r="AF115" s="606"/>
      <c r="AG115" s="606"/>
      <c r="AH115" s="606"/>
      <c r="AI115" s="606"/>
      <c r="AJ115" s="606"/>
      <c r="AK115" s="606"/>
      <c r="AL115" s="606"/>
      <c r="AM115" s="606"/>
      <c r="AN115" s="606"/>
      <c r="AO115" s="606"/>
      <c r="AP115" s="606"/>
      <c r="AQ115" s="606"/>
      <c r="AR115" s="606"/>
      <c r="AS115" s="606"/>
      <c r="AT115" s="606"/>
      <c r="AU115" s="606"/>
      <c r="AV115" s="606"/>
      <c r="AW115" s="606"/>
      <c r="AX115" s="606"/>
      <c r="AY115" s="606"/>
      <c r="AZ115" s="606"/>
    </row>
    <row r="116" spans="1:52" s="44" customFormat="1" ht="12.75" x14ac:dyDescent="0.2">
      <c r="A116" s="613"/>
      <c r="B116" s="601"/>
      <c r="C116" s="601"/>
      <c r="D116" s="604"/>
      <c r="E116" s="603"/>
      <c r="F116" s="604"/>
      <c r="G116" s="601"/>
      <c r="H116" s="604"/>
      <c r="I116" s="605"/>
      <c r="J116" s="601"/>
      <c r="K116" s="605"/>
      <c r="L116" s="605"/>
      <c r="M116" s="605"/>
      <c r="N116" s="602"/>
      <c r="O116" s="606"/>
      <c r="P116" s="606"/>
      <c r="Q116" s="599"/>
      <c r="R116" s="599"/>
      <c r="S116" s="606"/>
      <c r="T116" s="606"/>
      <c r="U116" s="606"/>
      <c r="V116" s="606"/>
      <c r="W116" s="606"/>
      <c r="X116" s="606"/>
      <c r="Y116" s="606"/>
      <c r="Z116" s="606"/>
      <c r="AA116" s="606"/>
      <c r="AB116" s="606"/>
      <c r="AC116" s="606"/>
      <c r="AD116" s="606"/>
      <c r="AE116" s="606"/>
      <c r="AF116" s="606"/>
      <c r="AG116" s="606"/>
      <c r="AH116" s="606"/>
      <c r="AI116" s="606"/>
      <c r="AJ116" s="606"/>
      <c r="AK116" s="606"/>
      <c r="AL116" s="606"/>
      <c r="AM116" s="606"/>
      <c r="AN116" s="606"/>
      <c r="AO116" s="606"/>
      <c r="AP116" s="606"/>
      <c r="AQ116" s="606"/>
      <c r="AR116" s="606"/>
      <c r="AS116" s="606"/>
      <c r="AT116" s="606"/>
      <c r="AU116" s="606"/>
      <c r="AV116" s="606"/>
      <c r="AW116" s="606"/>
      <c r="AX116" s="606"/>
      <c r="AY116" s="606"/>
      <c r="AZ116" s="606"/>
    </row>
    <row r="117" spans="1:52" s="44" customFormat="1" ht="12.75" x14ac:dyDescent="0.2">
      <c r="A117" s="613"/>
      <c r="B117" s="601"/>
      <c r="C117" s="601"/>
      <c r="D117" s="604"/>
      <c r="E117" s="603"/>
      <c r="F117" s="604"/>
      <c r="G117" s="601"/>
      <c r="H117" s="604"/>
      <c r="I117" s="605"/>
      <c r="J117" s="601"/>
      <c r="K117" s="605"/>
      <c r="L117" s="605"/>
      <c r="M117" s="605"/>
      <c r="N117" s="602"/>
      <c r="O117" s="606"/>
      <c r="P117" s="606"/>
      <c r="Q117" s="599"/>
      <c r="R117" s="599"/>
      <c r="S117" s="606"/>
      <c r="T117" s="606"/>
      <c r="U117" s="606"/>
      <c r="V117" s="606"/>
      <c r="W117" s="606"/>
      <c r="X117" s="606"/>
      <c r="Y117" s="606"/>
      <c r="Z117" s="606"/>
      <c r="AA117" s="606"/>
      <c r="AB117" s="606"/>
      <c r="AC117" s="606"/>
      <c r="AD117" s="606"/>
      <c r="AE117" s="606"/>
      <c r="AF117" s="606"/>
      <c r="AG117" s="606"/>
      <c r="AH117" s="606"/>
      <c r="AI117" s="606"/>
      <c r="AJ117" s="606"/>
      <c r="AK117" s="606"/>
      <c r="AL117" s="606"/>
      <c r="AM117" s="606"/>
      <c r="AN117" s="606"/>
      <c r="AO117" s="606"/>
      <c r="AP117" s="606"/>
      <c r="AQ117" s="606"/>
      <c r="AR117" s="606"/>
      <c r="AS117" s="606"/>
      <c r="AT117" s="606"/>
      <c r="AU117" s="606"/>
      <c r="AV117" s="606"/>
      <c r="AW117" s="606"/>
      <c r="AX117" s="606"/>
      <c r="AY117" s="606"/>
      <c r="AZ117" s="606"/>
    </row>
    <row r="118" spans="1:52" s="44" customFormat="1" ht="12.75" x14ac:dyDescent="0.2">
      <c r="A118" s="613"/>
      <c r="B118" s="601"/>
      <c r="C118" s="601"/>
      <c r="D118" s="604"/>
      <c r="E118" s="603"/>
      <c r="F118" s="604"/>
      <c r="G118" s="601"/>
      <c r="H118" s="604"/>
      <c r="I118" s="605"/>
      <c r="J118" s="601"/>
      <c r="K118" s="605"/>
      <c r="L118" s="605"/>
      <c r="M118" s="605"/>
      <c r="N118" s="602"/>
      <c r="O118" s="606"/>
      <c r="P118" s="606"/>
      <c r="Q118" s="599"/>
      <c r="R118" s="599"/>
      <c r="S118" s="606"/>
      <c r="T118" s="606"/>
      <c r="U118" s="606"/>
      <c r="V118" s="606"/>
      <c r="W118" s="606"/>
      <c r="X118" s="606"/>
      <c r="Y118" s="606"/>
      <c r="Z118" s="606"/>
      <c r="AA118" s="606"/>
      <c r="AB118" s="606"/>
      <c r="AC118" s="606"/>
      <c r="AD118" s="606"/>
      <c r="AE118" s="606"/>
      <c r="AF118" s="606"/>
      <c r="AG118" s="606"/>
      <c r="AH118" s="606"/>
      <c r="AI118" s="606"/>
      <c r="AJ118" s="606"/>
      <c r="AK118" s="606"/>
      <c r="AL118" s="606"/>
      <c r="AM118" s="606"/>
      <c r="AN118" s="606"/>
      <c r="AO118" s="606"/>
      <c r="AP118" s="606"/>
      <c r="AQ118" s="606"/>
      <c r="AR118" s="606"/>
      <c r="AS118" s="606"/>
      <c r="AT118" s="606"/>
      <c r="AU118" s="606"/>
      <c r="AV118" s="606"/>
      <c r="AW118" s="606"/>
      <c r="AX118" s="606"/>
      <c r="AY118" s="606"/>
      <c r="AZ118" s="606"/>
    </row>
    <row r="119" spans="1:52" s="44" customFormat="1" ht="12.75" x14ac:dyDescent="0.2">
      <c r="A119" s="613"/>
      <c r="B119" s="601"/>
      <c r="C119" s="601"/>
      <c r="D119" s="604"/>
      <c r="E119" s="603"/>
      <c r="F119" s="604"/>
      <c r="G119" s="601"/>
      <c r="H119" s="604"/>
      <c r="I119" s="605"/>
      <c r="J119" s="601"/>
      <c r="K119" s="605"/>
      <c r="L119" s="605"/>
      <c r="M119" s="605"/>
      <c r="N119" s="602"/>
      <c r="O119" s="606"/>
      <c r="P119" s="606"/>
      <c r="Q119" s="599"/>
      <c r="R119" s="599"/>
      <c r="S119" s="606"/>
      <c r="T119" s="606"/>
      <c r="U119" s="606"/>
      <c r="V119" s="606"/>
      <c r="W119" s="606"/>
      <c r="X119" s="606"/>
      <c r="Y119" s="606"/>
      <c r="Z119" s="606"/>
      <c r="AA119" s="606"/>
      <c r="AB119" s="606"/>
      <c r="AC119" s="606"/>
      <c r="AD119" s="606"/>
      <c r="AE119" s="606"/>
      <c r="AF119" s="606"/>
      <c r="AG119" s="606"/>
      <c r="AH119" s="606"/>
      <c r="AI119" s="606"/>
      <c r="AJ119" s="606"/>
      <c r="AK119" s="606"/>
      <c r="AL119" s="606"/>
      <c r="AM119" s="606"/>
      <c r="AN119" s="606"/>
      <c r="AO119" s="606"/>
      <c r="AP119" s="606"/>
      <c r="AQ119" s="606"/>
      <c r="AR119" s="606"/>
      <c r="AS119" s="606"/>
      <c r="AT119" s="606"/>
      <c r="AU119" s="606"/>
      <c r="AV119" s="606"/>
      <c r="AW119" s="606"/>
      <c r="AX119" s="606"/>
      <c r="AY119" s="606"/>
      <c r="AZ119" s="606"/>
    </row>
    <row r="120" spans="1:52" s="44" customFormat="1" ht="12.75" x14ac:dyDescent="0.2">
      <c r="A120" s="613"/>
      <c r="B120" s="601"/>
      <c r="C120" s="601"/>
      <c r="D120" s="604"/>
      <c r="E120" s="603"/>
      <c r="F120" s="604"/>
      <c r="G120" s="601"/>
      <c r="H120" s="604"/>
      <c r="I120" s="605"/>
      <c r="J120" s="601"/>
      <c r="K120" s="605"/>
      <c r="L120" s="605"/>
      <c r="M120" s="605"/>
      <c r="N120" s="602"/>
      <c r="O120" s="606"/>
      <c r="P120" s="606"/>
      <c r="Q120" s="599"/>
      <c r="R120" s="599"/>
      <c r="S120" s="606"/>
      <c r="T120" s="606"/>
      <c r="U120" s="606"/>
      <c r="V120" s="606"/>
      <c r="W120" s="606"/>
      <c r="X120" s="606"/>
      <c r="Y120" s="606"/>
      <c r="Z120" s="606"/>
      <c r="AA120" s="606"/>
      <c r="AB120" s="606"/>
      <c r="AC120" s="606"/>
      <c r="AD120" s="606"/>
      <c r="AE120" s="606"/>
      <c r="AF120" s="606"/>
      <c r="AG120" s="606"/>
      <c r="AH120" s="606"/>
      <c r="AI120" s="606"/>
      <c r="AJ120" s="606"/>
      <c r="AK120" s="606"/>
      <c r="AL120" s="606"/>
      <c r="AM120" s="606"/>
      <c r="AN120" s="606"/>
      <c r="AO120" s="606"/>
      <c r="AP120" s="606"/>
      <c r="AQ120" s="606"/>
      <c r="AR120" s="606"/>
      <c r="AS120" s="606"/>
      <c r="AT120" s="606"/>
      <c r="AU120" s="606"/>
      <c r="AV120" s="606"/>
      <c r="AW120" s="606"/>
      <c r="AX120" s="606"/>
      <c r="AY120" s="606"/>
      <c r="AZ120" s="606"/>
    </row>
    <row r="121" spans="1:52" s="44" customFormat="1" ht="12.75" x14ac:dyDescent="0.2">
      <c r="A121" s="613"/>
      <c r="B121" s="601"/>
      <c r="C121" s="601"/>
      <c r="D121" s="604"/>
      <c r="E121" s="603"/>
      <c r="F121" s="604"/>
      <c r="G121" s="601"/>
      <c r="H121" s="604"/>
      <c r="I121" s="605"/>
      <c r="J121" s="601"/>
      <c r="K121" s="605"/>
      <c r="L121" s="605"/>
      <c r="M121" s="605"/>
      <c r="N121" s="602"/>
      <c r="O121" s="606"/>
      <c r="P121" s="606"/>
      <c r="Q121" s="599"/>
      <c r="R121" s="599"/>
      <c r="S121" s="606"/>
      <c r="T121" s="606"/>
      <c r="U121" s="606"/>
      <c r="V121" s="606"/>
      <c r="W121" s="606"/>
      <c r="X121" s="606"/>
      <c r="Y121" s="606"/>
      <c r="Z121" s="606"/>
      <c r="AA121" s="606"/>
      <c r="AB121" s="606"/>
      <c r="AC121" s="606"/>
      <c r="AD121" s="606"/>
      <c r="AE121" s="606"/>
      <c r="AF121" s="606"/>
      <c r="AG121" s="606"/>
      <c r="AH121" s="606"/>
      <c r="AI121" s="606"/>
      <c r="AJ121" s="606"/>
      <c r="AK121" s="606"/>
      <c r="AL121" s="606"/>
      <c r="AM121" s="606"/>
      <c r="AN121" s="606"/>
      <c r="AO121" s="606"/>
      <c r="AP121" s="606"/>
      <c r="AQ121" s="606"/>
      <c r="AR121" s="606"/>
      <c r="AS121" s="606"/>
      <c r="AT121" s="606"/>
      <c r="AU121" s="606"/>
      <c r="AV121" s="606"/>
      <c r="AW121" s="606"/>
      <c r="AX121" s="606"/>
      <c r="AY121" s="606"/>
      <c r="AZ121" s="606"/>
    </row>
    <row r="122" spans="1:52" s="44" customFormat="1" ht="12.75" x14ac:dyDescent="0.2">
      <c r="A122" s="613"/>
      <c r="B122" s="601"/>
      <c r="C122" s="601"/>
      <c r="D122" s="604"/>
      <c r="E122" s="603"/>
      <c r="F122" s="604"/>
      <c r="G122" s="601"/>
      <c r="H122" s="604"/>
      <c r="I122" s="605"/>
      <c r="J122" s="601"/>
      <c r="K122" s="605"/>
      <c r="L122" s="605"/>
      <c r="M122" s="605"/>
      <c r="N122" s="602"/>
      <c r="O122" s="606"/>
      <c r="P122" s="606"/>
      <c r="Q122" s="599"/>
      <c r="R122" s="599"/>
      <c r="S122" s="606"/>
      <c r="T122" s="606"/>
      <c r="U122" s="606"/>
      <c r="V122" s="606"/>
      <c r="W122" s="606"/>
      <c r="X122" s="606"/>
      <c r="Y122" s="606"/>
      <c r="Z122" s="606"/>
      <c r="AA122" s="606"/>
      <c r="AB122" s="606"/>
      <c r="AC122" s="606"/>
      <c r="AD122" s="606"/>
      <c r="AE122" s="606"/>
      <c r="AF122" s="606"/>
      <c r="AG122" s="606"/>
      <c r="AH122" s="606"/>
      <c r="AI122" s="606"/>
      <c r="AJ122" s="606"/>
      <c r="AK122" s="606"/>
      <c r="AL122" s="606"/>
      <c r="AM122" s="606"/>
      <c r="AN122" s="606"/>
      <c r="AO122" s="606"/>
      <c r="AP122" s="606"/>
      <c r="AQ122" s="606"/>
      <c r="AR122" s="606"/>
      <c r="AS122" s="606"/>
      <c r="AT122" s="606"/>
      <c r="AU122" s="606"/>
      <c r="AV122" s="606"/>
      <c r="AW122" s="606"/>
      <c r="AX122" s="606"/>
      <c r="AY122" s="606"/>
      <c r="AZ122" s="606"/>
    </row>
    <row r="123" spans="1:52" s="44" customFormat="1" ht="12.75" x14ac:dyDescent="0.2">
      <c r="A123" s="613"/>
      <c r="B123" s="601"/>
      <c r="C123" s="601"/>
      <c r="D123" s="604"/>
      <c r="E123" s="603"/>
      <c r="F123" s="604"/>
      <c r="G123" s="601"/>
      <c r="H123" s="604"/>
      <c r="I123" s="605"/>
      <c r="J123" s="601"/>
      <c r="K123" s="605"/>
      <c r="L123" s="605"/>
      <c r="M123" s="605"/>
      <c r="N123" s="602"/>
      <c r="O123" s="606"/>
      <c r="P123" s="606"/>
      <c r="Q123" s="599"/>
      <c r="R123" s="599"/>
      <c r="S123" s="606"/>
      <c r="T123" s="606"/>
      <c r="U123" s="606"/>
      <c r="V123" s="606"/>
      <c r="W123" s="606"/>
      <c r="X123" s="606"/>
      <c r="Y123" s="606"/>
      <c r="Z123" s="606"/>
      <c r="AA123" s="606"/>
      <c r="AB123" s="606"/>
      <c r="AC123" s="606"/>
      <c r="AD123" s="606"/>
      <c r="AE123" s="606"/>
      <c r="AF123" s="606"/>
      <c r="AG123" s="606"/>
      <c r="AH123" s="606"/>
      <c r="AI123" s="606"/>
      <c r="AJ123" s="606"/>
      <c r="AK123" s="606"/>
      <c r="AL123" s="606"/>
      <c r="AM123" s="606"/>
      <c r="AN123" s="606"/>
      <c r="AO123" s="606"/>
      <c r="AP123" s="606"/>
      <c r="AQ123" s="606"/>
      <c r="AR123" s="606"/>
      <c r="AS123" s="606"/>
      <c r="AT123" s="606"/>
      <c r="AU123" s="606"/>
      <c r="AV123" s="606"/>
      <c r="AW123" s="606"/>
      <c r="AX123" s="606"/>
      <c r="AY123" s="606"/>
      <c r="AZ123" s="606"/>
    </row>
    <row r="124" spans="1:52" s="44" customFormat="1" ht="12.75" x14ac:dyDescent="0.2">
      <c r="A124" s="613"/>
      <c r="B124" s="601"/>
      <c r="C124" s="601"/>
      <c r="D124" s="604"/>
      <c r="E124" s="603"/>
      <c r="F124" s="604"/>
      <c r="G124" s="601"/>
      <c r="H124" s="604"/>
      <c r="I124" s="605"/>
      <c r="J124" s="601"/>
      <c r="K124" s="605"/>
      <c r="L124" s="605"/>
      <c r="M124" s="605"/>
      <c r="N124" s="602"/>
      <c r="O124" s="606"/>
      <c r="P124" s="606"/>
      <c r="Q124" s="599"/>
      <c r="R124" s="599"/>
      <c r="S124" s="606"/>
      <c r="T124" s="606"/>
      <c r="U124" s="606"/>
      <c r="V124" s="606"/>
      <c r="W124" s="606"/>
      <c r="X124" s="606"/>
      <c r="Y124" s="606"/>
      <c r="Z124" s="606"/>
      <c r="AA124" s="606"/>
      <c r="AB124" s="606"/>
      <c r="AC124" s="606"/>
      <c r="AD124" s="606"/>
      <c r="AE124" s="606"/>
      <c r="AF124" s="606"/>
      <c r="AG124" s="606"/>
      <c r="AH124" s="606"/>
      <c r="AI124" s="606"/>
      <c r="AJ124" s="606"/>
      <c r="AK124" s="606"/>
      <c r="AL124" s="606"/>
      <c r="AM124" s="606"/>
      <c r="AN124" s="606"/>
      <c r="AO124" s="606"/>
      <c r="AP124" s="606"/>
      <c r="AQ124" s="606"/>
      <c r="AR124" s="606"/>
      <c r="AS124" s="606"/>
      <c r="AT124" s="606"/>
      <c r="AU124" s="606"/>
      <c r="AV124" s="606"/>
      <c r="AW124" s="606"/>
      <c r="AX124" s="606"/>
      <c r="AY124" s="606"/>
      <c r="AZ124" s="606"/>
    </row>
    <row r="125" spans="1:52" s="44" customFormat="1" ht="12.75" x14ac:dyDescent="0.2">
      <c r="A125" s="613"/>
      <c r="B125" s="601"/>
      <c r="C125" s="601"/>
      <c r="D125" s="604"/>
      <c r="E125" s="603"/>
      <c r="F125" s="604"/>
      <c r="G125" s="601"/>
      <c r="H125" s="604"/>
      <c r="I125" s="605"/>
      <c r="J125" s="601"/>
      <c r="K125" s="605"/>
      <c r="L125" s="605"/>
      <c r="M125" s="605"/>
      <c r="N125" s="602"/>
      <c r="O125" s="606"/>
      <c r="P125" s="606"/>
      <c r="Q125" s="599"/>
      <c r="R125" s="599"/>
      <c r="S125" s="606"/>
      <c r="T125" s="606"/>
      <c r="U125" s="606"/>
      <c r="V125" s="606"/>
      <c r="W125" s="606"/>
      <c r="X125" s="606"/>
      <c r="Y125" s="606"/>
      <c r="Z125" s="606"/>
      <c r="AA125" s="606"/>
      <c r="AB125" s="606"/>
      <c r="AC125" s="606"/>
      <c r="AD125" s="606"/>
      <c r="AE125" s="606"/>
      <c r="AF125" s="606"/>
      <c r="AG125" s="606"/>
      <c r="AH125" s="606"/>
      <c r="AI125" s="606"/>
      <c r="AJ125" s="606"/>
      <c r="AK125" s="606"/>
      <c r="AL125" s="606"/>
      <c r="AM125" s="606"/>
      <c r="AN125" s="606"/>
      <c r="AO125" s="606"/>
      <c r="AP125" s="606"/>
      <c r="AQ125" s="606"/>
      <c r="AR125" s="606"/>
      <c r="AS125" s="606"/>
      <c r="AT125" s="606"/>
      <c r="AU125" s="606"/>
      <c r="AV125" s="606"/>
      <c r="AW125" s="606"/>
      <c r="AX125" s="606"/>
      <c r="AY125" s="606"/>
      <c r="AZ125" s="606"/>
    </row>
    <row r="126" spans="1:52" s="44" customFormat="1" ht="12.75" x14ac:dyDescent="0.2">
      <c r="A126" s="613"/>
      <c r="B126" s="601"/>
      <c r="C126" s="601"/>
      <c r="D126" s="604"/>
      <c r="E126" s="603"/>
      <c r="F126" s="604"/>
      <c r="G126" s="601"/>
      <c r="H126" s="604"/>
      <c r="I126" s="605"/>
      <c r="J126" s="601"/>
      <c r="K126" s="605"/>
      <c r="L126" s="605"/>
      <c r="M126" s="605"/>
      <c r="N126" s="602"/>
      <c r="O126" s="606"/>
      <c r="P126" s="606"/>
      <c r="Q126" s="599"/>
      <c r="R126" s="599"/>
      <c r="S126" s="606"/>
      <c r="T126" s="606"/>
      <c r="U126" s="606"/>
      <c r="V126" s="606"/>
      <c r="W126" s="606"/>
      <c r="X126" s="606"/>
      <c r="Y126" s="606"/>
      <c r="Z126" s="606"/>
      <c r="AA126" s="606"/>
      <c r="AB126" s="606"/>
      <c r="AC126" s="606"/>
      <c r="AD126" s="606"/>
      <c r="AE126" s="606"/>
      <c r="AF126" s="606"/>
      <c r="AG126" s="606"/>
      <c r="AH126" s="606"/>
      <c r="AI126" s="606"/>
      <c r="AJ126" s="606"/>
      <c r="AK126" s="606"/>
      <c r="AL126" s="606"/>
      <c r="AM126" s="606"/>
      <c r="AN126" s="606"/>
      <c r="AO126" s="606"/>
      <c r="AP126" s="606"/>
      <c r="AQ126" s="606"/>
      <c r="AR126" s="606"/>
      <c r="AS126" s="606"/>
      <c r="AT126" s="606"/>
      <c r="AU126" s="606"/>
      <c r="AV126" s="606"/>
      <c r="AW126" s="606"/>
      <c r="AX126" s="606"/>
      <c r="AY126" s="606"/>
      <c r="AZ126" s="606"/>
    </row>
    <row r="127" spans="1:52" s="44" customFormat="1" ht="12.75" x14ac:dyDescent="0.2">
      <c r="A127" s="613"/>
      <c r="B127" s="601"/>
      <c r="C127" s="601"/>
      <c r="D127" s="604"/>
      <c r="E127" s="603"/>
      <c r="F127" s="604"/>
      <c r="G127" s="601"/>
      <c r="H127" s="604"/>
      <c r="I127" s="605"/>
      <c r="J127" s="601"/>
      <c r="K127" s="605"/>
      <c r="L127" s="605"/>
      <c r="M127" s="605"/>
      <c r="N127" s="602"/>
      <c r="O127" s="606"/>
      <c r="P127" s="606"/>
      <c r="Q127" s="599"/>
      <c r="R127" s="599"/>
      <c r="S127" s="606"/>
      <c r="T127" s="606"/>
      <c r="U127" s="606"/>
      <c r="V127" s="606"/>
      <c r="W127" s="606"/>
      <c r="X127" s="606"/>
      <c r="Y127" s="606"/>
      <c r="Z127" s="606"/>
      <c r="AA127" s="606"/>
      <c r="AB127" s="606"/>
      <c r="AC127" s="606"/>
      <c r="AD127" s="606"/>
      <c r="AE127" s="606"/>
      <c r="AF127" s="606"/>
      <c r="AG127" s="606"/>
      <c r="AH127" s="606"/>
      <c r="AI127" s="606"/>
      <c r="AJ127" s="606"/>
      <c r="AK127" s="606"/>
      <c r="AL127" s="606"/>
      <c r="AM127" s="606"/>
      <c r="AN127" s="606"/>
      <c r="AO127" s="606"/>
      <c r="AP127" s="606"/>
      <c r="AQ127" s="606"/>
      <c r="AR127" s="606"/>
      <c r="AS127" s="606"/>
      <c r="AT127" s="606"/>
      <c r="AU127" s="606"/>
      <c r="AV127" s="606"/>
      <c r="AW127" s="606"/>
      <c r="AX127" s="606"/>
      <c r="AY127" s="606"/>
      <c r="AZ127" s="606"/>
    </row>
    <row r="128" spans="1:52" s="44" customFormat="1" ht="12.75" x14ac:dyDescent="0.2">
      <c r="A128" s="613"/>
      <c r="B128" s="601"/>
      <c r="C128" s="601"/>
      <c r="D128" s="604"/>
      <c r="E128" s="603"/>
      <c r="F128" s="604"/>
      <c r="G128" s="601"/>
      <c r="H128" s="604"/>
      <c r="I128" s="605"/>
      <c r="J128" s="601"/>
      <c r="K128" s="605"/>
      <c r="L128" s="605"/>
      <c r="M128" s="605"/>
      <c r="N128" s="602"/>
      <c r="O128" s="606"/>
      <c r="P128" s="606"/>
      <c r="Q128" s="599"/>
      <c r="R128" s="599"/>
      <c r="S128" s="606"/>
      <c r="T128" s="606"/>
      <c r="U128" s="606"/>
      <c r="V128" s="606"/>
      <c r="W128" s="606"/>
      <c r="X128" s="606"/>
      <c r="Y128" s="606"/>
      <c r="Z128" s="606"/>
      <c r="AA128" s="606"/>
      <c r="AB128" s="606"/>
      <c r="AC128" s="606"/>
      <c r="AD128" s="606"/>
      <c r="AE128" s="606"/>
      <c r="AF128" s="606"/>
      <c r="AG128" s="606"/>
      <c r="AH128" s="606"/>
      <c r="AI128" s="606"/>
      <c r="AJ128" s="606"/>
      <c r="AK128" s="606"/>
      <c r="AL128" s="606"/>
      <c r="AM128" s="606"/>
      <c r="AN128" s="606"/>
      <c r="AO128" s="606"/>
      <c r="AP128" s="606"/>
      <c r="AQ128" s="606"/>
      <c r="AR128" s="606"/>
      <c r="AS128" s="606"/>
      <c r="AT128" s="606"/>
      <c r="AU128" s="606"/>
      <c r="AV128" s="606"/>
      <c r="AW128" s="606"/>
      <c r="AX128" s="606"/>
      <c r="AY128" s="606"/>
      <c r="AZ128" s="606"/>
    </row>
    <row r="129" spans="1:52" s="44" customFormat="1" ht="12.75" x14ac:dyDescent="0.2">
      <c r="A129" s="613"/>
      <c r="B129" s="601"/>
      <c r="C129" s="601"/>
      <c r="D129" s="604"/>
      <c r="E129" s="603"/>
      <c r="F129" s="604"/>
      <c r="G129" s="601"/>
      <c r="H129" s="604"/>
      <c r="I129" s="605"/>
      <c r="J129" s="601"/>
      <c r="K129" s="605"/>
      <c r="L129" s="605"/>
      <c r="M129" s="605"/>
      <c r="N129" s="602"/>
      <c r="O129" s="606"/>
      <c r="P129" s="606"/>
      <c r="Q129" s="599"/>
      <c r="R129" s="599"/>
      <c r="S129" s="606"/>
      <c r="T129" s="606"/>
      <c r="U129" s="606"/>
      <c r="V129" s="606"/>
      <c r="W129" s="606"/>
      <c r="X129" s="606"/>
      <c r="Y129" s="606"/>
      <c r="Z129" s="606"/>
      <c r="AA129" s="606"/>
      <c r="AB129" s="606"/>
      <c r="AC129" s="606"/>
      <c r="AD129" s="606"/>
      <c r="AE129" s="606"/>
      <c r="AF129" s="606"/>
      <c r="AG129" s="606"/>
      <c r="AH129" s="606"/>
      <c r="AI129" s="606"/>
      <c r="AJ129" s="606"/>
      <c r="AK129" s="606"/>
      <c r="AL129" s="606"/>
      <c r="AM129" s="606"/>
      <c r="AN129" s="606"/>
      <c r="AO129" s="606"/>
      <c r="AP129" s="606"/>
      <c r="AQ129" s="606"/>
      <c r="AR129" s="606"/>
      <c r="AS129" s="606"/>
      <c r="AT129" s="606"/>
      <c r="AU129" s="606"/>
      <c r="AV129" s="606"/>
      <c r="AW129" s="606"/>
      <c r="AX129" s="606"/>
      <c r="AY129" s="606"/>
      <c r="AZ129" s="606"/>
    </row>
    <row r="130" spans="1:52" s="44" customFormat="1" ht="12.75" x14ac:dyDescent="0.2">
      <c r="A130" s="613"/>
      <c r="B130" s="601"/>
      <c r="C130" s="601"/>
      <c r="D130" s="604"/>
      <c r="E130" s="603"/>
      <c r="F130" s="604"/>
      <c r="G130" s="601"/>
      <c r="H130" s="604"/>
      <c r="I130" s="605"/>
      <c r="J130" s="601"/>
      <c r="K130" s="605"/>
      <c r="L130" s="605"/>
      <c r="M130" s="605"/>
      <c r="N130" s="602"/>
      <c r="O130" s="606"/>
      <c r="P130" s="606"/>
      <c r="Q130" s="599"/>
      <c r="R130" s="599"/>
      <c r="S130" s="606"/>
      <c r="T130" s="606"/>
      <c r="U130" s="606"/>
      <c r="V130" s="606"/>
      <c r="W130" s="606"/>
      <c r="X130" s="606"/>
      <c r="Y130" s="606"/>
      <c r="Z130" s="606"/>
      <c r="AA130" s="606"/>
      <c r="AB130" s="606"/>
      <c r="AC130" s="606"/>
      <c r="AD130" s="606"/>
      <c r="AE130" s="606"/>
      <c r="AF130" s="606"/>
      <c r="AG130" s="606"/>
      <c r="AH130" s="606"/>
      <c r="AI130" s="606"/>
      <c r="AJ130" s="606"/>
      <c r="AK130" s="606"/>
      <c r="AL130" s="606"/>
      <c r="AM130" s="606"/>
      <c r="AN130" s="606"/>
      <c r="AO130" s="606"/>
      <c r="AP130" s="606"/>
      <c r="AQ130" s="606"/>
      <c r="AR130" s="606"/>
      <c r="AS130" s="606"/>
      <c r="AT130" s="606"/>
      <c r="AU130" s="606"/>
      <c r="AV130" s="606"/>
      <c r="AW130" s="606"/>
      <c r="AX130" s="606"/>
      <c r="AY130" s="606"/>
      <c r="AZ130" s="606"/>
    </row>
    <row r="131" spans="1:52" s="44" customFormat="1" ht="12.75" x14ac:dyDescent="0.2">
      <c r="A131" s="613"/>
      <c r="B131" s="601"/>
      <c r="C131" s="601"/>
      <c r="D131" s="604"/>
      <c r="E131" s="603"/>
      <c r="F131" s="604"/>
      <c r="G131" s="601"/>
      <c r="H131" s="604"/>
      <c r="I131" s="605"/>
      <c r="J131" s="601"/>
      <c r="K131" s="605"/>
      <c r="L131" s="605"/>
      <c r="M131" s="605"/>
      <c r="N131" s="602"/>
      <c r="O131" s="606"/>
      <c r="P131" s="606"/>
      <c r="Q131" s="599"/>
      <c r="R131" s="599"/>
      <c r="S131" s="606"/>
      <c r="T131" s="606"/>
      <c r="U131" s="606"/>
      <c r="V131" s="606"/>
      <c r="W131" s="606"/>
      <c r="X131" s="606"/>
      <c r="Y131" s="606"/>
      <c r="Z131" s="606"/>
      <c r="AA131" s="606"/>
      <c r="AB131" s="606"/>
      <c r="AC131" s="606"/>
      <c r="AD131" s="606"/>
      <c r="AE131" s="606"/>
      <c r="AF131" s="606"/>
      <c r="AG131" s="606"/>
      <c r="AH131" s="606"/>
      <c r="AI131" s="606"/>
      <c r="AJ131" s="606"/>
      <c r="AK131" s="606"/>
      <c r="AL131" s="606"/>
      <c r="AM131" s="606"/>
      <c r="AN131" s="606"/>
      <c r="AO131" s="606"/>
      <c r="AP131" s="606"/>
      <c r="AQ131" s="606"/>
      <c r="AR131" s="606"/>
      <c r="AS131" s="606"/>
      <c r="AT131" s="606"/>
      <c r="AU131" s="606"/>
      <c r="AV131" s="606"/>
      <c r="AW131" s="606"/>
      <c r="AX131" s="606"/>
      <c r="AY131" s="606"/>
      <c r="AZ131" s="606"/>
    </row>
    <row r="132" spans="1:52" s="44" customFormat="1" ht="12.75" x14ac:dyDescent="0.2">
      <c r="A132" s="613"/>
      <c r="B132" s="601"/>
      <c r="C132" s="601"/>
      <c r="D132" s="604"/>
      <c r="E132" s="603"/>
      <c r="F132" s="604"/>
      <c r="G132" s="601"/>
      <c r="H132" s="604"/>
      <c r="I132" s="605"/>
      <c r="J132" s="601"/>
      <c r="K132" s="605"/>
      <c r="L132" s="605"/>
      <c r="M132" s="605"/>
      <c r="N132" s="602"/>
      <c r="O132" s="606"/>
      <c r="P132" s="606"/>
      <c r="Q132" s="599"/>
      <c r="R132" s="599"/>
      <c r="S132" s="606"/>
      <c r="T132" s="606"/>
      <c r="U132" s="606"/>
      <c r="V132" s="606"/>
      <c r="W132" s="606"/>
      <c r="X132" s="606"/>
      <c r="Y132" s="606"/>
      <c r="Z132" s="606"/>
      <c r="AA132" s="606"/>
      <c r="AB132" s="606"/>
      <c r="AC132" s="606"/>
      <c r="AD132" s="606"/>
      <c r="AE132" s="606"/>
      <c r="AF132" s="606"/>
      <c r="AG132" s="606"/>
      <c r="AH132" s="606"/>
      <c r="AI132" s="606"/>
      <c r="AJ132" s="606"/>
      <c r="AK132" s="606"/>
      <c r="AL132" s="606"/>
      <c r="AM132" s="606"/>
      <c r="AN132" s="606"/>
      <c r="AO132" s="606"/>
      <c r="AP132" s="606"/>
      <c r="AQ132" s="606"/>
      <c r="AR132" s="606"/>
      <c r="AS132" s="606"/>
      <c r="AT132" s="606"/>
      <c r="AU132" s="606"/>
      <c r="AV132" s="606"/>
      <c r="AW132" s="606"/>
      <c r="AX132" s="606"/>
      <c r="AY132" s="606"/>
      <c r="AZ132" s="606"/>
    </row>
    <row r="133" spans="1:52" s="44" customFormat="1" ht="12.75" x14ac:dyDescent="0.2">
      <c r="A133" s="613"/>
      <c r="B133" s="601"/>
      <c r="C133" s="601"/>
      <c r="D133" s="604"/>
      <c r="E133" s="603"/>
      <c r="F133" s="604"/>
      <c r="G133" s="601"/>
      <c r="H133" s="604"/>
      <c r="I133" s="605"/>
      <c r="J133" s="601"/>
      <c r="K133" s="605"/>
      <c r="L133" s="605"/>
      <c r="M133" s="605"/>
      <c r="N133" s="602"/>
      <c r="O133" s="606"/>
      <c r="P133" s="606"/>
      <c r="Q133" s="599"/>
      <c r="R133" s="599"/>
      <c r="S133" s="606"/>
      <c r="T133" s="606"/>
      <c r="U133" s="606"/>
      <c r="V133" s="606"/>
      <c r="W133" s="606"/>
      <c r="X133" s="606"/>
      <c r="Y133" s="606"/>
      <c r="Z133" s="606"/>
      <c r="AA133" s="606"/>
      <c r="AB133" s="606"/>
      <c r="AC133" s="606"/>
      <c r="AD133" s="606"/>
      <c r="AE133" s="606"/>
      <c r="AF133" s="606"/>
      <c r="AG133" s="606"/>
      <c r="AH133" s="606"/>
      <c r="AI133" s="606"/>
      <c r="AJ133" s="606"/>
      <c r="AK133" s="606"/>
      <c r="AL133" s="606"/>
      <c r="AM133" s="606"/>
      <c r="AN133" s="606"/>
      <c r="AO133" s="606"/>
      <c r="AP133" s="606"/>
      <c r="AQ133" s="606"/>
      <c r="AR133" s="606"/>
      <c r="AS133" s="606"/>
      <c r="AT133" s="606"/>
      <c r="AU133" s="606"/>
      <c r="AV133" s="606"/>
      <c r="AW133" s="606"/>
      <c r="AX133" s="606"/>
      <c r="AY133" s="606"/>
      <c r="AZ133" s="606"/>
    </row>
    <row r="134" spans="1:52" s="44" customFormat="1" ht="12.75" x14ac:dyDescent="0.2">
      <c r="A134" s="613"/>
      <c r="B134" s="601"/>
      <c r="C134" s="601"/>
      <c r="D134" s="604"/>
      <c r="E134" s="603"/>
      <c r="F134" s="604"/>
      <c r="G134" s="601"/>
      <c r="H134" s="604"/>
      <c r="I134" s="605"/>
      <c r="J134" s="601"/>
      <c r="K134" s="605"/>
      <c r="L134" s="605"/>
      <c r="M134" s="605"/>
      <c r="N134" s="602"/>
      <c r="O134" s="606"/>
      <c r="P134" s="606"/>
      <c r="Q134" s="599"/>
      <c r="R134" s="599"/>
      <c r="S134" s="606"/>
      <c r="T134" s="606"/>
      <c r="U134" s="606"/>
      <c r="V134" s="606"/>
      <c r="W134" s="606"/>
      <c r="X134" s="606"/>
      <c r="Y134" s="606"/>
      <c r="Z134" s="606"/>
      <c r="AA134" s="606"/>
      <c r="AB134" s="606"/>
      <c r="AC134" s="606"/>
      <c r="AD134" s="606"/>
      <c r="AE134" s="606"/>
      <c r="AF134" s="606"/>
      <c r="AG134" s="606"/>
      <c r="AH134" s="606"/>
      <c r="AI134" s="606"/>
      <c r="AJ134" s="606"/>
      <c r="AK134" s="606"/>
      <c r="AL134" s="606"/>
      <c r="AM134" s="606"/>
      <c r="AN134" s="606"/>
      <c r="AO134" s="606"/>
      <c r="AP134" s="606"/>
      <c r="AQ134" s="606"/>
      <c r="AR134" s="606"/>
      <c r="AS134" s="606"/>
      <c r="AT134" s="606"/>
      <c r="AU134" s="606"/>
      <c r="AV134" s="606"/>
      <c r="AW134" s="606"/>
      <c r="AX134" s="606"/>
      <c r="AY134" s="606"/>
      <c r="AZ134" s="606"/>
    </row>
    <row r="135" spans="1:52" s="44" customFormat="1" ht="12.75" x14ac:dyDescent="0.2">
      <c r="A135" s="613"/>
      <c r="B135" s="601"/>
      <c r="C135" s="601"/>
      <c r="D135" s="604"/>
      <c r="E135" s="603"/>
      <c r="F135" s="604"/>
      <c r="G135" s="601"/>
      <c r="H135" s="604"/>
      <c r="I135" s="605"/>
      <c r="J135" s="601"/>
      <c r="K135" s="605"/>
      <c r="L135" s="605"/>
      <c r="M135" s="605"/>
      <c r="N135" s="602"/>
      <c r="O135" s="606"/>
      <c r="P135" s="606"/>
      <c r="Q135" s="599"/>
      <c r="R135" s="599"/>
      <c r="S135" s="606"/>
      <c r="T135" s="606"/>
      <c r="U135" s="606"/>
      <c r="V135" s="606"/>
      <c r="W135" s="606"/>
      <c r="X135" s="606"/>
      <c r="Y135" s="606"/>
      <c r="Z135" s="606"/>
      <c r="AA135" s="606"/>
      <c r="AB135" s="606"/>
      <c r="AC135" s="606"/>
      <c r="AD135" s="606"/>
      <c r="AE135" s="606"/>
      <c r="AF135" s="606"/>
      <c r="AG135" s="606"/>
      <c r="AH135" s="606"/>
      <c r="AI135" s="606"/>
      <c r="AJ135" s="606"/>
      <c r="AK135" s="606"/>
      <c r="AL135" s="606"/>
      <c r="AM135" s="606"/>
      <c r="AN135" s="606"/>
      <c r="AO135" s="606"/>
      <c r="AP135" s="606"/>
      <c r="AQ135" s="606"/>
      <c r="AR135" s="606"/>
      <c r="AS135" s="606"/>
      <c r="AT135" s="606"/>
      <c r="AU135" s="606"/>
      <c r="AV135" s="606"/>
      <c r="AW135" s="606"/>
      <c r="AX135" s="606"/>
      <c r="AY135" s="606"/>
      <c r="AZ135" s="606"/>
    </row>
    <row r="136" spans="1:52" s="44" customFormat="1" ht="12.75" x14ac:dyDescent="0.2">
      <c r="A136" s="613"/>
      <c r="B136" s="601"/>
      <c r="C136" s="601"/>
      <c r="D136" s="604"/>
      <c r="E136" s="603"/>
      <c r="F136" s="604"/>
      <c r="G136" s="601"/>
      <c r="H136" s="604"/>
      <c r="I136" s="605"/>
      <c r="J136" s="601"/>
      <c r="K136" s="605"/>
      <c r="L136" s="605"/>
      <c r="M136" s="605"/>
      <c r="N136" s="602"/>
      <c r="O136" s="606"/>
      <c r="P136" s="606"/>
      <c r="Q136" s="599"/>
      <c r="R136" s="599"/>
      <c r="S136" s="606"/>
      <c r="T136" s="606"/>
      <c r="U136" s="606"/>
      <c r="V136" s="606"/>
      <c r="W136" s="606"/>
      <c r="X136" s="606"/>
      <c r="Y136" s="606"/>
      <c r="Z136" s="606"/>
      <c r="AA136" s="606"/>
      <c r="AB136" s="606"/>
      <c r="AC136" s="606"/>
      <c r="AD136" s="606"/>
      <c r="AE136" s="606"/>
      <c r="AF136" s="606"/>
      <c r="AG136" s="606"/>
      <c r="AH136" s="606"/>
      <c r="AI136" s="606"/>
      <c r="AJ136" s="606"/>
      <c r="AK136" s="606"/>
      <c r="AL136" s="606"/>
      <c r="AM136" s="606"/>
      <c r="AN136" s="606"/>
      <c r="AO136" s="606"/>
      <c r="AP136" s="606"/>
      <c r="AQ136" s="606"/>
      <c r="AR136" s="606"/>
      <c r="AS136" s="606"/>
      <c r="AT136" s="606"/>
      <c r="AU136" s="606"/>
      <c r="AV136" s="606"/>
      <c r="AW136" s="606"/>
      <c r="AX136" s="606"/>
      <c r="AY136" s="606"/>
      <c r="AZ136" s="606"/>
    </row>
    <row r="137" spans="1:52" s="44" customFormat="1" ht="12.75" x14ac:dyDescent="0.2">
      <c r="A137" s="613"/>
      <c r="B137" s="601"/>
      <c r="C137" s="601"/>
      <c r="D137" s="604"/>
      <c r="E137" s="603"/>
      <c r="F137" s="604"/>
      <c r="G137" s="601"/>
      <c r="H137" s="604"/>
      <c r="I137" s="605"/>
      <c r="J137" s="601"/>
      <c r="K137" s="605"/>
      <c r="L137" s="605"/>
      <c r="M137" s="605"/>
      <c r="N137" s="602"/>
      <c r="O137" s="606"/>
      <c r="P137" s="606"/>
      <c r="Q137" s="599"/>
      <c r="R137" s="599"/>
      <c r="S137" s="606"/>
      <c r="T137" s="606"/>
      <c r="U137" s="606"/>
      <c r="V137" s="606"/>
      <c r="W137" s="606"/>
      <c r="X137" s="606"/>
      <c r="Y137" s="606"/>
      <c r="Z137" s="606"/>
      <c r="AA137" s="606"/>
      <c r="AB137" s="606"/>
      <c r="AC137" s="606"/>
      <c r="AD137" s="606"/>
      <c r="AE137" s="606"/>
      <c r="AF137" s="606"/>
      <c r="AG137" s="606"/>
      <c r="AH137" s="606"/>
      <c r="AI137" s="606"/>
      <c r="AJ137" s="606"/>
      <c r="AK137" s="606"/>
      <c r="AL137" s="606"/>
      <c r="AM137" s="606"/>
      <c r="AN137" s="606"/>
      <c r="AO137" s="606"/>
      <c r="AP137" s="606"/>
      <c r="AQ137" s="606"/>
      <c r="AR137" s="606"/>
      <c r="AS137" s="606"/>
      <c r="AT137" s="606"/>
      <c r="AU137" s="606"/>
      <c r="AV137" s="606"/>
      <c r="AW137" s="606"/>
      <c r="AX137" s="606"/>
      <c r="AY137" s="606"/>
      <c r="AZ137" s="606"/>
    </row>
    <row r="138" spans="1:52" s="44" customFormat="1" ht="12.75" x14ac:dyDescent="0.2">
      <c r="A138" s="613"/>
      <c r="B138" s="601"/>
      <c r="C138" s="601"/>
      <c r="D138" s="604"/>
      <c r="E138" s="603"/>
      <c r="F138" s="604"/>
      <c r="G138" s="601"/>
      <c r="H138" s="604"/>
      <c r="I138" s="605"/>
      <c r="J138" s="601"/>
      <c r="K138" s="605"/>
      <c r="L138" s="605"/>
      <c r="M138" s="605"/>
      <c r="N138" s="602"/>
      <c r="O138" s="606"/>
      <c r="P138" s="606"/>
      <c r="Q138" s="599"/>
      <c r="R138" s="599"/>
      <c r="S138" s="606"/>
      <c r="T138" s="606"/>
      <c r="U138" s="606"/>
      <c r="V138" s="606"/>
      <c r="W138" s="606"/>
      <c r="X138" s="606"/>
      <c r="Y138" s="606"/>
      <c r="Z138" s="606"/>
      <c r="AA138" s="606"/>
      <c r="AB138" s="606"/>
      <c r="AC138" s="606"/>
      <c r="AD138" s="606"/>
      <c r="AE138" s="606"/>
      <c r="AF138" s="606"/>
      <c r="AG138" s="606"/>
      <c r="AH138" s="606"/>
      <c r="AI138" s="606"/>
      <c r="AJ138" s="606"/>
      <c r="AK138" s="606"/>
      <c r="AL138" s="606"/>
      <c r="AM138" s="606"/>
      <c r="AN138" s="606"/>
      <c r="AO138" s="606"/>
      <c r="AP138" s="606"/>
      <c r="AQ138" s="606"/>
      <c r="AR138" s="606"/>
      <c r="AS138" s="606"/>
      <c r="AT138" s="606"/>
      <c r="AU138" s="606"/>
      <c r="AV138" s="606"/>
      <c r="AW138" s="606"/>
      <c r="AX138" s="606"/>
      <c r="AY138" s="606"/>
      <c r="AZ138" s="606"/>
    </row>
    <row r="139" spans="1:52" s="44" customFormat="1" ht="12.75" x14ac:dyDescent="0.2">
      <c r="A139" s="613"/>
      <c r="B139" s="601"/>
      <c r="C139" s="601"/>
      <c r="D139" s="604"/>
      <c r="E139" s="603"/>
      <c r="F139" s="604"/>
      <c r="G139" s="601"/>
      <c r="H139" s="604"/>
      <c r="I139" s="605"/>
      <c r="J139" s="601"/>
      <c r="K139" s="605"/>
      <c r="L139" s="605"/>
      <c r="M139" s="605"/>
      <c r="N139" s="602"/>
      <c r="O139" s="606"/>
      <c r="P139" s="606"/>
      <c r="Q139" s="599"/>
      <c r="R139" s="599"/>
      <c r="S139" s="606"/>
      <c r="T139" s="606"/>
      <c r="U139" s="606"/>
      <c r="V139" s="606"/>
      <c r="W139" s="606"/>
      <c r="X139" s="606"/>
      <c r="Y139" s="606"/>
      <c r="Z139" s="606"/>
      <c r="AA139" s="606"/>
      <c r="AB139" s="606"/>
      <c r="AC139" s="606"/>
      <c r="AD139" s="606"/>
      <c r="AE139" s="606"/>
      <c r="AF139" s="606"/>
      <c r="AG139" s="606"/>
      <c r="AH139" s="606"/>
      <c r="AI139" s="606"/>
      <c r="AJ139" s="606"/>
      <c r="AK139" s="606"/>
      <c r="AL139" s="606"/>
      <c r="AM139" s="606"/>
      <c r="AN139" s="606"/>
      <c r="AO139" s="606"/>
      <c r="AP139" s="606"/>
      <c r="AQ139" s="606"/>
      <c r="AR139" s="606"/>
      <c r="AS139" s="606"/>
      <c r="AT139" s="606"/>
      <c r="AU139" s="606"/>
      <c r="AV139" s="606"/>
      <c r="AW139" s="606"/>
      <c r="AX139" s="606"/>
      <c r="AY139" s="606"/>
      <c r="AZ139" s="606"/>
    </row>
    <row r="140" spans="1:52" s="44" customFormat="1" ht="12.75" x14ac:dyDescent="0.2">
      <c r="A140" s="613"/>
      <c r="B140" s="601"/>
      <c r="C140" s="601"/>
      <c r="D140" s="604"/>
      <c r="E140" s="603"/>
      <c r="F140" s="604"/>
      <c r="G140" s="601"/>
      <c r="H140" s="604"/>
      <c r="I140" s="605"/>
      <c r="J140" s="601"/>
      <c r="K140" s="605"/>
      <c r="L140" s="605"/>
      <c r="M140" s="605"/>
      <c r="N140" s="602"/>
      <c r="O140" s="606"/>
      <c r="P140" s="606"/>
      <c r="Q140" s="599"/>
      <c r="R140" s="599"/>
      <c r="S140" s="606"/>
      <c r="T140" s="606"/>
      <c r="U140" s="606"/>
      <c r="V140" s="606"/>
      <c r="W140" s="606"/>
      <c r="X140" s="606"/>
      <c r="Y140" s="606"/>
      <c r="Z140" s="606"/>
      <c r="AA140" s="606"/>
      <c r="AB140" s="606"/>
      <c r="AC140" s="606"/>
      <c r="AD140" s="606"/>
      <c r="AE140" s="606"/>
      <c r="AF140" s="606"/>
      <c r="AG140" s="606"/>
      <c r="AH140" s="606"/>
      <c r="AI140" s="606"/>
      <c r="AJ140" s="606"/>
      <c r="AK140" s="606"/>
      <c r="AL140" s="606"/>
      <c r="AM140" s="606"/>
      <c r="AN140" s="606"/>
      <c r="AO140" s="606"/>
      <c r="AP140" s="606"/>
      <c r="AQ140" s="606"/>
      <c r="AR140" s="606"/>
      <c r="AS140" s="606"/>
      <c r="AT140" s="606"/>
      <c r="AU140" s="606"/>
      <c r="AV140" s="606"/>
      <c r="AW140" s="606"/>
      <c r="AX140" s="606"/>
      <c r="AY140" s="606"/>
      <c r="AZ140" s="606"/>
    </row>
    <row r="141" spans="1:52" s="44" customFormat="1" ht="12.75" x14ac:dyDescent="0.2">
      <c r="A141" s="613"/>
      <c r="B141" s="601"/>
      <c r="C141" s="601"/>
      <c r="D141" s="604"/>
      <c r="E141" s="603"/>
      <c r="F141" s="604"/>
      <c r="G141" s="601"/>
      <c r="H141" s="604"/>
      <c r="I141" s="605"/>
      <c r="J141" s="601"/>
      <c r="K141" s="605"/>
      <c r="L141" s="605"/>
      <c r="M141" s="605"/>
      <c r="N141" s="602"/>
      <c r="O141" s="606"/>
      <c r="P141" s="606"/>
      <c r="Q141" s="599"/>
      <c r="R141" s="599"/>
      <c r="S141" s="606"/>
      <c r="T141" s="606"/>
      <c r="U141" s="606"/>
      <c r="V141" s="606"/>
      <c r="W141" s="606"/>
      <c r="X141" s="606"/>
      <c r="Y141" s="606"/>
      <c r="Z141" s="606"/>
      <c r="AA141" s="606"/>
      <c r="AB141" s="606"/>
      <c r="AC141" s="606"/>
      <c r="AD141" s="606"/>
      <c r="AE141" s="606"/>
      <c r="AF141" s="606"/>
      <c r="AG141" s="606"/>
      <c r="AH141" s="606"/>
      <c r="AI141" s="606"/>
      <c r="AJ141" s="606"/>
      <c r="AK141" s="606"/>
      <c r="AL141" s="606"/>
      <c r="AM141" s="606"/>
      <c r="AN141" s="606"/>
      <c r="AO141" s="606"/>
      <c r="AP141" s="606"/>
      <c r="AQ141" s="606"/>
      <c r="AR141" s="606"/>
      <c r="AS141" s="606"/>
      <c r="AT141" s="606"/>
      <c r="AU141" s="606"/>
      <c r="AV141" s="606"/>
      <c r="AW141" s="606"/>
      <c r="AX141" s="606"/>
      <c r="AY141" s="606"/>
      <c r="AZ141" s="606"/>
    </row>
    <row r="142" spans="1:52" s="44" customFormat="1" ht="12.75" x14ac:dyDescent="0.2">
      <c r="A142" s="613"/>
      <c r="B142" s="601"/>
      <c r="C142" s="601"/>
      <c r="D142" s="604"/>
      <c r="E142" s="603"/>
      <c r="F142" s="604"/>
      <c r="G142" s="601"/>
      <c r="H142" s="604"/>
      <c r="I142" s="605"/>
      <c r="J142" s="601"/>
      <c r="K142" s="605"/>
      <c r="L142" s="605"/>
      <c r="M142" s="605"/>
      <c r="N142" s="602"/>
      <c r="O142" s="606"/>
      <c r="P142" s="606"/>
      <c r="Q142" s="599"/>
      <c r="R142" s="599"/>
      <c r="S142" s="606"/>
      <c r="T142" s="606"/>
      <c r="U142" s="606"/>
      <c r="V142" s="606"/>
      <c r="W142" s="606"/>
      <c r="X142" s="606"/>
      <c r="Y142" s="606"/>
      <c r="Z142" s="606"/>
      <c r="AA142" s="606"/>
      <c r="AB142" s="606"/>
      <c r="AC142" s="606"/>
      <c r="AD142" s="606"/>
      <c r="AE142" s="606"/>
      <c r="AF142" s="606"/>
      <c r="AG142" s="606"/>
      <c r="AH142" s="606"/>
      <c r="AI142" s="606"/>
      <c r="AJ142" s="606"/>
      <c r="AK142" s="606"/>
      <c r="AL142" s="606"/>
      <c r="AM142" s="606"/>
      <c r="AN142" s="606"/>
      <c r="AO142" s="606"/>
      <c r="AP142" s="606"/>
      <c r="AQ142" s="606"/>
      <c r="AR142" s="606"/>
      <c r="AS142" s="606"/>
      <c r="AT142" s="606"/>
      <c r="AU142" s="606"/>
      <c r="AV142" s="606"/>
      <c r="AW142" s="606"/>
      <c r="AX142" s="606"/>
      <c r="AY142" s="606"/>
      <c r="AZ142" s="606"/>
    </row>
    <row r="143" spans="1:52" s="44" customFormat="1" ht="12.75" x14ac:dyDescent="0.2">
      <c r="A143" s="613"/>
      <c r="B143" s="601"/>
      <c r="C143" s="601"/>
      <c r="D143" s="604"/>
      <c r="E143" s="603"/>
      <c r="F143" s="604"/>
      <c r="G143" s="601"/>
      <c r="H143" s="604"/>
      <c r="I143" s="605"/>
      <c r="J143" s="601"/>
      <c r="K143" s="605"/>
      <c r="L143" s="605"/>
      <c r="M143" s="605"/>
      <c r="N143" s="602"/>
      <c r="O143" s="606"/>
      <c r="P143" s="606"/>
      <c r="Q143" s="599"/>
      <c r="R143" s="599"/>
      <c r="S143" s="606"/>
      <c r="T143" s="606"/>
      <c r="U143" s="606"/>
      <c r="V143" s="606"/>
      <c r="W143" s="606"/>
      <c r="X143" s="606"/>
      <c r="Y143" s="606"/>
      <c r="Z143" s="606"/>
      <c r="AA143" s="606"/>
      <c r="AB143" s="606"/>
      <c r="AC143" s="606"/>
      <c r="AD143" s="606"/>
      <c r="AE143" s="606"/>
      <c r="AF143" s="606"/>
      <c r="AG143" s="606"/>
      <c r="AH143" s="606"/>
      <c r="AI143" s="606"/>
      <c r="AJ143" s="606"/>
      <c r="AK143" s="606"/>
      <c r="AL143" s="606"/>
      <c r="AM143" s="606"/>
      <c r="AN143" s="606"/>
      <c r="AO143" s="606"/>
      <c r="AP143" s="606"/>
      <c r="AQ143" s="606"/>
      <c r="AR143" s="606"/>
      <c r="AS143" s="606"/>
      <c r="AT143" s="606"/>
      <c r="AU143" s="606"/>
      <c r="AV143" s="606"/>
      <c r="AW143" s="606"/>
      <c r="AX143" s="606"/>
      <c r="AY143" s="606"/>
      <c r="AZ143" s="606"/>
    </row>
    <row r="144" spans="1:52" s="44" customFormat="1" ht="12.75" x14ac:dyDescent="0.2">
      <c r="A144" s="613"/>
      <c r="B144" s="601"/>
      <c r="C144" s="601"/>
      <c r="D144" s="604"/>
      <c r="E144" s="603"/>
      <c r="F144" s="604"/>
      <c r="G144" s="601"/>
      <c r="H144" s="604"/>
      <c r="I144" s="605"/>
      <c r="J144" s="601"/>
      <c r="K144" s="605"/>
      <c r="L144" s="605"/>
      <c r="M144" s="605"/>
      <c r="N144" s="602"/>
      <c r="O144" s="606"/>
      <c r="P144" s="606"/>
      <c r="Q144" s="599"/>
      <c r="R144" s="599"/>
      <c r="S144" s="606"/>
      <c r="T144" s="606"/>
      <c r="U144" s="606"/>
      <c r="V144" s="606"/>
      <c r="W144" s="606"/>
      <c r="X144" s="606"/>
      <c r="Y144" s="606"/>
      <c r="Z144" s="606"/>
      <c r="AA144" s="606"/>
      <c r="AB144" s="606"/>
      <c r="AC144" s="606"/>
      <c r="AD144" s="606"/>
      <c r="AE144" s="606"/>
      <c r="AF144" s="606"/>
      <c r="AG144" s="606"/>
      <c r="AH144" s="606"/>
      <c r="AI144" s="606"/>
      <c r="AJ144" s="606"/>
      <c r="AK144" s="606"/>
      <c r="AL144" s="606"/>
      <c r="AM144" s="606"/>
      <c r="AN144" s="606"/>
      <c r="AO144" s="606"/>
      <c r="AP144" s="606"/>
      <c r="AQ144" s="606"/>
      <c r="AR144" s="606"/>
      <c r="AS144" s="606"/>
      <c r="AT144" s="606"/>
      <c r="AU144" s="606"/>
      <c r="AV144" s="606"/>
      <c r="AW144" s="606"/>
      <c r="AX144" s="606"/>
      <c r="AY144" s="606"/>
      <c r="AZ144" s="606"/>
    </row>
    <row r="145" spans="1:52" s="44" customFormat="1" ht="12.75" x14ac:dyDescent="0.2">
      <c r="A145" s="613"/>
      <c r="B145" s="601"/>
      <c r="C145" s="601"/>
      <c r="D145" s="604"/>
      <c r="E145" s="603"/>
      <c r="F145" s="604"/>
      <c r="G145" s="601"/>
      <c r="H145" s="604"/>
      <c r="I145" s="605"/>
      <c r="J145" s="601"/>
      <c r="K145" s="605"/>
      <c r="L145" s="605"/>
      <c r="M145" s="605"/>
      <c r="N145" s="602"/>
      <c r="O145" s="606"/>
      <c r="P145" s="606"/>
      <c r="Q145" s="599"/>
      <c r="R145" s="599"/>
      <c r="S145" s="606"/>
      <c r="T145" s="606"/>
      <c r="U145" s="606"/>
      <c r="V145" s="606"/>
      <c r="W145" s="606"/>
      <c r="X145" s="606"/>
      <c r="Y145" s="606"/>
      <c r="Z145" s="606"/>
      <c r="AA145" s="606"/>
      <c r="AB145" s="606"/>
      <c r="AC145" s="606"/>
      <c r="AD145" s="606"/>
      <c r="AE145" s="606"/>
      <c r="AF145" s="606"/>
      <c r="AG145" s="606"/>
      <c r="AH145" s="606"/>
      <c r="AI145" s="606"/>
      <c r="AJ145" s="606"/>
      <c r="AK145" s="606"/>
      <c r="AL145" s="606"/>
      <c r="AM145" s="606"/>
      <c r="AN145" s="606"/>
      <c r="AO145" s="606"/>
      <c r="AP145" s="606"/>
      <c r="AQ145" s="606"/>
      <c r="AR145" s="606"/>
      <c r="AS145" s="606"/>
      <c r="AT145" s="606"/>
      <c r="AU145" s="606"/>
      <c r="AV145" s="606"/>
      <c r="AW145" s="606"/>
      <c r="AX145" s="606"/>
      <c r="AY145" s="606"/>
      <c r="AZ145" s="606"/>
    </row>
    <row r="146" spans="1:52" s="44" customFormat="1" ht="12.75" x14ac:dyDescent="0.2">
      <c r="A146" s="613"/>
      <c r="B146" s="601"/>
      <c r="C146" s="601"/>
      <c r="D146" s="604"/>
      <c r="E146" s="603"/>
      <c r="F146" s="604"/>
      <c r="G146" s="601"/>
      <c r="H146" s="604"/>
      <c r="I146" s="605"/>
      <c r="J146" s="601"/>
      <c r="K146" s="605"/>
      <c r="L146" s="605"/>
      <c r="M146" s="605"/>
      <c r="N146" s="602"/>
      <c r="O146" s="606"/>
      <c r="P146" s="606"/>
      <c r="Q146" s="599"/>
      <c r="R146" s="599"/>
      <c r="S146" s="606"/>
      <c r="T146" s="606"/>
      <c r="U146" s="606"/>
      <c r="V146" s="606"/>
      <c r="W146" s="606"/>
      <c r="X146" s="606"/>
      <c r="Y146" s="606"/>
      <c r="Z146" s="606"/>
      <c r="AA146" s="606"/>
      <c r="AB146" s="606"/>
      <c r="AC146" s="606"/>
      <c r="AD146" s="606"/>
      <c r="AE146" s="606"/>
      <c r="AF146" s="606"/>
      <c r="AG146" s="606"/>
      <c r="AH146" s="606"/>
      <c r="AI146" s="606"/>
      <c r="AJ146" s="606"/>
      <c r="AK146" s="606"/>
      <c r="AL146" s="606"/>
      <c r="AM146" s="606"/>
      <c r="AN146" s="606"/>
      <c r="AO146" s="606"/>
      <c r="AP146" s="606"/>
      <c r="AQ146" s="606"/>
      <c r="AR146" s="606"/>
      <c r="AS146" s="606"/>
      <c r="AT146" s="606"/>
      <c r="AU146" s="606"/>
      <c r="AV146" s="606"/>
      <c r="AW146" s="606"/>
      <c r="AX146" s="606"/>
      <c r="AY146" s="606"/>
      <c r="AZ146" s="606"/>
    </row>
    <row r="147" spans="1:52" s="44" customFormat="1" ht="12.75" x14ac:dyDescent="0.2">
      <c r="A147" s="613"/>
      <c r="B147" s="601"/>
      <c r="C147" s="601"/>
      <c r="D147" s="604"/>
      <c r="E147" s="603"/>
      <c r="F147" s="604"/>
      <c r="G147" s="601"/>
      <c r="H147" s="604"/>
      <c r="I147" s="605"/>
      <c r="J147" s="601"/>
      <c r="K147" s="605"/>
      <c r="L147" s="605"/>
      <c r="M147" s="605"/>
      <c r="N147" s="602"/>
      <c r="O147" s="606"/>
      <c r="P147" s="606"/>
      <c r="Q147" s="599"/>
      <c r="R147" s="599"/>
      <c r="S147" s="606"/>
      <c r="T147" s="606"/>
      <c r="U147" s="606"/>
      <c r="V147" s="606"/>
      <c r="W147" s="606"/>
      <c r="X147" s="606"/>
      <c r="Y147" s="606"/>
      <c r="Z147" s="606"/>
      <c r="AA147" s="606"/>
      <c r="AB147" s="606"/>
      <c r="AC147" s="606"/>
      <c r="AD147" s="606"/>
      <c r="AE147" s="606"/>
      <c r="AF147" s="606"/>
      <c r="AG147" s="606"/>
      <c r="AH147" s="606"/>
      <c r="AI147" s="606"/>
      <c r="AJ147" s="606"/>
      <c r="AK147" s="606"/>
      <c r="AL147" s="606"/>
      <c r="AM147" s="606"/>
      <c r="AN147" s="606"/>
      <c r="AO147" s="606"/>
      <c r="AP147" s="606"/>
      <c r="AQ147" s="606"/>
      <c r="AR147" s="606"/>
      <c r="AS147" s="606"/>
      <c r="AT147" s="606"/>
      <c r="AU147" s="606"/>
      <c r="AV147" s="606"/>
      <c r="AW147" s="606"/>
      <c r="AX147" s="606"/>
      <c r="AY147" s="606"/>
      <c r="AZ147" s="606"/>
    </row>
    <row r="148" spans="1:52" s="44" customFormat="1" ht="12.75" x14ac:dyDescent="0.2">
      <c r="A148" s="613"/>
      <c r="B148" s="601"/>
      <c r="C148" s="601"/>
      <c r="D148" s="604"/>
      <c r="E148" s="603"/>
      <c r="F148" s="604"/>
      <c r="G148" s="601"/>
      <c r="H148" s="604"/>
      <c r="I148" s="605"/>
      <c r="J148" s="601"/>
      <c r="K148" s="605"/>
      <c r="L148" s="605"/>
      <c r="M148" s="605"/>
      <c r="N148" s="602"/>
      <c r="O148" s="606"/>
      <c r="P148" s="606"/>
      <c r="Q148" s="599"/>
      <c r="R148" s="599"/>
      <c r="S148" s="606"/>
      <c r="T148" s="606"/>
      <c r="U148" s="606"/>
      <c r="V148" s="606"/>
      <c r="W148" s="606"/>
      <c r="X148" s="606"/>
      <c r="Y148" s="606"/>
      <c r="Z148" s="606"/>
      <c r="AA148" s="606"/>
      <c r="AB148" s="606"/>
      <c r="AC148" s="606"/>
      <c r="AD148" s="606"/>
      <c r="AE148" s="606"/>
      <c r="AF148" s="606"/>
      <c r="AG148" s="606"/>
      <c r="AH148" s="606"/>
      <c r="AI148" s="606"/>
      <c r="AJ148" s="606"/>
      <c r="AK148" s="606"/>
      <c r="AL148" s="606"/>
      <c r="AM148" s="606"/>
      <c r="AN148" s="606"/>
      <c r="AO148" s="606"/>
      <c r="AP148" s="606"/>
      <c r="AQ148" s="606"/>
      <c r="AR148" s="606"/>
      <c r="AS148" s="606"/>
      <c r="AT148" s="606"/>
      <c r="AU148" s="606"/>
      <c r="AV148" s="606"/>
      <c r="AW148" s="606"/>
      <c r="AX148" s="606"/>
      <c r="AY148" s="606"/>
      <c r="AZ148" s="606"/>
    </row>
    <row r="149" spans="1:52" s="44" customFormat="1" ht="12.75" x14ac:dyDescent="0.2">
      <c r="A149" s="613"/>
      <c r="B149" s="601"/>
      <c r="C149" s="601"/>
      <c r="D149" s="604"/>
      <c r="E149" s="603"/>
      <c r="F149" s="604"/>
      <c r="G149" s="601"/>
      <c r="H149" s="604"/>
      <c r="I149" s="605"/>
      <c r="J149" s="601"/>
      <c r="K149" s="605"/>
      <c r="L149" s="605"/>
      <c r="M149" s="605"/>
      <c r="N149" s="602"/>
      <c r="O149" s="606"/>
      <c r="P149" s="606"/>
      <c r="Q149" s="599"/>
      <c r="R149" s="599"/>
      <c r="S149" s="606"/>
      <c r="T149" s="606"/>
      <c r="U149" s="606"/>
      <c r="V149" s="606"/>
      <c r="W149" s="606"/>
      <c r="X149" s="606"/>
      <c r="Y149" s="606"/>
      <c r="Z149" s="606"/>
      <c r="AA149" s="606"/>
      <c r="AB149" s="606"/>
      <c r="AC149" s="606"/>
      <c r="AD149" s="606"/>
      <c r="AE149" s="606"/>
      <c r="AF149" s="606"/>
      <c r="AG149" s="606"/>
      <c r="AH149" s="606"/>
      <c r="AI149" s="606"/>
      <c r="AJ149" s="606"/>
      <c r="AK149" s="606"/>
      <c r="AL149" s="606"/>
      <c r="AM149" s="606"/>
      <c r="AN149" s="606"/>
      <c r="AO149" s="606"/>
      <c r="AP149" s="606"/>
      <c r="AQ149" s="606"/>
      <c r="AR149" s="606"/>
      <c r="AS149" s="606"/>
      <c r="AT149" s="606"/>
      <c r="AU149" s="606"/>
      <c r="AV149" s="606"/>
      <c r="AW149" s="606"/>
      <c r="AX149" s="606"/>
      <c r="AY149" s="606"/>
      <c r="AZ149" s="606"/>
    </row>
    <row r="150" spans="1:52" s="44" customFormat="1" ht="12.75" x14ac:dyDescent="0.2">
      <c r="A150" s="613"/>
      <c r="B150" s="601"/>
      <c r="C150" s="601"/>
      <c r="D150" s="604"/>
      <c r="E150" s="603"/>
      <c r="F150" s="604"/>
      <c r="G150" s="601"/>
      <c r="H150" s="604"/>
      <c r="I150" s="605"/>
      <c r="J150" s="601"/>
      <c r="K150" s="605"/>
      <c r="L150" s="605"/>
      <c r="M150" s="605"/>
      <c r="N150" s="602"/>
      <c r="O150" s="606"/>
      <c r="P150" s="606"/>
      <c r="Q150" s="599"/>
      <c r="R150" s="599"/>
      <c r="S150" s="606"/>
      <c r="T150" s="606"/>
      <c r="U150" s="606"/>
      <c r="V150" s="606"/>
      <c r="W150" s="606"/>
      <c r="X150" s="606"/>
      <c r="Y150" s="606"/>
      <c r="Z150" s="606"/>
      <c r="AA150" s="606"/>
      <c r="AB150" s="606"/>
      <c r="AC150" s="606"/>
      <c r="AD150" s="606"/>
      <c r="AE150" s="606"/>
      <c r="AF150" s="606"/>
      <c r="AG150" s="606"/>
      <c r="AH150" s="606"/>
      <c r="AI150" s="606"/>
      <c r="AJ150" s="606"/>
      <c r="AK150" s="606"/>
      <c r="AL150" s="606"/>
      <c r="AM150" s="606"/>
      <c r="AN150" s="606"/>
      <c r="AO150" s="606"/>
      <c r="AP150" s="606"/>
      <c r="AQ150" s="606"/>
      <c r="AR150" s="606"/>
      <c r="AS150" s="606"/>
      <c r="AT150" s="606"/>
      <c r="AU150" s="606"/>
      <c r="AV150" s="606"/>
      <c r="AW150" s="606"/>
      <c r="AX150" s="606"/>
      <c r="AY150" s="606"/>
      <c r="AZ150" s="606"/>
    </row>
    <row r="151" spans="1:52" s="44" customFormat="1" ht="12.75" x14ac:dyDescent="0.2">
      <c r="A151" s="613"/>
      <c r="B151" s="601"/>
      <c r="C151" s="601"/>
      <c r="D151" s="604"/>
      <c r="E151" s="603"/>
      <c r="F151" s="604"/>
      <c r="G151" s="601"/>
      <c r="H151" s="604"/>
      <c r="I151" s="605"/>
      <c r="J151" s="601"/>
      <c r="K151" s="605"/>
      <c r="L151" s="605"/>
      <c r="M151" s="605"/>
      <c r="N151" s="602"/>
      <c r="O151" s="606"/>
      <c r="P151" s="606"/>
      <c r="Q151" s="599"/>
      <c r="R151" s="599"/>
      <c r="S151" s="606"/>
      <c r="T151" s="606"/>
      <c r="U151" s="606"/>
      <c r="V151" s="606"/>
      <c r="W151" s="606"/>
      <c r="X151" s="606"/>
      <c r="Y151" s="606"/>
      <c r="Z151" s="606"/>
      <c r="AA151" s="606"/>
      <c r="AB151" s="606"/>
      <c r="AC151" s="606"/>
      <c r="AD151" s="606"/>
      <c r="AE151" s="606"/>
      <c r="AF151" s="606"/>
      <c r="AG151" s="606"/>
      <c r="AH151" s="606"/>
      <c r="AI151" s="606"/>
      <c r="AJ151" s="606"/>
      <c r="AK151" s="606"/>
      <c r="AL151" s="606"/>
      <c r="AM151" s="606"/>
      <c r="AN151" s="606"/>
      <c r="AO151" s="606"/>
      <c r="AP151" s="606"/>
      <c r="AQ151" s="606"/>
      <c r="AR151" s="606"/>
      <c r="AS151" s="606"/>
      <c r="AT151" s="606"/>
      <c r="AU151" s="606"/>
      <c r="AV151" s="606"/>
      <c r="AW151" s="606"/>
      <c r="AX151" s="606"/>
      <c r="AY151" s="606"/>
      <c r="AZ151" s="606"/>
    </row>
    <row r="152" spans="1:52" s="44" customFormat="1" ht="12.75" x14ac:dyDescent="0.2">
      <c r="A152" s="613"/>
      <c r="B152" s="601"/>
      <c r="C152" s="601"/>
      <c r="D152" s="604"/>
      <c r="E152" s="603"/>
      <c r="F152" s="604"/>
      <c r="G152" s="601"/>
      <c r="H152" s="604"/>
      <c r="I152" s="605"/>
      <c r="J152" s="601"/>
      <c r="K152" s="605"/>
      <c r="L152" s="605"/>
      <c r="M152" s="605"/>
      <c r="N152" s="602"/>
      <c r="O152" s="606"/>
      <c r="P152" s="606"/>
      <c r="Q152" s="599"/>
      <c r="R152" s="599"/>
      <c r="S152" s="606"/>
      <c r="T152" s="606"/>
      <c r="U152" s="606"/>
      <c r="V152" s="606"/>
      <c r="W152" s="606"/>
      <c r="X152" s="606"/>
      <c r="Y152" s="606"/>
      <c r="Z152" s="606"/>
      <c r="AA152" s="606"/>
      <c r="AB152" s="606"/>
      <c r="AC152" s="606"/>
      <c r="AD152" s="606"/>
      <c r="AE152" s="606"/>
      <c r="AF152" s="606"/>
      <c r="AG152" s="606"/>
      <c r="AH152" s="606"/>
      <c r="AI152" s="606"/>
      <c r="AJ152" s="606"/>
      <c r="AK152" s="606"/>
      <c r="AL152" s="606"/>
      <c r="AM152" s="606"/>
      <c r="AN152" s="606"/>
      <c r="AO152" s="606"/>
      <c r="AP152" s="606"/>
      <c r="AQ152" s="606"/>
      <c r="AR152" s="606"/>
      <c r="AS152" s="606"/>
      <c r="AT152" s="606"/>
      <c r="AU152" s="606"/>
      <c r="AV152" s="606"/>
      <c r="AW152" s="606"/>
      <c r="AX152" s="606"/>
      <c r="AY152" s="606"/>
      <c r="AZ152" s="606"/>
    </row>
    <row r="153" spans="1:52" s="44" customFormat="1" ht="12.75" x14ac:dyDescent="0.2">
      <c r="A153" s="613"/>
      <c r="B153" s="601"/>
      <c r="C153" s="601"/>
      <c r="D153" s="604"/>
      <c r="E153" s="603"/>
      <c r="F153" s="604"/>
      <c r="G153" s="601"/>
      <c r="H153" s="604"/>
      <c r="I153" s="605"/>
      <c r="J153" s="601"/>
      <c r="K153" s="605"/>
      <c r="L153" s="605"/>
      <c r="M153" s="605"/>
      <c r="N153" s="602"/>
      <c r="O153" s="606"/>
      <c r="P153" s="606"/>
      <c r="Q153" s="599"/>
      <c r="R153" s="599"/>
      <c r="S153" s="606"/>
      <c r="T153" s="606"/>
      <c r="U153" s="606"/>
      <c r="V153" s="606"/>
      <c r="W153" s="606"/>
      <c r="X153" s="606"/>
      <c r="Y153" s="606"/>
      <c r="Z153" s="606"/>
      <c r="AA153" s="606"/>
      <c r="AB153" s="606"/>
      <c r="AC153" s="606"/>
      <c r="AD153" s="606"/>
      <c r="AE153" s="606"/>
      <c r="AF153" s="606"/>
      <c r="AG153" s="606"/>
      <c r="AH153" s="606"/>
      <c r="AI153" s="606"/>
      <c r="AJ153" s="606"/>
      <c r="AK153" s="606"/>
      <c r="AL153" s="606"/>
      <c r="AM153" s="606"/>
      <c r="AN153" s="606"/>
      <c r="AO153" s="606"/>
      <c r="AP153" s="606"/>
      <c r="AQ153" s="606"/>
      <c r="AR153" s="606"/>
      <c r="AS153" s="606"/>
      <c r="AT153" s="606"/>
      <c r="AU153" s="606"/>
      <c r="AV153" s="606"/>
      <c r="AW153" s="606"/>
      <c r="AX153" s="606"/>
      <c r="AY153" s="606"/>
      <c r="AZ153" s="606"/>
    </row>
    <row r="154" spans="1:52" s="44" customFormat="1" ht="12.75" x14ac:dyDescent="0.2">
      <c r="A154" s="613"/>
      <c r="B154" s="601"/>
      <c r="C154" s="601"/>
      <c r="D154" s="604"/>
      <c r="E154" s="603"/>
      <c r="F154" s="604"/>
      <c r="G154" s="601"/>
      <c r="H154" s="604"/>
      <c r="I154" s="605"/>
      <c r="J154" s="601"/>
      <c r="K154" s="605"/>
      <c r="L154" s="605"/>
      <c r="M154" s="605"/>
      <c r="N154" s="602"/>
      <c r="O154" s="606"/>
      <c r="P154" s="606"/>
      <c r="Q154" s="599"/>
      <c r="R154" s="599"/>
      <c r="S154" s="606"/>
      <c r="T154" s="606"/>
      <c r="U154" s="606"/>
      <c r="V154" s="606"/>
      <c r="W154" s="606"/>
      <c r="X154" s="606"/>
      <c r="Y154" s="606"/>
      <c r="Z154" s="606"/>
      <c r="AA154" s="606"/>
      <c r="AB154" s="606"/>
      <c r="AC154" s="606"/>
      <c r="AD154" s="606"/>
      <c r="AE154" s="606"/>
      <c r="AF154" s="606"/>
      <c r="AG154" s="606"/>
      <c r="AH154" s="606"/>
      <c r="AI154" s="606"/>
      <c r="AJ154" s="606"/>
      <c r="AK154" s="606"/>
      <c r="AL154" s="606"/>
      <c r="AM154" s="606"/>
      <c r="AN154" s="606"/>
      <c r="AO154" s="606"/>
      <c r="AP154" s="606"/>
      <c r="AQ154" s="606"/>
      <c r="AR154" s="606"/>
      <c r="AS154" s="606"/>
      <c r="AT154" s="606"/>
      <c r="AU154" s="606"/>
      <c r="AV154" s="606"/>
      <c r="AW154" s="606"/>
      <c r="AX154" s="606"/>
      <c r="AY154" s="606"/>
      <c r="AZ154" s="606"/>
    </row>
    <row r="155" spans="1:52" s="44" customFormat="1" ht="12.75" x14ac:dyDescent="0.2">
      <c r="A155" s="613"/>
      <c r="B155" s="601"/>
      <c r="C155" s="601"/>
      <c r="D155" s="604"/>
      <c r="E155" s="603"/>
      <c r="F155" s="604"/>
      <c r="G155" s="601"/>
      <c r="H155" s="604"/>
      <c r="I155" s="605"/>
      <c r="J155" s="601"/>
      <c r="K155" s="605"/>
      <c r="L155" s="605"/>
      <c r="M155" s="605"/>
      <c r="N155" s="602"/>
      <c r="O155" s="606"/>
      <c r="P155" s="606"/>
      <c r="Q155" s="599"/>
      <c r="R155" s="599"/>
      <c r="S155" s="606"/>
      <c r="T155" s="606"/>
      <c r="U155" s="606"/>
      <c r="V155" s="606"/>
      <c r="W155" s="606"/>
      <c r="X155" s="606"/>
      <c r="Y155" s="606"/>
      <c r="Z155" s="606"/>
      <c r="AA155" s="606"/>
      <c r="AB155" s="606"/>
      <c r="AC155" s="606"/>
      <c r="AD155" s="606"/>
      <c r="AE155" s="606"/>
      <c r="AF155" s="606"/>
      <c r="AG155" s="606"/>
      <c r="AH155" s="606"/>
      <c r="AI155" s="606"/>
      <c r="AJ155" s="606"/>
      <c r="AK155" s="606"/>
      <c r="AL155" s="606"/>
      <c r="AM155" s="606"/>
      <c r="AN155" s="606"/>
      <c r="AO155" s="606"/>
      <c r="AP155" s="606"/>
      <c r="AQ155" s="606"/>
      <c r="AR155" s="606"/>
      <c r="AS155" s="606"/>
      <c r="AT155" s="606"/>
      <c r="AU155" s="606"/>
      <c r="AV155" s="606"/>
      <c r="AW155" s="606"/>
      <c r="AX155" s="606"/>
      <c r="AY155" s="606"/>
      <c r="AZ155" s="606"/>
    </row>
    <row r="156" spans="1:52" s="44" customFormat="1" ht="12.75" x14ac:dyDescent="0.2">
      <c r="A156" s="613"/>
      <c r="B156" s="601"/>
      <c r="C156" s="601"/>
      <c r="D156" s="604"/>
      <c r="E156" s="603"/>
      <c r="F156" s="604"/>
      <c r="G156" s="601"/>
      <c r="H156" s="604"/>
      <c r="I156" s="605"/>
      <c r="J156" s="601"/>
      <c r="K156" s="605"/>
      <c r="L156" s="605"/>
      <c r="M156" s="605"/>
      <c r="N156" s="602"/>
      <c r="O156" s="606"/>
      <c r="P156" s="606"/>
      <c r="Q156" s="599"/>
      <c r="R156" s="599"/>
      <c r="S156" s="606"/>
      <c r="T156" s="606"/>
      <c r="U156" s="606"/>
      <c r="V156" s="606"/>
      <c r="W156" s="606"/>
      <c r="X156" s="606"/>
      <c r="Y156" s="606"/>
      <c r="Z156" s="606"/>
      <c r="AA156" s="606"/>
      <c r="AB156" s="606"/>
      <c r="AC156" s="606"/>
      <c r="AD156" s="606"/>
      <c r="AE156" s="606"/>
      <c r="AF156" s="606"/>
      <c r="AG156" s="606"/>
      <c r="AH156" s="606"/>
      <c r="AI156" s="606"/>
      <c r="AJ156" s="606"/>
      <c r="AK156" s="606"/>
      <c r="AL156" s="606"/>
      <c r="AM156" s="606"/>
      <c r="AN156" s="606"/>
      <c r="AO156" s="606"/>
      <c r="AP156" s="606"/>
      <c r="AQ156" s="606"/>
      <c r="AR156" s="606"/>
      <c r="AS156" s="606"/>
      <c r="AT156" s="606"/>
      <c r="AU156" s="606"/>
      <c r="AV156" s="606"/>
      <c r="AW156" s="606"/>
      <c r="AX156" s="606"/>
      <c r="AY156" s="606"/>
      <c r="AZ156" s="606"/>
    </row>
    <row r="157" spans="1:52" s="44" customFormat="1" ht="12.75" x14ac:dyDescent="0.2">
      <c r="A157" s="613"/>
      <c r="B157" s="601"/>
      <c r="C157" s="601"/>
      <c r="D157" s="604"/>
      <c r="E157" s="603"/>
      <c r="F157" s="604"/>
      <c r="G157" s="601"/>
      <c r="H157" s="604"/>
      <c r="I157" s="605"/>
      <c r="J157" s="601"/>
      <c r="K157" s="605"/>
      <c r="L157" s="605"/>
      <c r="M157" s="605"/>
      <c r="N157" s="602"/>
      <c r="O157" s="606"/>
      <c r="P157" s="606"/>
      <c r="Q157" s="599"/>
      <c r="R157" s="599"/>
      <c r="S157" s="606"/>
      <c r="T157" s="606"/>
      <c r="U157" s="606"/>
      <c r="V157" s="606"/>
      <c r="W157" s="606"/>
      <c r="X157" s="606"/>
      <c r="Y157" s="606"/>
      <c r="Z157" s="606"/>
      <c r="AA157" s="606"/>
      <c r="AB157" s="606"/>
      <c r="AC157" s="606"/>
      <c r="AD157" s="606"/>
      <c r="AE157" s="606"/>
      <c r="AF157" s="606"/>
      <c r="AG157" s="606"/>
      <c r="AH157" s="606"/>
      <c r="AI157" s="606"/>
      <c r="AJ157" s="606"/>
      <c r="AK157" s="606"/>
      <c r="AL157" s="606"/>
      <c r="AM157" s="606"/>
      <c r="AN157" s="606"/>
      <c r="AO157" s="606"/>
      <c r="AP157" s="606"/>
      <c r="AQ157" s="606"/>
      <c r="AR157" s="606"/>
      <c r="AS157" s="606"/>
      <c r="AT157" s="606"/>
      <c r="AU157" s="606"/>
      <c r="AV157" s="606"/>
      <c r="AW157" s="606"/>
      <c r="AX157" s="606"/>
      <c r="AY157" s="606"/>
      <c r="AZ157" s="606"/>
    </row>
    <row r="158" spans="1:52" s="44" customFormat="1" ht="12.75" x14ac:dyDescent="0.2">
      <c r="A158" s="613"/>
      <c r="B158" s="601"/>
      <c r="C158" s="601"/>
      <c r="D158" s="604"/>
      <c r="E158" s="603"/>
      <c r="F158" s="604"/>
      <c r="G158" s="601"/>
      <c r="H158" s="604"/>
      <c r="I158" s="605"/>
      <c r="J158" s="601"/>
      <c r="K158" s="605"/>
      <c r="L158" s="605"/>
      <c r="M158" s="605"/>
      <c r="N158" s="602"/>
      <c r="O158" s="606"/>
      <c r="P158" s="606"/>
      <c r="Q158" s="599"/>
      <c r="R158" s="599"/>
      <c r="S158" s="606"/>
      <c r="T158" s="606"/>
      <c r="U158" s="606"/>
      <c r="V158" s="606"/>
      <c r="W158" s="606"/>
      <c r="X158" s="606"/>
      <c r="Y158" s="606"/>
      <c r="Z158" s="606"/>
      <c r="AA158" s="606"/>
      <c r="AB158" s="606"/>
      <c r="AC158" s="606"/>
      <c r="AD158" s="606"/>
      <c r="AE158" s="606"/>
      <c r="AF158" s="606"/>
      <c r="AG158" s="606"/>
      <c r="AH158" s="606"/>
      <c r="AI158" s="606"/>
      <c r="AJ158" s="606"/>
      <c r="AK158" s="606"/>
      <c r="AL158" s="606"/>
      <c r="AM158" s="606"/>
      <c r="AN158" s="606"/>
      <c r="AO158" s="606"/>
      <c r="AP158" s="606"/>
      <c r="AQ158" s="606"/>
      <c r="AR158" s="606"/>
      <c r="AS158" s="606"/>
      <c r="AT158" s="606"/>
      <c r="AU158" s="606"/>
      <c r="AV158" s="606"/>
      <c r="AW158" s="606"/>
      <c r="AX158" s="606"/>
      <c r="AY158" s="606"/>
      <c r="AZ158" s="606"/>
    </row>
    <row r="159" spans="1:52" s="44" customFormat="1" ht="12.75" x14ac:dyDescent="0.2">
      <c r="A159" s="613"/>
      <c r="B159" s="601"/>
      <c r="C159" s="601"/>
      <c r="D159" s="604"/>
      <c r="E159" s="603"/>
      <c r="F159" s="604"/>
      <c r="G159" s="601"/>
      <c r="H159" s="604"/>
      <c r="I159" s="605"/>
      <c r="J159" s="601"/>
      <c r="K159" s="605"/>
      <c r="L159" s="605"/>
      <c r="M159" s="605"/>
      <c r="N159" s="602"/>
      <c r="O159" s="606"/>
      <c r="P159" s="606"/>
      <c r="Q159" s="599"/>
      <c r="R159" s="599"/>
      <c r="S159" s="606"/>
      <c r="T159" s="606"/>
      <c r="U159" s="606"/>
      <c r="V159" s="606"/>
      <c r="W159" s="606"/>
      <c r="X159" s="606"/>
      <c r="Y159" s="606"/>
      <c r="Z159" s="606"/>
      <c r="AA159" s="606"/>
      <c r="AB159" s="606"/>
      <c r="AC159" s="606"/>
      <c r="AD159" s="606"/>
      <c r="AE159" s="606"/>
      <c r="AF159" s="606"/>
      <c r="AG159" s="606"/>
      <c r="AH159" s="606"/>
      <c r="AI159" s="606"/>
      <c r="AJ159" s="606"/>
      <c r="AK159" s="606"/>
      <c r="AL159" s="606"/>
      <c r="AM159" s="606"/>
      <c r="AN159" s="606"/>
      <c r="AO159" s="606"/>
      <c r="AP159" s="606"/>
      <c r="AQ159" s="606"/>
      <c r="AR159" s="606"/>
      <c r="AS159" s="606"/>
      <c r="AT159" s="606"/>
      <c r="AU159" s="606"/>
      <c r="AV159" s="606"/>
      <c r="AW159" s="606"/>
      <c r="AX159" s="606"/>
      <c r="AY159" s="606"/>
      <c r="AZ159" s="606"/>
    </row>
    <row r="160" spans="1:52" s="44" customFormat="1" ht="12.75" x14ac:dyDescent="0.2">
      <c r="A160" s="613"/>
      <c r="B160" s="601"/>
      <c r="C160" s="601"/>
      <c r="D160" s="604"/>
      <c r="E160" s="603"/>
      <c r="F160" s="604"/>
      <c r="G160" s="601"/>
      <c r="H160" s="604"/>
      <c r="I160" s="605"/>
      <c r="J160" s="601"/>
      <c r="K160" s="605"/>
      <c r="L160" s="605"/>
      <c r="M160" s="605"/>
      <c r="N160" s="602"/>
      <c r="O160" s="606"/>
      <c r="P160" s="606"/>
      <c r="Q160" s="599"/>
      <c r="R160" s="599"/>
      <c r="S160" s="606"/>
      <c r="T160" s="606"/>
      <c r="U160" s="606"/>
      <c r="V160" s="606"/>
      <c r="W160" s="606"/>
      <c r="X160" s="606"/>
      <c r="Y160" s="606"/>
      <c r="Z160" s="606"/>
      <c r="AA160" s="606"/>
      <c r="AB160" s="606"/>
      <c r="AC160" s="606"/>
      <c r="AD160" s="606"/>
      <c r="AE160" s="606"/>
      <c r="AF160" s="606"/>
      <c r="AG160" s="606"/>
      <c r="AH160" s="606"/>
      <c r="AI160" s="606"/>
      <c r="AJ160" s="606"/>
      <c r="AK160" s="606"/>
      <c r="AL160" s="606"/>
      <c r="AM160" s="606"/>
      <c r="AN160" s="606"/>
      <c r="AO160" s="606"/>
      <c r="AP160" s="606"/>
      <c r="AQ160" s="606"/>
      <c r="AR160" s="606"/>
      <c r="AS160" s="606"/>
      <c r="AT160" s="606"/>
      <c r="AU160" s="606"/>
      <c r="AV160" s="606"/>
      <c r="AW160" s="606"/>
      <c r="AX160" s="606"/>
      <c r="AY160" s="606"/>
      <c r="AZ160" s="606"/>
    </row>
    <row r="161" spans="1:52" s="44" customFormat="1" ht="12.75" x14ac:dyDescent="0.2">
      <c r="A161" s="613"/>
      <c r="B161" s="601"/>
      <c r="C161" s="601"/>
      <c r="D161" s="604"/>
      <c r="E161" s="603"/>
      <c r="F161" s="604"/>
      <c r="G161" s="601"/>
      <c r="H161" s="604"/>
      <c r="I161" s="605"/>
      <c r="J161" s="601"/>
      <c r="K161" s="605"/>
      <c r="L161" s="605"/>
      <c r="M161" s="605"/>
      <c r="N161" s="602"/>
      <c r="O161" s="606"/>
      <c r="P161" s="606"/>
      <c r="Q161" s="599"/>
      <c r="R161" s="599"/>
      <c r="S161" s="606"/>
      <c r="T161" s="606"/>
      <c r="U161" s="606"/>
      <c r="V161" s="606"/>
      <c r="W161" s="606"/>
      <c r="X161" s="606"/>
      <c r="Y161" s="606"/>
      <c r="Z161" s="606"/>
      <c r="AA161" s="606"/>
      <c r="AB161" s="606"/>
      <c r="AC161" s="606"/>
      <c r="AD161" s="606"/>
      <c r="AE161" s="606"/>
      <c r="AF161" s="606"/>
      <c r="AG161" s="606"/>
      <c r="AH161" s="606"/>
      <c r="AI161" s="606"/>
      <c r="AJ161" s="606"/>
      <c r="AK161" s="606"/>
      <c r="AL161" s="606"/>
      <c r="AM161" s="606"/>
      <c r="AN161" s="606"/>
      <c r="AO161" s="606"/>
      <c r="AP161" s="606"/>
      <c r="AQ161" s="606"/>
      <c r="AR161" s="606"/>
      <c r="AS161" s="606"/>
      <c r="AT161" s="606"/>
      <c r="AU161" s="606"/>
      <c r="AV161" s="606"/>
      <c r="AW161" s="606"/>
      <c r="AX161" s="606"/>
      <c r="AY161" s="606"/>
      <c r="AZ161" s="606"/>
    </row>
    <row r="162" spans="1:52" s="44" customFormat="1" ht="12.75" x14ac:dyDescent="0.2">
      <c r="A162" s="613"/>
      <c r="B162" s="601"/>
      <c r="C162" s="601"/>
      <c r="D162" s="604"/>
      <c r="E162" s="603"/>
      <c r="F162" s="604"/>
      <c r="G162" s="601"/>
      <c r="H162" s="604"/>
      <c r="I162" s="605"/>
      <c r="J162" s="601"/>
      <c r="K162" s="605"/>
      <c r="L162" s="605"/>
      <c r="M162" s="605"/>
      <c r="N162" s="602"/>
      <c r="O162" s="606"/>
      <c r="P162" s="606"/>
      <c r="Q162" s="599"/>
      <c r="R162" s="599"/>
      <c r="S162" s="606"/>
      <c r="T162" s="606"/>
      <c r="U162" s="606"/>
      <c r="V162" s="606"/>
      <c r="W162" s="606"/>
      <c r="X162" s="606"/>
      <c r="Y162" s="606"/>
      <c r="Z162" s="606"/>
      <c r="AA162" s="606"/>
      <c r="AB162" s="606"/>
      <c r="AC162" s="606"/>
      <c r="AD162" s="606"/>
      <c r="AE162" s="606"/>
      <c r="AF162" s="606"/>
      <c r="AG162" s="606"/>
      <c r="AH162" s="606"/>
      <c r="AI162" s="606"/>
      <c r="AJ162" s="606"/>
      <c r="AK162" s="606"/>
      <c r="AL162" s="606"/>
      <c r="AM162" s="606"/>
      <c r="AN162" s="606"/>
      <c r="AO162" s="606"/>
      <c r="AP162" s="606"/>
      <c r="AQ162" s="606"/>
      <c r="AR162" s="606"/>
      <c r="AS162" s="606"/>
      <c r="AT162" s="606"/>
      <c r="AU162" s="606"/>
      <c r="AV162" s="606"/>
      <c r="AW162" s="606"/>
      <c r="AX162" s="606"/>
      <c r="AY162" s="606"/>
      <c r="AZ162" s="606"/>
    </row>
    <row r="163" spans="1:52" s="44" customFormat="1" ht="12.75" x14ac:dyDescent="0.2">
      <c r="A163" s="613"/>
      <c r="B163" s="601"/>
      <c r="C163" s="601"/>
      <c r="D163" s="604"/>
      <c r="E163" s="603"/>
      <c r="F163" s="604"/>
      <c r="G163" s="601"/>
      <c r="H163" s="604"/>
      <c r="I163" s="605"/>
      <c r="J163" s="601"/>
      <c r="K163" s="605"/>
      <c r="L163" s="605"/>
      <c r="M163" s="605"/>
      <c r="N163" s="602"/>
      <c r="O163" s="606"/>
      <c r="P163" s="606"/>
      <c r="Q163" s="599"/>
      <c r="R163" s="599"/>
      <c r="S163" s="606"/>
      <c r="T163" s="606"/>
      <c r="U163" s="606"/>
      <c r="V163" s="606"/>
      <c r="W163" s="606"/>
      <c r="X163" s="606"/>
      <c r="Y163" s="606"/>
      <c r="Z163" s="606"/>
      <c r="AA163" s="606"/>
      <c r="AB163" s="606"/>
      <c r="AC163" s="606"/>
      <c r="AD163" s="606"/>
      <c r="AE163" s="606"/>
      <c r="AF163" s="606"/>
      <c r="AG163" s="606"/>
      <c r="AH163" s="606"/>
      <c r="AI163" s="606"/>
      <c r="AJ163" s="606"/>
      <c r="AK163" s="606"/>
      <c r="AL163" s="606"/>
      <c r="AM163" s="606"/>
      <c r="AN163" s="606"/>
      <c r="AO163" s="606"/>
      <c r="AP163" s="606"/>
      <c r="AQ163" s="606"/>
      <c r="AR163" s="606"/>
      <c r="AS163" s="606"/>
      <c r="AT163" s="606"/>
      <c r="AU163" s="606"/>
      <c r="AV163" s="606"/>
      <c r="AW163" s="606"/>
      <c r="AX163" s="606"/>
      <c r="AY163" s="606"/>
      <c r="AZ163" s="606"/>
    </row>
    <row r="164" spans="1:52" s="44" customFormat="1" ht="12.75" x14ac:dyDescent="0.2">
      <c r="A164" s="48"/>
      <c r="D164" s="49"/>
      <c r="E164" s="50"/>
      <c r="F164" s="51"/>
      <c r="H164" s="51"/>
      <c r="I164" s="81"/>
      <c r="K164" s="81"/>
      <c r="L164" s="81"/>
      <c r="M164" s="81"/>
      <c r="N164" s="49"/>
      <c r="Q164" s="86"/>
      <c r="R164" s="86"/>
    </row>
    <row r="165" spans="1:52" s="44" customFormat="1" ht="12.75" x14ac:dyDescent="0.2">
      <c r="A165" s="48"/>
      <c r="D165" s="49"/>
      <c r="E165" s="50"/>
      <c r="F165" s="51"/>
      <c r="H165" s="51"/>
      <c r="I165" s="81"/>
      <c r="K165" s="81"/>
      <c r="L165" s="81"/>
      <c r="M165" s="81"/>
      <c r="N165" s="49"/>
      <c r="Q165" s="86"/>
      <c r="R165" s="86"/>
    </row>
    <row r="166" spans="1:52" s="44" customFormat="1" ht="12.75" x14ac:dyDescent="0.2">
      <c r="A166" s="48"/>
      <c r="D166" s="49"/>
      <c r="E166" s="50"/>
      <c r="F166" s="51"/>
      <c r="H166" s="51"/>
      <c r="I166" s="81"/>
      <c r="K166" s="81"/>
      <c r="L166" s="81"/>
      <c r="M166" s="81"/>
      <c r="N166" s="49"/>
      <c r="Q166" s="86"/>
      <c r="R166" s="86"/>
    </row>
    <row r="167" spans="1:52" s="44" customFormat="1" ht="12.75" x14ac:dyDescent="0.2">
      <c r="A167" s="48"/>
      <c r="D167" s="49"/>
      <c r="E167" s="50"/>
      <c r="F167" s="51"/>
      <c r="H167" s="51"/>
      <c r="I167" s="81"/>
      <c r="K167" s="81"/>
      <c r="L167" s="81"/>
      <c r="M167" s="81"/>
      <c r="N167" s="49"/>
      <c r="Q167" s="86"/>
      <c r="R167" s="86"/>
    </row>
    <row r="168" spans="1:52" s="44" customFormat="1" ht="12.75" x14ac:dyDescent="0.2">
      <c r="A168" s="48"/>
      <c r="D168" s="49"/>
      <c r="E168" s="50"/>
      <c r="F168" s="51"/>
      <c r="H168" s="51"/>
      <c r="I168" s="81"/>
      <c r="K168" s="81"/>
      <c r="L168" s="81"/>
      <c r="M168" s="81"/>
      <c r="N168" s="49"/>
      <c r="Q168" s="86"/>
      <c r="R168" s="86"/>
    </row>
    <row r="169" spans="1:52" s="44" customFormat="1" ht="12.75" x14ac:dyDescent="0.2">
      <c r="A169" s="48"/>
      <c r="D169" s="49"/>
      <c r="E169" s="50"/>
      <c r="F169" s="51"/>
      <c r="H169" s="51"/>
      <c r="I169" s="81"/>
      <c r="K169" s="81"/>
      <c r="L169" s="81"/>
      <c r="M169" s="81"/>
      <c r="N169" s="49"/>
      <c r="Q169" s="86"/>
      <c r="R169" s="86"/>
    </row>
    <row r="170" spans="1:52" s="44" customFormat="1" ht="12.75" x14ac:dyDescent="0.2">
      <c r="A170" s="48"/>
      <c r="D170" s="49"/>
      <c r="E170" s="50"/>
      <c r="F170" s="51"/>
      <c r="H170" s="51"/>
      <c r="I170" s="81"/>
      <c r="K170" s="81"/>
      <c r="L170" s="81"/>
      <c r="M170" s="81"/>
      <c r="N170" s="49"/>
      <c r="Q170" s="86"/>
      <c r="R170" s="86"/>
    </row>
    <row r="171" spans="1:52" s="44" customFormat="1" ht="12.75" x14ac:dyDescent="0.2">
      <c r="A171" s="48"/>
      <c r="D171" s="49"/>
      <c r="E171" s="50"/>
      <c r="F171" s="51"/>
      <c r="H171" s="51"/>
      <c r="I171" s="81"/>
      <c r="K171" s="81"/>
      <c r="L171" s="81"/>
      <c r="M171" s="81"/>
      <c r="N171" s="49"/>
      <c r="Q171" s="86"/>
      <c r="R171" s="86"/>
    </row>
    <row r="172" spans="1:52" s="44" customFormat="1" ht="12.75" x14ac:dyDescent="0.2">
      <c r="A172" s="48"/>
      <c r="D172" s="49"/>
      <c r="E172" s="50"/>
      <c r="F172" s="51"/>
      <c r="H172" s="51"/>
      <c r="I172" s="81"/>
      <c r="K172" s="81"/>
      <c r="L172" s="81"/>
      <c r="M172" s="81"/>
      <c r="N172" s="49"/>
      <c r="Q172" s="86"/>
      <c r="R172" s="86"/>
    </row>
    <row r="173" spans="1:52" s="44" customFormat="1" ht="12.75" x14ac:dyDescent="0.2">
      <c r="A173" s="48"/>
      <c r="D173" s="49"/>
      <c r="E173" s="50"/>
      <c r="F173" s="51"/>
      <c r="H173" s="51"/>
      <c r="I173" s="81"/>
      <c r="K173" s="81"/>
      <c r="L173" s="81"/>
      <c r="M173" s="81"/>
      <c r="N173" s="49"/>
      <c r="Q173" s="86"/>
      <c r="R173" s="86"/>
    </row>
    <row r="174" spans="1:52" s="44" customFormat="1" ht="12.75" x14ac:dyDescent="0.2">
      <c r="A174" s="48"/>
      <c r="D174" s="49"/>
      <c r="E174" s="50"/>
      <c r="F174" s="51"/>
      <c r="H174" s="51"/>
      <c r="I174" s="81"/>
      <c r="K174" s="81"/>
      <c r="L174" s="81"/>
      <c r="M174" s="81"/>
      <c r="N174" s="49"/>
      <c r="Q174" s="86"/>
      <c r="R174" s="86"/>
    </row>
    <row r="175" spans="1:52" s="44" customFormat="1" ht="12.75" x14ac:dyDescent="0.2">
      <c r="A175" s="48"/>
      <c r="D175" s="49"/>
      <c r="E175" s="50"/>
      <c r="F175" s="51"/>
      <c r="H175" s="51"/>
      <c r="I175" s="81"/>
      <c r="K175" s="81"/>
      <c r="L175" s="81"/>
      <c r="M175" s="81"/>
      <c r="N175" s="49"/>
      <c r="Q175" s="86"/>
      <c r="R175" s="86"/>
    </row>
    <row r="176" spans="1:52" s="44" customFormat="1" ht="12.75" x14ac:dyDescent="0.2">
      <c r="A176" s="48"/>
      <c r="D176" s="49"/>
      <c r="E176" s="50"/>
      <c r="F176" s="51"/>
      <c r="H176" s="51"/>
      <c r="I176" s="81"/>
      <c r="K176" s="81"/>
      <c r="L176" s="81"/>
      <c r="M176" s="81"/>
      <c r="N176" s="49"/>
      <c r="Q176" s="86"/>
      <c r="R176" s="86"/>
    </row>
    <row r="177" spans="1:18" s="44" customFormat="1" ht="12.75" x14ac:dyDescent="0.2">
      <c r="A177" s="48"/>
      <c r="D177" s="49"/>
      <c r="E177" s="50"/>
      <c r="F177" s="51"/>
      <c r="H177" s="51"/>
      <c r="I177" s="81"/>
      <c r="K177" s="81"/>
      <c r="L177" s="81"/>
      <c r="M177" s="81"/>
      <c r="N177" s="49"/>
      <c r="Q177" s="86"/>
      <c r="R177" s="86"/>
    </row>
    <row r="178" spans="1:18" s="44" customFormat="1" ht="12.75" x14ac:dyDescent="0.2">
      <c r="A178" s="48"/>
      <c r="D178" s="49"/>
      <c r="E178" s="50"/>
      <c r="F178" s="51"/>
      <c r="H178" s="51"/>
      <c r="I178" s="81"/>
      <c r="K178" s="81"/>
      <c r="L178" s="81"/>
      <c r="M178" s="81"/>
      <c r="N178" s="49"/>
      <c r="Q178" s="86"/>
      <c r="R178" s="86"/>
    </row>
    <row r="179" spans="1:18" s="44" customFormat="1" ht="12.75" x14ac:dyDescent="0.2">
      <c r="A179" s="48"/>
      <c r="D179" s="49"/>
      <c r="E179" s="50"/>
      <c r="F179" s="51"/>
      <c r="H179" s="51"/>
      <c r="I179" s="81"/>
      <c r="K179" s="81"/>
      <c r="L179" s="81"/>
      <c r="M179" s="81"/>
      <c r="N179" s="49"/>
      <c r="Q179" s="86"/>
      <c r="R179" s="86"/>
    </row>
    <row r="180" spans="1:18" s="44" customFormat="1" ht="12.75" x14ac:dyDescent="0.2">
      <c r="A180" s="48"/>
      <c r="D180" s="49"/>
      <c r="E180" s="50"/>
      <c r="F180" s="51"/>
      <c r="H180" s="51"/>
      <c r="I180" s="81"/>
      <c r="K180" s="81"/>
      <c r="L180" s="81"/>
      <c r="M180" s="81"/>
      <c r="N180" s="49"/>
      <c r="Q180" s="86"/>
      <c r="R180" s="86"/>
    </row>
    <row r="181" spans="1:18" s="44" customFormat="1" ht="12.75" x14ac:dyDescent="0.2">
      <c r="A181" s="48"/>
      <c r="D181" s="49"/>
      <c r="E181" s="50"/>
      <c r="F181" s="51"/>
      <c r="H181" s="51"/>
      <c r="I181" s="81"/>
      <c r="K181" s="81"/>
      <c r="L181" s="81"/>
      <c r="M181" s="81"/>
      <c r="N181" s="49"/>
      <c r="Q181" s="86"/>
      <c r="R181" s="86"/>
    </row>
    <row r="182" spans="1:18" s="44" customFormat="1" ht="12.75" x14ac:dyDescent="0.2">
      <c r="A182" s="48"/>
      <c r="D182" s="49"/>
      <c r="E182" s="50"/>
      <c r="F182" s="51"/>
      <c r="H182" s="51"/>
      <c r="I182" s="81"/>
      <c r="K182" s="81"/>
      <c r="L182" s="81"/>
      <c r="M182" s="81"/>
      <c r="N182" s="49"/>
      <c r="Q182" s="86"/>
      <c r="R182" s="86"/>
    </row>
    <row r="183" spans="1:18" s="44" customFormat="1" ht="12.75" x14ac:dyDescent="0.2">
      <c r="A183" s="48"/>
      <c r="D183" s="49"/>
      <c r="E183" s="50"/>
      <c r="F183" s="51"/>
      <c r="H183" s="51"/>
      <c r="I183" s="81"/>
      <c r="K183" s="81"/>
      <c r="L183" s="81"/>
      <c r="M183" s="81"/>
      <c r="N183" s="49"/>
      <c r="Q183" s="86"/>
      <c r="R183" s="86"/>
    </row>
    <row r="184" spans="1:18" s="44" customFormat="1" ht="12.75" x14ac:dyDescent="0.2">
      <c r="A184" s="48"/>
      <c r="D184" s="49"/>
      <c r="E184" s="50"/>
      <c r="F184" s="51"/>
      <c r="H184" s="51"/>
      <c r="I184" s="81"/>
      <c r="K184" s="81"/>
      <c r="L184" s="81"/>
      <c r="M184" s="81"/>
      <c r="N184" s="49"/>
      <c r="Q184" s="86"/>
      <c r="R184" s="86"/>
    </row>
    <row r="185" spans="1:18" s="44" customFormat="1" ht="12.75" x14ac:dyDescent="0.2">
      <c r="A185" s="48"/>
      <c r="D185" s="49"/>
      <c r="E185" s="50"/>
      <c r="F185" s="51"/>
      <c r="H185" s="51"/>
      <c r="I185" s="81"/>
      <c r="K185" s="81"/>
      <c r="L185" s="81"/>
      <c r="M185" s="81"/>
      <c r="N185" s="49"/>
      <c r="Q185" s="86"/>
      <c r="R185" s="86"/>
    </row>
    <row r="186" spans="1:18" s="44" customFormat="1" ht="12.75" x14ac:dyDescent="0.2">
      <c r="A186" s="48"/>
      <c r="D186" s="49"/>
      <c r="E186" s="50"/>
      <c r="F186" s="51"/>
      <c r="H186" s="51"/>
      <c r="I186" s="81"/>
      <c r="K186" s="81"/>
      <c r="L186" s="81"/>
      <c r="M186" s="81"/>
      <c r="N186" s="49"/>
      <c r="Q186" s="86"/>
      <c r="R186" s="86"/>
    </row>
    <row r="187" spans="1:18" s="44" customFormat="1" ht="12.75" x14ac:dyDescent="0.2">
      <c r="A187" s="48"/>
      <c r="D187" s="49"/>
      <c r="E187" s="50"/>
      <c r="F187" s="51"/>
      <c r="H187" s="51"/>
      <c r="I187" s="81"/>
      <c r="K187" s="81"/>
      <c r="L187" s="81"/>
      <c r="M187" s="81"/>
      <c r="N187" s="49"/>
      <c r="Q187" s="86"/>
      <c r="R187" s="86"/>
    </row>
    <row r="188" spans="1:18" s="44" customFormat="1" ht="12.75" x14ac:dyDescent="0.2">
      <c r="A188" s="48"/>
      <c r="D188" s="49"/>
      <c r="E188" s="50"/>
      <c r="F188" s="51"/>
      <c r="H188" s="51"/>
      <c r="I188" s="81"/>
      <c r="K188" s="81"/>
      <c r="L188" s="81"/>
      <c r="M188" s="81"/>
      <c r="N188" s="49"/>
      <c r="Q188" s="86"/>
      <c r="R188" s="86"/>
    </row>
    <row r="189" spans="1:18" s="44" customFormat="1" ht="12.75" x14ac:dyDescent="0.2">
      <c r="A189" s="48"/>
      <c r="D189" s="49"/>
      <c r="E189" s="50"/>
      <c r="F189" s="51"/>
      <c r="H189" s="51"/>
      <c r="I189" s="81"/>
      <c r="K189" s="81"/>
      <c r="L189" s="81"/>
      <c r="M189" s="81"/>
      <c r="N189" s="49"/>
      <c r="Q189" s="86"/>
      <c r="R189" s="86"/>
    </row>
    <row r="190" spans="1:18" s="44" customFormat="1" ht="12.75" x14ac:dyDescent="0.2">
      <c r="A190" s="48"/>
      <c r="D190" s="49"/>
      <c r="E190" s="50"/>
      <c r="F190" s="51"/>
      <c r="H190" s="51"/>
      <c r="I190" s="81"/>
      <c r="K190" s="81"/>
      <c r="L190" s="81"/>
      <c r="M190" s="81"/>
      <c r="N190" s="49"/>
      <c r="Q190" s="86"/>
      <c r="R190" s="86"/>
    </row>
    <row r="191" spans="1:18" s="44" customFormat="1" ht="12.75" x14ac:dyDescent="0.2">
      <c r="A191" s="48"/>
      <c r="D191" s="49"/>
      <c r="E191" s="50"/>
      <c r="F191" s="51"/>
      <c r="H191" s="51"/>
      <c r="I191" s="81"/>
      <c r="K191" s="81"/>
      <c r="L191" s="81"/>
      <c r="M191" s="81"/>
      <c r="N191" s="49"/>
      <c r="Q191" s="86"/>
      <c r="R191" s="86"/>
    </row>
    <row r="192" spans="1:18" s="44" customFormat="1" ht="12.75" x14ac:dyDescent="0.2">
      <c r="A192" s="48"/>
      <c r="D192" s="49"/>
      <c r="E192" s="50"/>
      <c r="F192" s="51"/>
      <c r="H192" s="51"/>
      <c r="I192" s="81"/>
      <c r="K192" s="81"/>
      <c r="L192" s="81"/>
      <c r="M192" s="81"/>
      <c r="N192" s="49"/>
      <c r="Q192" s="86"/>
      <c r="R192" s="86"/>
    </row>
    <row r="193" spans="1:18" s="44" customFormat="1" ht="12.75" x14ac:dyDescent="0.2">
      <c r="A193" s="48"/>
      <c r="D193" s="49"/>
      <c r="E193" s="50"/>
      <c r="F193" s="51"/>
      <c r="H193" s="51"/>
      <c r="I193" s="81"/>
      <c r="K193" s="81"/>
      <c r="L193" s="81"/>
      <c r="M193" s="81"/>
      <c r="N193" s="49"/>
      <c r="Q193" s="86"/>
      <c r="R193" s="86"/>
    </row>
    <row r="194" spans="1:18" s="44" customFormat="1" ht="12.75" x14ac:dyDescent="0.2">
      <c r="A194" s="48"/>
      <c r="D194" s="49"/>
      <c r="E194" s="50"/>
      <c r="F194" s="51"/>
      <c r="H194" s="51"/>
      <c r="I194" s="81"/>
      <c r="K194" s="81"/>
      <c r="L194" s="81"/>
      <c r="M194" s="81"/>
      <c r="N194" s="49"/>
      <c r="Q194" s="86"/>
      <c r="R194" s="86"/>
    </row>
    <row r="195" spans="1:18" s="44" customFormat="1" ht="12.75" x14ac:dyDescent="0.2">
      <c r="A195" s="48"/>
      <c r="D195" s="49"/>
      <c r="E195" s="50"/>
      <c r="F195" s="51"/>
      <c r="H195" s="51"/>
      <c r="I195" s="81"/>
      <c r="K195" s="81"/>
      <c r="L195" s="81"/>
      <c r="M195" s="81"/>
      <c r="N195" s="49"/>
      <c r="Q195" s="86"/>
      <c r="R195" s="86"/>
    </row>
    <row r="196" spans="1:18" s="44" customFormat="1" ht="12.75" x14ac:dyDescent="0.2">
      <c r="A196" s="48"/>
      <c r="D196" s="49"/>
      <c r="E196" s="50"/>
      <c r="F196" s="51"/>
      <c r="H196" s="51"/>
      <c r="I196" s="81"/>
      <c r="K196" s="81"/>
      <c r="L196" s="81"/>
      <c r="M196" s="81"/>
      <c r="N196" s="49"/>
      <c r="Q196" s="86"/>
      <c r="R196" s="86"/>
    </row>
    <row r="197" spans="1:18" s="44" customFormat="1" ht="12.75" x14ac:dyDescent="0.2">
      <c r="A197" s="48"/>
      <c r="D197" s="49"/>
      <c r="E197" s="50"/>
      <c r="F197" s="51"/>
      <c r="H197" s="51"/>
      <c r="I197" s="81"/>
      <c r="K197" s="81"/>
      <c r="L197" s="81"/>
      <c r="M197" s="81"/>
      <c r="N197" s="49"/>
      <c r="Q197" s="86"/>
      <c r="R197" s="86"/>
    </row>
    <row r="198" spans="1:18" s="44" customFormat="1" ht="12.75" x14ac:dyDescent="0.2">
      <c r="A198" s="48"/>
      <c r="D198" s="49"/>
      <c r="E198" s="50"/>
      <c r="F198" s="51"/>
      <c r="H198" s="51"/>
      <c r="I198" s="81"/>
      <c r="K198" s="81"/>
      <c r="L198" s="81"/>
      <c r="M198" s="81"/>
      <c r="N198" s="49"/>
      <c r="Q198" s="86"/>
      <c r="R198" s="86"/>
    </row>
    <row r="199" spans="1:18" s="44" customFormat="1" ht="12.75" x14ac:dyDescent="0.2">
      <c r="A199" s="48"/>
      <c r="D199" s="49"/>
      <c r="E199" s="50"/>
      <c r="F199" s="51"/>
      <c r="H199" s="51"/>
      <c r="I199" s="81"/>
      <c r="K199" s="81"/>
      <c r="L199" s="81"/>
      <c r="M199" s="81"/>
      <c r="N199" s="49"/>
      <c r="Q199" s="86"/>
      <c r="R199" s="86"/>
    </row>
    <row r="200" spans="1:18" s="44" customFormat="1" ht="12.75" x14ac:dyDescent="0.2">
      <c r="A200" s="48"/>
      <c r="D200" s="49"/>
      <c r="E200" s="50"/>
      <c r="F200" s="51"/>
      <c r="H200" s="51"/>
      <c r="I200" s="81"/>
      <c r="K200" s="81"/>
      <c r="L200" s="81"/>
      <c r="M200" s="81"/>
      <c r="N200" s="49"/>
      <c r="Q200" s="86"/>
      <c r="R200" s="86"/>
    </row>
    <row r="201" spans="1:18" s="44" customFormat="1" ht="12.75" x14ac:dyDescent="0.2">
      <c r="A201" s="48"/>
      <c r="D201" s="49"/>
      <c r="E201" s="50"/>
      <c r="F201" s="51"/>
      <c r="H201" s="51"/>
      <c r="I201" s="81"/>
      <c r="K201" s="81"/>
      <c r="L201" s="81"/>
      <c r="M201" s="81"/>
      <c r="N201" s="49"/>
      <c r="Q201" s="86"/>
      <c r="R201" s="86"/>
    </row>
    <row r="202" spans="1:18" s="44" customFormat="1" ht="12.75" x14ac:dyDescent="0.2">
      <c r="A202" s="48"/>
      <c r="D202" s="49"/>
      <c r="E202" s="50"/>
      <c r="F202" s="51"/>
      <c r="H202" s="51"/>
      <c r="I202" s="81"/>
      <c r="K202" s="81"/>
      <c r="L202" s="81"/>
      <c r="M202" s="81"/>
      <c r="N202" s="49"/>
      <c r="Q202" s="86"/>
      <c r="R202" s="86"/>
    </row>
    <row r="203" spans="1:18" s="44" customFormat="1" ht="12.75" x14ac:dyDescent="0.2">
      <c r="A203" s="48"/>
      <c r="D203" s="49"/>
      <c r="E203" s="50"/>
      <c r="F203" s="51"/>
      <c r="H203" s="51"/>
      <c r="I203" s="81"/>
      <c r="K203" s="81"/>
      <c r="L203" s="81"/>
      <c r="M203" s="81"/>
      <c r="N203" s="49"/>
      <c r="Q203" s="86"/>
      <c r="R203" s="86"/>
    </row>
    <row r="204" spans="1:18" s="44" customFormat="1" ht="12.75" x14ac:dyDescent="0.2">
      <c r="A204" s="48"/>
      <c r="D204" s="49"/>
      <c r="E204" s="50"/>
      <c r="F204" s="51"/>
      <c r="H204" s="51"/>
      <c r="I204" s="81"/>
      <c r="K204" s="81"/>
      <c r="L204" s="81"/>
      <c r="M204" s="81"/>
      <c r="N204" s="49"/>
      <c r="Q204" s="86"/>
      <c r="R204" s="86"/>
    </row>
    <row r="205" spans="1:18" s="44" customFormat="1" ht="12.75" x14ac:dyDescent="0.2">
      <c r="A205" s="48"/>
      <c r="D205" s="49"/>
      <c r="E205" s="50"/>
      <c r="F205" s="51"/>
      <c r="H205" s="51"/>
      <c r="I205" s="81"/>
      <c r="K205" s="81"/>
      <c r="L205" s="81"/>
      <c r="M205" s="81"/>
      <c r="N205" s="49"/>
      <c r="Q205" s="86"/>
      <c r="R205" s="86"/>
    </row>
    <row r="206" spans="1:18" s="44" customFormat="1" ht="12.75" x14ac:dyDescent="0.2">
      <c r="A206" s="48"/>
      <c r="D206" s="49"/>
      <c r="E206" s="50"/>
      <c r="F206" s="51"/>
      <c r="H206" s="51"/>
      <c r="I206" s="81"/>
      <c r="K206" s="81"/>
      <c r="L206" s="81"/>
      <c r="M206" s="81"/>
      <c r="N206" s="49"/>
      <c r="Q206" s="86"/>
      <c r="R206" s="86"/>
    </row>
    <row r="207" spans="1:18" s="44" customFormat="1" ht="12.75" x14ac:dyDescent="0.2">
      <c r="A207" s="48"/>
      <c r="D207" s="49"/>
      <c r="E207" s="50"/>
      <c r="F207" s="51"/>
      <c r="H207" s="51"/>
      <c r="I207" s="81"/>
      <c r="K207" s="81"/>
      <c r="L207" s="81"/>
      <c r="M207" s="81"/>
      <c r="N207" s="49"/>
      <c r="Q207" s="86"/>
      <c r="R207" s="86"/>
    </row>
    <row r="208" spans="1:18" s="44" customFormat="1" ht="12.75" x14ac:dyDescent="0.2">
      <c r="A208" s="48"/>
      <c r="D208" s="49"/>
      <c r="E208" s="50"/>
      <c r="F208" s="51"/>
      <c r="H208" s="51"/>
      <c r="I208" s="81"/>
      <c r="K208" s="81"/>
      <c r="L208" s="81"/>
      <c r="M208" s="81"/>
      <c r="N208" s="49"/>
      <c r="Q208" s="86"/>
      <c r="R208" s="86"/>
    </row>
    <row r="209" spans="1:18" s="44" customFormat="1" ht="12.75" x14ac:dyDescent="0.2">
      <c r="A209" s="48"/>
      <c r="D209" s="49"/>
      <c r="E209" s="50"/>
      <c r="F209" s="51"/>
      <c r="H209" s="51"/>
      <c r="I209" s="81"/>
      <c r="K209" s="81"/>
      <c r="L209" s="81"/>
      <c r="M209" s="81"/>
      <c r="N209" s="49"/>
      <c r="Q209" s="86"/>
      <c r="R209" s="86"/>
    </row>
    <row r="210" spans="1:18" s="44" customFormat="1" ht="12.75" x14ac:dyDescent="0.2">
      <c r="A210" s="48"/>
      <c r="D210" s="49"/>
      <c r="E210" s="50"/>
      <c r="F210" s="51"/>
      <c r="H210" s="51"/>
      <c r="I210" s="81"/>
      <c r="K210" s="81"/>
      <c r="L210" s="81"/>
      <c r="M210" s="81"/>
      <c r="N210" s="49"/>
      <c r="Q210" s="86"/>
      <c r="R210" s="86"/>
    </row>
    <row r="211" spans="1:18" s="44" customFormat="1" ht="12.75" x14ac:dyDescent="0.2">
      <c r="A211" s="48"/>
      <c r="D211" s="49"/>
      <c r="E211" s="50"/>
      <c r="F211" s="51"/>
      <c r="H211" s="51"/>
      <c r="I211" s="81"/>
      <c r="K211" s="81"/>
      <c r="L211" s="81"/>
      <c r="M211" s="81"/>
      <c r="N211" s="49"/>
      <c r="Q211" s="86"/>
      <c r="R211" s="86"/>
    </row>
    <row r="212" spans="1:18" s="44" customFormat="1" ht="12.75" x14ac:dyDescent="0.2">
      <c r="A212" s="48"/>
      <c r="D212" s="49"/>
      <c r="E212" s="50"/>
      <c r="F212" s="51"/>
      <c r="H212" s="51"/>
      <c r="I212" s="81"/>
      <c r="K212" s="81"/>
      <c r="L212" s="81"/>
      <c r="M212" s="81"/>
      <c r="N212" s="49"/>
      <c r="Q212" s="86"/>
      <c r="R212" s="86"/>
    </row>
    <row r="213" spans="1:18" s="44" customFormat="1" ht="12.75" x14ac:dyDescent="0.2">
      <c r="A213" s="48"/>
      <c r="D213" s="49"/>
      <c r="E213" s="50"/>
      <c r="F213" s="51"/>
      <c r="H213" s="51"/>
      <c r="I213" s="81"/>
      <c r="K213" s="81"/>
      <c r="L213" s="81"/>
      <c r="M213" s="81"/>
      <c r="N213" s="49"/>
      <c r="Q213" s="86"/>
      <c r="R213" s="86"/>
    </row>
    <row r="214" spans="1:18" s="44" customFormat="1" ht="12.75" x14ac:dyDescent="0.2">
      <c r="A214" s="48"/>
      <c r="D214" s="49"/>
      <c r="E214" s="50"/>
      <c r="F214" s="51"/>
      <c r="H214" s="51"/>
      <c r="I214" s="81"/>
      <c r="K214" s="81"/>
      <c r="L214" s="81"/>
      <c r="M214" s="81"/>
      <c r="N214" s="49"/>
      <c r="Q214" s="86"/>
      <c r="R214" s="86"/>
    </row>
    <row r="215" spans="1:18" s="44" customFormat="1" ht="12.75" x14ac:dyDescent="0.2">
      <c r="A215" s="48"/>
      <c r="D215" s="49"/>
      <c r="E215" s="50"/>
      <c r="F215" s="51"/>
      <c r="H215" s="51"/>
      <c r="I215" s="81"/>
      <c r="K215" s="81"/>
      <c r="L215" s="81"/>
      <c r="M215" s="81"/>
      <c r="N215" s="49"/>
      <c r="Q215" s="86"/>
      <c r="R215" s="86"/>
    </row>
    <row r="216" spans="1:18" s="44" customFormat="1" ht="12.75" x14ac:dyDescent="0.2">
      <c r="A216" s="48"/>
      <c r="D216" s="49"/>
      <c r="E216" s="50"/>
      <c r="F216" s="51"/>
      <c r="H216" s="51"/>
      <c r="I216" s="81"/>
      <c r="K216" s="81"/>
      <c r="L216" s="81"/>
      <c r="M216" s="81"/>
      <c r="N216" s="49"/>
      <c r="Q216" s="86"/>
      <c r="R216" s="86"/>
    </row>
    <row r="217" spans="1:18" s="44" customFormat="1" ht="12.75" x14ac:dyDescent="0.2">
      <c r="A217" s="48"/>
      <c r="D217" s="49"/>
      <c r="E217" s="50"/>
      <c r="F217" s="51"/>
      <c r="H217" s="51"/>
      <c r="I217" s="81"/>
      <c r="K217" s="81"/>
      <c r="L217" s="81"/>
      <c r="M217" s="81"/>
      <c r="N217" s="49"/>
      <c r="Q217" s="86"/>
      <c r="R217" s="86"/>
    </row>
    <row r="218" spans="1:18" s="44" customFormat="1" ht="12.75" x14ac:dyDescent="0.2">
      <c r="A218" s="48"/>
      <c r="D218" s="49"/>
      <c r="E218" s="50"/>
      <c r="F218" s="51"/>
      <c r="H218" s="51"/>
      <c r="I218" s="81"/>
      <c r="K218" s="81"/>
      <c r="L218" s="81"/>
      <c r="M218" s="81"/>
      <c r="N218" s="49"/>
      <c r="Q218" s="86"/>
      <c r="R218" s="86"/>
    </row>
    <row r="219" spans="1:18" s="44" customFormat="1" ht="12.75" x14ac:dyDescent="0.2">
      <c r="A219" s="48"/>
      <c r="D219" s="49"/>
      <c r="E219" s="50"/>
      <c r="F219" s="51"/>
      <c r="H219" s="51"/>
      <c r="I219" s="81"/>
      <c r="K219" s="81"/>
      <c r="L219" s="81"/>
      <c r="M219" s="81"/>
      <c r="N219" s="49"/>
      <c r="Q219" s="86"/>
      <c r="R219" s="86"/>
    </row>
    <row r="220" spans="1:18" s="44" customFormat="1" ht="12.75" x14ac:dyDescent="0.2">
      <c r="A220" s="48"/>
      <c r="D220" s="49"/>
      <c r="E220" s="50"/>
      <c r="F220" s="51"/>
      <c r="H220" s="51"/>
      <c r="I220" s="81"/>
      <c r="K220" s="81"/>
      <c r="L220" s="81"/>
      <c r="M220" s="81"/>
      <c r="N220" s="49"/>
      <c r="Q220" s="86"/>
      <c r="R220" s="86"/>
    </row>
    <row r="221" spans="1:18" s="44" customFormat="1" ht="12.75" x14ac:dyDescent="0.2">
      <c r="A221" s="48"/>
      <c r="D221" s="49"/>
      <c r="E221" s="50"/>
      <c r="F221" s="51"/>
      <c r="H221" s="51"/>
      <c r="I221" s="81"/>
      <c r="K221" s="81"/>
      <c r="L221" s="81"/>
      <c r="M221" s="81"/>
      <c r="N221" s="49"/>
      <c r="Q221" s="86"/>
      <c r="R221" s="86"/>
    </row>
    <row r="222" spans="1:18" s="44" customFormat="1" ht="12.75" x14ac:dyDescent="0.2">
      <c r="A222" s="48"/>
      <c r="D222" s="49"/>
      <c r="E222" s="50"/>
      <c r="F222" s="51"/>
      <c r="H222" s="51"/>
      <c r="I222" s="81"/>
      <c r="K222" s="81"/>
      <c r="L222" s="81"/>
      <c r="M222" s="81"/>
      <c r="N222" s="49"/>
      <c r="Q222" s="86"/>
      <c r="R222" s="86"/>
    </row>
    <row r="223" spans="1:18" s="44" customFormat="1" ht="12.75" x14ac:dyDescent="0.2">
      <c r="A223" s="48"/>
      <c r="D223" s="49"/>
      <c r="E223" s="50"/>
      <c r="F223" s="51"/>
      <c r="H223" s="51"/>
      <c r="I223" s="81"/>
      <c r="K223" s="81"/>
      <c r="L223" s="81"/>
      <c r="M223" s="81"/>
      <c r="N223" s="49"/>
      <c r="Q223" s="86"/>
      <c r="R223" s="86"/>
    </row>
    <row r="224" spans="1:18" s="44" customFormat="1" ht="12.75" x14ac:dyDescent="0.2">
      <c r="A224" s="48"/>
      <c r="D224" s="49"/>
      <c r="E224" s="50"/>
      <c r="F224" s="51"/>
      <c r="H224" s="51"/>
      <c r="I224" s="81"/>
      <c r="K224" s="81"/>
      <c r="L224" s="81"/>
      <c r="M224" s="81"/>
      <c r="N224" s="49"/>
      <c r="Q224" s="86"/>
      <c r="R224" s="86"/>
    </row>
    <row r="225" spans="1:18" s="44" customFormat="1" ht="12.75" x14ac:dyDescent="0.2">
      <c r="A225" s="48"/>
      <c r="D225" s="49"/>
      <c r="E225" s="50"/>
      <c r="F225" s="51"/>
      <c r="H225" s="51"/>
      <c r="I225" s="81"/>
      <c r="K225" s="81"/>
      <c r="L225" s="81"/>
      <c r="M225" s="81"/>
      <c r="N225" s="49"/>
      <c r="Q225" s="86"/>
      <c r="R225" s="86"/>
    </row>
    <row r="226" spans="1:18" s="44" customFormat="1" ht="12.75" x14ac:dyDescent="0.2">
      <c r="A226" s="48"/>
      <c r="D226" s="49"/>
      <c r="E226" s="50"/>
      <c r="F226" s="51"/>
      <c r="H226" s="51"/>
      <c r="I226" s="81"/>
      <c r="K226" s="81"/>
      <c r="L226" s="81"/>
      <c r="M226" s="81"/>
      <c r="N226" s="49"/>
      <c r="Q226" s="86"/>
      <c r="R226" s="86"/>
    </row>
    <row r="227" spans="1:18" s="44" customFormat="1" ht="12.75" x14ac:dyDescent="0.2">
      <c r="A227" s="48"/>
      <c r="D227" s="49"/>
      <c r="E227" s="50"/>
      <c r="F227" s="51"/>
      <c r="H227" s="51"/>
      <c r="I227" s="81"/>
      <c r="K227" s="81"/>
      <c r="L227" s="81"/>
      <c r="M227" s="81"/>
      <c r="N227" s="49"/>
      <c r="Q227" s="86"/>
      <c r="R227" s="86"/>
    </row>
    <row r="228" spans="1:18" s="44" customFormat="1" ht="12.75" x14ac:dyDescent="0.2">
      <c r="A228" s="48"/>
      <c r="D228" s="49"/>
      <c r="E228" s="50"/>
      <c r="F228" s="51"/>
      <c r="H228" s="51"/>
      <c r="I228" s="81"/>
      <c r="K228" s="81"/>
      <c r="L228" s="81"/>
      <c r="M228" s="81"/>
      <c r="N228" s="49"/>
      <c r="Q228" s="86"/>
      <c r="R228" s="86"/>
    </row>
    <row r="229" spans="1:18" s="44" customFormat="1" ht="12.75" x14ac:dyDescent="0.2">
      <c r="A229" s="48"/>
      <c r="D229" s="49"/>
      <c r="E229" s="50"/>
      <c r="F229" s="51"/>
      <c r="H229" s="51"/>
      <c r="I229" s="81"/>
      <c r="K229" s="81"/>
      <c r="L229" s="81"/>
      <c r="M229" s="81"/>
      <c r="N229" s="49"/>
      <c r="Q229" s="86"/>
      <c r="R229" s="86"/>
    </row>
    <row r="230" spans="1:18" s="44" customFormat="1" ht="12.75" x14ac:dyDescent="0.2">
      <c r="A230" s="48"/>
      <c r="D230" s="49"/>
      <c r="E230" s="50"/>
      <c r="F230" s="51"/>
      <c r="H230" s="51"/>
      <c r="I230" s="81"/>
      <c r="K230" s="81"/>
      <c r="L230" s="81"/>
      <c r="M230" s="81"/>
      <c r="N230" s="49"/>
      <c r="Q230" s="86"/>
      <c r="R230" s="86"/>
    </row>
    <row r="231" spans="1:18" s="44" customFormat="1" ht="12.75" x14ac:dyDescent="0.2">
      <c r="A231" s="48"/>
      <c r="D231" s="49"/>
      <c r="E231" s="50"/>
      <c r="F231" s="51"/>
      <c r="H231" s="51"/>
      <c r="I231" s="81"/>
      <c r="K231" s="81"/>
      <c r="L231" s="81"/>
      <c r="M231" s="81"/>
      <c r="N231" s="49"/>
      <c r="Q231" s="86"/>
      <c r="R231" s="86"/>
    </row>
    <row r="232" spans="1:18" s="44" customFormat="1" ht="12.75" x14ac:dyDescent="0.2">
      <c r="A232" s="48"/>
      <c r="D232" s="49"/>
      <c r="E232" s="50"/>
      <c r="F232" s="51"/>
      <c r="H232" s="51"/>
      <c r="I232" s="81"/>
      <c r="K232" s="81"/>
      <c r="L232" s="81"/>
      <c r="M232" s="81"/>
      <c r="N232" s="49"/>
      <c r="Q232" s="86"/>
      <c r="R232" s="86"/>
    </row>
    <row r="233" spans="1:18" s="44" customFormat="1" ht="12.75" x14ac:dyDescent="0.2">
      <c r="A233" s="48"/>
      <c r="D233" s="49"/>
      <c r="E233" s="50"/>
      <c r="F233" s="51"/>
      <c r="H233" s="51"/>
      <c r="I233" s="81"/>
      <c r="K233" s="81"/>
      <c r="L233" s="81"/>
      <c r="M233" s="81"/>
      <c r="N233" s="49"/>
      <c r="Q233" s="86"/>
      <c r="R233" s="86"/>
    </row>
    <row r="234" spans="1:18" s="44" customFormat="1" ht="12.75" x14ac:dyDescent="0.2">
      <c r="A234" s="48"/>
      <c r="D234" s="49"/>
      <c r="E234" s="50"/>
      <c r="F234" s="51"/>
      <c r="H234" s="51"/>
      <c r="I234" s="81"/>
      <c r="K234" s="81"/>
      <c r="L234" s="81"/>
      <c r="M234" s="81"/>
      <c r="N234" s="49"/>
      <c r="Q234" s="86"/>
      <c r="R234" s="86"/>
    </row>
    <row r="235" spans="1:18" s="44" customFormat="1" ht="12.75" x14ac:dyDescent="0.2">
      <c r="A235" s="48"/>
      <c r="D235" s="49"/>
      <c r="E235" s="50"/>
      <c r="F235" s="51"/>
      <c r="H235" s="51"/>
      <c r="I235" s="81"/>
      <c r="K235" s="81"/>
      <c r="L235" s="81"/>
      <c r="M235" s="81"/>
      <c r="N235" s="49"/>
      <c r="Q235" s="86"/>
      <c r="R235" s="86"/>
    </row>
    <row r="236" spans="1:18" s="44" customFormat="1" ht="12.75" x14ac:dyDescent="0.2">
      <c r="A236" s="48"/>
      <c r="D236" s="49"/>
      <c r="E236" s="50"/>
      <c r="F236" s="51"/>
      <c r="H236" s="51"/>
      <c r="I236" s="81"/>
      <c r="K236" s="81"/>
      <c r="L236" s="81"/>
      <c r="M236" s="81"/>
      <c r="N236" s="49"/>
      <c r="Q236" s="86"/>
      <c r="R236" s="86"/>
    </row>
    <row r="237" spans="1:18" s="44" customFormat="1" ht="12.75" x14ac:dyDescent="0.2">
      <c r="A237" s="48"/>
      <c r="D237" s="49"/>
      <c r="E237" s="50"/>
      <c r="F237" s="51"/>
      <c r="H237" s="51"/>
      <c r="I237" s="81"/>
      <c r="K237" s="81"/>
      <c r="L237" s="81"/>
      <c r="M237" s="81"/>
      <c r="N237" s="49"/>
      <c r="Q237" s="86"/>
      <c r="R237" s="86"/>
    </row>
    <row r="238" spans="1:18" s="44" customFormat="1" ht="12.75" x14ac:dyDescent="0.2">
      <c r="A238" s="48"/>
      <c r="D238" s="49"/>
      <c r="E238" s="50"/>
      <c r="F238" s="51"/>
      <c r="H238" s="51"/>
      <c r="I238" s="81"/>
      <c r="K238" s="81"/>
      <c r="L238" s="81"/>
      <c r="M238" s="81"/>
      <c r="N238" s="49"/>
      <c r="Q238" s="86"/>
      <c r="R238" s="86"/>
    </row>
    <row r="239" spans="1:18" s="44" customFormat="1" ht="12.75" x14ac:dyDescent="0.2">
      <c r="A239" s="48"/>
      <c r="D239" s="49"/>
      <c r="E239" s="50"/>
      <c r="F239" s="51"/>
      <c r="H239" s="51"/>
      <c r="I239" s="81"/>
      <c r="K239" s="81"/>
      <c r="L239" s="81"/>
      <c r="M239" s="81"/>
      <c r="N239" s="49"/>
      <c r="Q239" s="86"/>
      <c r="R239" s="86"/>
    </row>
    <row r="240" spans="1:18" s="44" customFormat="1" ht="12.75" x14ac:dyDescent="0.2">
      <c r="A240" s="48"/>
      <c r="D240" s="49"/>
      <c r="E240" s="50"/>
      <c r="F240" s="51"/>
      <c r="H240" s="51"/>
      <c r="I240" s="81"/>
      <c r="K240" s="81"/>
      <c r="L240" s="81"/>
      <c r="M240" s="81"/>
      <c r="N240" s="49"/>
      <c r="Q240" s="86"/>
      <c r="R240" s="86"/>
    </row>
    <row r="241" spans="1:18" s="44" customFormat="1" ht="12.75" x14ac:dyDescent="0.2">
      <c r="A241" s="48"/>
      <c r="D241" s="49"/>
      <c r="E241" s="50"/>
      <c r="F241" s="51"/>
      <c r="H241" s="51"/>
      <c r="I241" s="81"/>
      <c r="K241" s="81"/>
      <c r="L241" s="81"/>
      <c r="M241" s="81"/>
      <c r="N241" s="49"/>
      <c r="Q241" s="86"/>
      <c r="R241" s="86"/>
    </row>
    <row r="242" spans="1:18" s="44" customFormat="1" ht="12.75" x14ac:dyDescent="0.2">
      <c r="A242" s="48"/>
      <c r="D242" s="49"/>
      <c r="E242" s="50"/>
      <c r="F242" s="51"/>
      <c r="H242" s="51"/>
      <c r="I242" s="81"/>
      <c r="K242" s="81"/>
      <c r="L242" s="81"/>
      <c r="M242" s="81"/>
      <c r="N242" s="49"/>
      <c r="Q242" s="86"/>
      <c r="R242" s="86"/>
    </row>
    <row r="243" spans="1:18" s="44" customFormat="1" ht="12.75" x14ac:dyDescent="0.2">
      <c r="A243" s="48"/>
      <c r="D243" s="49"/>
      <c r="E243" s="50"/>
      <c r="F243" s="51"/>
      <c r="H243" s="51"/>
      <c r="I243" s="81"/>
      <c r="K243" s="81"/>
      <c r="L243" s="81"/>
      <c r="M243" s="81"/>
      <c r="N243" s="49"/>
      <c r="Q243" s="86"/>
      <c r="R243" s="86"/>
    </row>
    <row r="244" spans="1:18" s="44" customFormat="1" ht="12.75" x14ac:dyDescent="0.2">
      <c r="A244" s="48"/>
      <c r="D244" s="49"/>
      <c r="E244" s="50"/>
      <c r="F244" s="51"/>
      <c r="H244" s="51"/>
      <c r="I244" s="81"/>
      <c r="K244" s="81"/>
      <c r="L244" s="81"/>
      <c r="M244" s="81"/>
      <c r="N244" s="49"/>
      <c r="Q244" s="86"/>
      <c r="R244" s="86"/>
    </row>
    <row r="245" spans="1:18" s="44" customFormat="1" ht="12.75" x14ac:dyDescent="0.2">
      <c r="A245" s="48"/>
      <c r="D245" s="49"/>
      <c r="E245" s="50"/>
      <c r="F245" s="51"/>
      <c r="H245" s="51"/>
      <c r="I245" s="81"/>
      <c r="K245" s="81"/>
      <c r="L245" s="81"/>
      <c r="M245" s="81"/>
      <c r="N245" s="49"/>
      <c r="Q245" s="86"/>
      <c r="R245" s="86"/>
    </row>
    <row r="246" spans="1:18" s="44" customFormat="1" ht="12.75" x14ac:dyDescent="0.2">
      <c r="A246" s="48"/>
      <c r="D246" s="49"/>
      <c r="E246" s="50"/>
      <c r="F246" s="51"/>
      <c r="H246" s="51"/>
      <c r="I246" s="81"/>
      <c r="K246" s="81"/>
      <c r="L246" s="81"/>
      <c r="M246" s="81"/>
      <c r="N246" s="49"/>
      <c r="Q246" s="86"/>
      <c r="R246" s="86"/>
    </row>
    <row r="247" spans="1:18" s="44" customFormat="1" ht="12.75" x14ac:dyDescent="0.2">
      <c r="A247" s="48"/>
      <c r="D247" s="49"/>
      <c r="E247" s="50"/>
      <c r="F247" s="51"/>
      <c r="H247" s="51"/>
      <c r="I247" s="81"/>
      <c r="K247" s="81"/>
      <c r="L247" s="81"/>
      <c r="M247" s="81"/>
      <c r="N247" s="49"/>
      <c r="Q247" s="86"/>
      <c r="R247" s="86"/>
    </row>
    <row r="248" spans="1:18" s="44" customFormat="1" ht="12.75" x14ac:dyDescent="0.2">
      <c r="A248" s="48"/>
      <c r="D248" s="49"/>
      <c r="E248" s="50"/>
      <c r="F248" s="51"/>
      <c r="H248" s="51"/>
      <c r="I248" s="81"/>
      <c r="K248" s="81"/>
      <c r="L248" s="81"/>
      <c r="M248" s="81"/>
      <c r="N248" s="49"/>
      <c r="Q248" s="86"/>
      <c r="R248" s="86"/>
    </row>
    <row r="249" spans="1:18" s="44" customFormat="1" ht="12.75" x14ac:dyDescent="0.2">
      <c r="A249" s="48"/>
      <c r="D249" s="49"/>
      <c r="E249" s="50"/>
      <c r="F249" s="51"/>
      <c r="H249" s="51"/>
      <c r="I249" s="81"/>
      <c r="K249" s="81"/>
      <c r="L249" s="81"/>
      <c r="M249" s="81"/>
      <c r="N249" s="49"/>
      <c r="Q249" s="86"/>
      <c r="R249" s="86"/>
    </row>
    <row r="250" spans="1:18" s="44" customFormat="1" ht="12.75" x14ac:dyDescent="0.2">
      <c r="A250" s="48"/>
      <c r="D250" s="49"/>
      <c r="E250" s="50"/>
      <c r="F250" s="51"/>
      <c r="H250" s="51"/>
      <c r="I250" s="81"/>
      <c r="K250" s="81"/>
      <c r="L250" s="81"/>
      <c r="M250" s="81"/>
      <c r="N250" s="49"/>
      <c r="Q250" s="86"/>
      <c r="R250" s="86"/>
    </row>
    <row r="251" spans="1:18" s="44" customFormat="1" ht="12.75" x14ac:dyDescent="0.2">
      <c r="A251" s="48"/>
      <c r="D251" s="49"/>
      <c r="E251" s="50"/>
      <c r="F251" s="51"/>
      <c r="H251" s="51"/>
      <c r="I251" s="81"/>
      <c r="K251" s="81"/>
      <c r="L251" s="81"/>
      <c r="M251" s="81"/>
      <c r="N251" s="49"/>
      <c r="Q251" s="86"/>
      <c r="R251" s="86"/>
    </row>
    <row r="252" spans="1:18" s="44" customFormat="1" ht="12.75" x14ac:dyDescent="0.2">
      <c r="A252" s="48"/>
      <c r="D252" s="49"/>
      <c r="E252" s="50"/>
      <c r="F252" s="51"/>
      <c r="H252" s="51"/>
      <c r="I252" s="81"/>
      <c r="K252" s="81"/>
      <c r="L252" s="81"/>
      <c r="M252" s="81"/>
      <c r="N252" s="49"/>
      <c r="Q252" s="86"/>
      <c r="R252" s="86"/>
    </row>
    <row r="253" spans="1:18" s="44" customFormat="1" ht="12.75" x14ac:dyDescent="0.2">
      <c r="A253" s="48"/>
      <c r="D253" s="49"/>
      <c r="E253" s="50"/>
      <c r="F253" s="51"/>
      <c r="H253" s="51"/>
      <c r="I253" s="81"/>
      <c r="K253" s="81"/>
      <c r="L253" s="81"/>
      <c r="M253" s="81"/>
      <c r="N253" s="49"/>
      <c r="Q253" s="86"/>
      <c r="R253" s="86"/>
    </row>
    <row r="254" spans="1:18" s="44" customFormat="1" ht="12.75" x14ac:dyDescent="0.2">
      <c r="A254" s="48"/>
      <c r="D254" s="49"/>
      <c r="E254" s="50"/>
      <c r="F254" s="51"/>
      <c r="H254" s="51"/>
      <c r="I254" s="81"/>
      <c r="K254" s="81"/>
      <c r="L254" s="81"/>
      <c r="M254" s="81"/>
      <c r="N254" s="49"/>
      <c r="Q254" s="86"/>
      <c r="R254" s="86"/>
    </row>
    <row r="255" spans="1:18" s="44" customFormat="1" ht="12.75" x14ac:dyDescent="0.2">
      <c r="A255" s="48"/>
      <c r="D255" s="49"/>
      <c r="E255" s="50"/>
      <c r="F255" s="51"/>
      <c r="H255" s="51"/>
      <c r="I255" s="81"/>
      <c r="K255" s="81"/>
      <c r="L255" s="81"/>
      <c r="M255" s="81"/>
      <c r="N255" s="49"/>
      <c r="Q255" s="86"/>
      <c r="R255" s="86"/>
    </row>
    <row r="256" spans="1:18" s="44" customFormat="1" ht="12.75" x14ac:dyDescent="0.2">
      <c r="A256" s="48"/>
      <c r="D256" s="49"/>
      <c r="E256" s="50"/>
      <c r="F256" s="51"/>
      <c r="H256" s="51"/>
      <c r="I256" s="81"/>
      <c r="K256" s="81"/>
      <c r="L256" s="81"/>
      <c r="M256" s="81"/>
      <c r="N256" s="49"/>
      <c r="Q256" s="86"/>
      <c r="R256" s="86"/>
    </row>
    <row r="257" spans="1:18" s="44" customFormat="1" ht="12.75" x14ac:dyDescent="0.2">
      <c r="A257" s="48"/>
      <c r="D257" s="49"/>
      <c r="E257" s="50"/>
      <c r="F257" s="51"/>
      <c r="H257" s="51"/>
      <c r="I257" s="81"/>
      <c r="K257" s="81"/>
      <c r="L257" s="81"/>
      <c r="M257" s="81"/>
      <c r="N257" s="49"/>
      <c r="Q257" s="86"/>
      <c r="R257" s="86"/>
    </row>
    <row r="258" spans="1:18" s="44" customFormat="1" ht="12.75" x14ac:dyDescent="0.2">
      <c r="A258" s="48"/>
      <c r="D258" s="49"/>
      <c r="E258" s="50"/>
      <c r="F258" s="51"/>
      <c r="H258" s="51"/>
      <c r="I258" s="81"/>
      <c r="K258" s="81"/>
      <c r="L258" s="81"/>
      <c r="M258" s="81"/>
      <c r="N258" s="49"/>
      <c r="Q258" s="86"/>
      <c r="R258" s="86"/>
    </row>
    <row r="259" spans="1:18" s="44" customFormat="1" ht="12.75" x14ac:dyDescent="0.2">
      <c r="A259" s="48"/>
      <c r="D259" s="49"/>
      <c r="E259" s="50"/>
      <c r="F259" s="51"/>
      <c r="H259" s="51"/>
      <c r="I259" s="81"/>
      <c r="K259" s="81"/>
      <c r="L259" s="81"/>
      <c r="M259" s="81"/>
      <c r="N259" s="49"/>
      <c r="Q259" s="86"/>
      <c r="R259" s="86"/>
    </row>
    <row r="260" spans="1:18" s="44" customFormat="1" ht="12.75" x14ac:dyDescent="0.2">
      <c r="A260" s="48"/>
      <c r="D260" s="49"/>
      <c r="E260" s="50"/>
      <c r="F260" s="51"/>
      <c r="H260" s="51"/>
      <c r="I260" s="81"/>
      <c r="K260" s="81"/>
      <c r="L260" s="81"/>
      <c r="M260" s="81"/>
      <c r="N260" s="49"/>
      <c r="Q260" s="86"/>
      <c r="R260" s="86"/>
    </row>
    <row r="261" spans="1:18" s="44" customFormat="1" ht="12.75" x14ac:dyDescent="0.2">
      <c r="A261" s="48"/>
      <c r="D261" s="49"/>
      <c r="E261" s="50"/>
      <c r="F261" s="51"/>
      <c r="H261" s="51"/>
      <c r="I261" s="81"/>
      <c r="K261" s="81"/>
      <c r="L261" s="81"/>
      <c r="M261" s="81"/>
      <c r="N261" s="49"/>
      <c r="Q261" s="86"/>
      <c r="R261" s="86"/>
    </row>
    <row r="262" spans="1:18" s="44" customFormat="1" ht="12.75" x14ac:dyDescent="0.2">
      <c r="A262" s="48"/>
      <c r="D262" s="49"/>
      <c r="E262" s="50"/>
      <c r="F262" s="51"/>
      <c r="H262" s="51"/>
      <c r="I262" s="81"/>
      <c r="K262" s="81"/>
      <c r="L262" s="81"/>
      <c r="M262" s="81"/>
      <c r="N262" s="49"/>
      <c r="Q262" s="86"/>
      <c r="R262" s="86"/>
    </row>
    <row r="263" spans="1:18" s="44" customFormat="1" ht="12.75" x14ac:dyDescent="0.2">
      <c r="A263" s="48"/>
      <c r="D263" s="49"/>
      <c r="E263" s="50"/>
      <c r="F263" s="51"/>
      <c r="H263" s="51"/>
      <c r="I263" s="81"/>
      <c r="K263" s="81"/>
      <c r="L263" s="81"/>
      <c r="M263" s="81"/>
      <c r="N263" s="49"/>
      <c r="Q263" s="86"/>
      <c r="R263" s="86"/>
    </row>
    <row r="264" spans="1:18" s="44" customFormat="1" ht="12.75" x14ac:dyDescent="0.2">
      <c r="A264" s="48"/>
      <c r="D264" s="49"/>
      <c r="E264" s="50"/>
      <c r="F264" s="51"/>
      <c r="H264" s="51"/>
      <c r="I264" s="81"/>
      <c r="K264" s="81"/>
      <c r="L264" s="81"/>
      <c r="M264" s="81"/>
      <c r="N264" s="49"/>
      <c r="Q264" s="86"/>
      <c r="R264" s="86"/>
    </row>
    <row r="265" spans="1:18" s="44" customFormat="1" ht="12.75" x14ac:dyDescent="0.2">
      <c r="A265" s="48"/>
      <c r="D265" s="49"/>
      <c r="E265" s="50"/>
      <c r="F265" s="51"/>
      <c r="H265" s="51"/>
      <c r="I265" s="81"/>
      <c r="K265" s="81"/>
      <c r="L265" s="81"/>
      <c r="M265" s="81"/>
      <c r="N265" s="49"/>
      <c r="Q265" s="86"/>
      <c r="R265" s="86"/>
    </row>
    <row r="266" spans="1:18" s="44" customFormat="1" ht="12.75" x14ac:dyDescent="0.2">
      <c r="A266" s="48"/>
      <c r="D266" s="49"/>
      <c r="E266" s="50"/>
      <c r="F266" s="51"/>
      <c r="H266" s="51"/>
      <c r="I266" s="81"/>
      <c r="K266" s="81"/>
      <c r="L266" s="81"/>
      <c r="M266" s="81"/>
      <c r="N266" s="49"/>
      <c r="Q266" s="86"/>
      <c r="R266" s="86"/>
    </row>
    <row r="267" spans="1:18" s="44" customFormat="1" ht="12.75" x14ac:dyDescent="0.2">
      <c r="A267" s="48"/>
      <c r="D267" s="49"/>
      <c r="E267" s="50"/>
      <c r="F267" s="51"/>
      <c r="H267" s="51"/>
      <c r="I267" s="81"/>
      <c r="K267" s="81"/>
      <c r="L267" s="81"/>
      <c r="M267" s="81"/>
      <c r="N267" s="49"/>
      <c r="Q267" s="86"/>
      <c r="R267" s="86"/>
    </row>
    <row r="268" spans="1:18" s="44" customFormat="1" ht="12.75" x14ac:dyDescent="0.2">
      <c r="A268" s="48"/>
      <c r="D268" s="49"/>
      <c r="E268" s="50"/>
      <c r="F268" s="51"/>
      <c r="H268" s="51"/>
      <c r="I268" s="81"/>
      <c r="K268" s="81"/>
      <c r="L268" s="81"/>
      <c r="M268" s="81"/>
      <c r="N268" s="49"/>
      <c r="Q268" s="86"/>
      <c r="R268" s="86"/>
    </row>
    <row r="269" spans="1:18" s="44" customFormat="1" ht="12.75" x14ac:dyDescent="0.2">
      <c r="A269" s="48"/>
      <c r="D269" s="49"/>
      <c r="E269" s="50"/>
      <c r="F269" s="51"/>
      <c r="H269" s="51"/>
      <c r="I269" s="81"/>
      <c r="K269" s="81"/>
      <c r="L269" s="81"/>
      <c r="M269" s="81"/>
      <c r="N269" s="49"/>
      <c r="Q269" s="86"/>
      <c r="R269" s="86"/>
    </row>
    <row r="270" spans="1:18" s="44" customFormat="1" ht="12.75" x14ac:dyDescent="0.2">
      <c r="A270" s="48"/>
      <c r="D270" s="49"/>
      <c r="E270" s="50"/>
      <c r="F270" s="51"/>
      <c r="H270" s="51"/>
      <c r="I270" s="81"/>
      <c r="K270" s="81"/>
      <c r="L270" s="81"/>
      <c r="M270" s="81"/>
      <c r="N270" s="49"/>
      <c r="Q270" s="86"/>
      <c r="R270" s="86"/>
    </row>
    <row r="271" spans="1:18" s="44" customFormat="1" ht="12.75" x14ac:dyDescent="0.2">
      <c r="A271" s="48"/>
      <c r="D271" s="49"/>
      <c r="E271" s="50"/>
      <c r="F271" s="51"/>
      <c r="H271" s="51"/>
      <c r="I271" s="81"/>
      <c r="K271" s="81"/>
      <c r="L271" s="81"/>
      <c r="M271" s="81"/>
      <c r="N271" s="49"/>
      <c r="Q271" s="86"/>
      <c r="R271" s="86"/>
    </row>
    <row r="272" spans="1:18" s="44" customFormat="1" ht="12.75" x14ac:dyDescent="0.2">
      <c r="A272" s="48"/>
      <c r="D272" s="49"/>
      <c r="E272" s="50"/>
      <c r="F272" s="51"/>
      <c r="H272" s="51"/>
      <c r="I272" s="81"/>
      <c r="K272" s="81"/>
      <c r="L272" s="81"/>
      <c r="M272" s="81"/>
      <c r="N272" s="49"/>
      <c r="Q272" s="86"/>
      <c r="R272" s="86"/>
    </row>
    <row r="273" spans="1:18" s="44" customFormat="1" ht="12.75" x14ac:dyDescent="0.2">
      <c r="A273" s="48"/>
      <c r="D273" s="49"/>
      <c r="E273" s="50"/>
      <c r="F273" s="51"/>
      <c r="H273" s="51"/>
      <c r="I273" s="81"/>
      <c r="K273" s="81"/>
      <c r="L273" s="81"/>
      <c r="M273" s="81"/>
      <c r="N273" s="49"/>
      <c r="Q273" s="86"/>
      <c r="R273" s="86"/>
    </row>
    <row r="274" spans="1:18" s="44" customFormat="1" ht="12.75" x14ac:dyDescent="0.2">
      <c r="A274" s="48"/>
      <c r="D274" s="49"/>
      <c r="E274" s="50"/>
      <c r="F274" s="51"/>
      <c r="H274" s="51"/>
      <c r="I274" s="81"/>
      <c r="K274" s="81"/>
      <c r="L274" s="81"/>
      <c r="M274" s="81"/>
      <c r="N274" s="49"/>
      <c r="Q274" s="86"/>
      <c r="R274" s="86"/>
    </row>
    <row r="275" spans="1:18" s="44" customFormat="1" ht="12.75" x14ac:dyDescent="0.2">
      <c r="A275" s="48"/>
      <c r="D275" s="49"/>
      <c r="E275" s="50"/>
      <c r="F275" s="51"/>
      <c r="H275" s="51"/>
      <c r="I275" s="81"/>
      <c r="K275" s="81"/>
      <c r="L275" s="81"/>
      <c r="M275" s="81"/>
      <c r="N275" s="49"/>
      <c r="Q275" s="86"/>
      <c r="R275" s="86"/>
    </row>
    <row r="276" spans="1:18" s="44" customFormat="1" ht="12.75" x14ac:dyDescent="0.2">
      <c r="A276" s="48"/>
      <c r="D276" s="49"/>
      <c r="E276" s="50"/>
      <c r="F276" s="51"/>
      <c r="H276" s="51"/>
      <c r="I276" s="81"/>
      <c r="K276" s="81"/>
      <c r="L276" s="81"/>
      <c r="M276" s="81"/>
      <c r="N276" s="49"/>
      <c r="Q276" s="86"/>
      <c r="R276" s="86"/>
    </row>
    <row r="277" spans="1:18" s="44" customFormat="1" ht="12.75" x14ac:dyDescent="0.2">
      <c r="A277" s="48"/>
      <c r="D277" s="49"/>
      <c r="E277" s="50"/>
      <c r="F277" s="51"/>
      <c r="H277" s="51"/>
      <c r="I277" s="81"/>
      <c r="K277" s="81"/>
      <c r="L277" s="81"/>
      <c r="M277" s="81"/>
      <c r="N277" s="49"/>
      <c r="Q277" s="86"/>
      <c r="R277" s="86"/>
    </row>
    <row r="278" spans="1:18" s="44" customFormat="1" ht="12.75" x14ac:dyDescent="0.2">
      <c r="A278" s="48"/>
      <c r="D278" s="49"/>
      <c r="E278" s="50"/>
      <c r="F278" s="51"/>
      <c r="H278" s="51"/>
      <c r="I278" s="81"/>
      <c r="K278" s="81"/>
      <c r="L278" s="81"/>
      <c r="M278" s="81"/>
      <c r="N278" s="49"/>
      <c r="Q278" s="86"/>
      <c r="R278" s="86"/>
    </row>
    <row r="279" spans="1:18" s="44" customFormat="1" ht="12.75" x14ac:dyDescent="0.2">
      <c r="A279" s="48"/>
      <c r="D279" s="49"/>
      <c r="E279" s="50"/>
      <c r="F279" s="51"/>
      <c r="H279" s="51"/>
      <c r="I279" s="81"/>
      <c r="K279" s="81"/>
      <c r="L279" s="81"/>
      <c r="M279" s="81"/>
      <c r="N279" s="49"/>
      <c r="Q279" s="86"/>
      <c r="R279" s="86"/>
    </row>
    <row r="280" spans="1:18" s="44" customFormat="1" ht="12.75" x14ac:dyDescent="0.2">
      <c r="A280" s="48"/>
      <c r="D280" s="49"/>
      <c r="E280" s="50"/>
      <c r="F280" s="51"/>
      <c r="H280" s="51"/>
      <c r="I280" s="81"/>
      <c r="K280" s="81"/>
      <c r="L280" s="81"/>
      <c r="M280" s="81"/>
      <c r="N280" s="49"/>
      <c r="Q280" s="86"/>
      <c r="R280" s="86"/>
    </row>
    <row r="281" spans="1:18" s="44" customFormat="1" ht="12.75" x14ac:dyDescent="0.2">
      <c r="A281" s="48"/>
      <c r="D281" s="49"/>
      <c r="E281" s="50"/>
      <c r="F281" s="51"/>
      <c r="H281" s="51"/>
      <c r="I281" s="81"/>
      <c r="K281" s="81"/>
      <c r="L281" s="81"/>
      <c r="M281" s="81"/>
      <c r="N281" s="49"/>
      <c r="Q281" s="86"/>
      <c r="R281" s="86"/>
    </row>
    <row r="282" spans="1:18" s="44" customFormat="1" ht="12.75" x14ac:dyDescent="0.2">
      <c r="A282" s="48"/>
      <c r="D282" s="49"/>
      <c r="E282" s="50"/>
      <c r="F282" s="51"/>
      <c r="H282" s="51"/>
      <c r="I282" s="81"/>
      <c r="K282" s="81"/>
      <c r="L282" s="81"/>
      <c r="M282" s="81"/>
      <c r="N282" s="49"/>
      <c r="Q282" s="86"/>
      <c r="R282" s="86"/>
    </row>
    <row r="283" spans="1:18" s="44" customFormat="1" ht="12.75" x14ac:dyDescent="0.2">
      <c r="A283" s="48"/>
      <c r="D283" s="49"/>
      <c r="E283" s="50"/>
      <c r="F283" s="51"/>
      <c r="H283" s="51"/>
      <c r="I283" s="81"/>
      <c r="K283" s="81"/>
      <c r="L283" s="81"/>
      <c r="M283" s="81"/>
      <c r="N283" s="49"/>
      <c r="Q283" s="86"/>
      <c r="R283" s="86"/>
    </row>
    <row r="284" spans="1:18" s="44" customFormat="1" ht="12.75" x14ac:dyDescent="0.2">
      <c r="A284" s="48"/>
      <c r="D284" s="49"/>
      <c r="E284" s="50"/>
      <c r="F284" s="51"/>
      <c r="H284" s="51"/>
      <c r="I284" s="81"/>
      <c r="K284" s="81"/>
      <c r="L284" s="81"/>
      <c r="M284" s="81"/>
      <c r="N284" s="49"/>
      <c r="Q284" s="86"/>
      <c r="R284" s="86"/>
    </row>
    <row r="285" spans="1:18" s="44" customFormat="1" ht="12.75" x14ac:dyDescent="0.2">
      <c r="A285" s="48"/>
      <c r="D285" s="49"/>
      <c r="E285" s="50"/>
      <c r="F285" s="51"/>
      <c r="H285" s="51"/>
      <c r="I285" s="81"/>
      <c r="K285" s="81"/>
      <c r="L285" s="81"/>
      <c r="M285" s="81"/>
      <c r="N285" s="49"/>
      <c r="Q285" s="86"/>
      <c r="R285" s="86"/>
    </row>
    <row r="286" spans="1:18" s="44" customFormat="1" ht="12.75" x14ac:dyDescent="0.2">
      <c r="A286" s="48"/>
      <c r="D286" s="49"/>
      <c r="E286" s="50"/>
      <c r="F286" s="51"/>
      <c r="H286" s="51"/>
      <c r="I286" s="81"/>
      <c r="K286" s="81"/>
      <c r="L286" s="81"/>
      <c r="M286" s="81"/>
      <c r="N286" s="49"/>
      <c r="Q286" s="86"/>
      <c r="R286" s="86"/>
    </row>
    <row r="287" spans="1:18" s="44" customFormat="1" ht="12.75" x14ac:dyDescent="0.2">
      <c r="A287" s="48"/>
      <c r="D287" s="49"/>
      <c r="E287" s="50"/>
      <c r="F287" s="51"/>
      <c r="H287" s="51"/>
      <c r="I287" s="81"/>
      <c r="K287" s="81"/>
      <c r="L287" s="81"/>
      <c r="M287" s="81"/>
      <c r="N287" s="49"/>
      <c r="Q287" s="86"/>
      <c r="R287" s="86"/>
    </row>
    <row r="288" spans="1:18" s="44" customFormat="1" ht="12.75" x14ac:dyDescent="0.2">
      <c r="A288" s="48"/>
      <c r="D288" s="49"/>
      <c r="E288" s="50"/>
      <c r="F288" s="51"/>
      <c r="H288" s="51"/>
      <c r="I288" s="81"/>
      <c r="K288" s="81"/>
      <c r="L288" s="81"/>
      <c r="M288" s="81"/>
      <c r="N288" s="49"/>
      <c r="Q288" s="86"/>
      <c r="R288" s="86"/>
    </row>
    <row r="289" spans="1:18" s="44" customFormat="1" ht="12.75" x14ac:dyDescent="0.2">
      <c r="A289" s="48"/>
      <c r="D289" s="49"/>
      <c r="E289" s="50"/>
      <c r="F289" s="51"/>
      <c r="H289" s="51"/>
      <c r="I289" s="81"/>
      <c r="K289" s="81"/>
      <c r="L289" s="81"/>
      <c r="M289" s="81"/>
      <c r="N289" s="49"/>
      <c r="Q289" s="86"/>
      <c r="R289" s="86"/>
    </row>
    <row r="290" spans="1:18" s="44" customFormat="1" ht="12.75" x14ac:dyDescent="0.2">
      <c r="A290" s="48"/>
      <c r="D290" s="49"/>
      <c r="E290" s="50"/>
      <c r="F290" s="51"/>
      <c r="H290" s="51"/>
      <c r="I290" s="81"/>
      <c r="K290" s="81"/>
      <c r="L290" s="81"/>
      <c r="M290" s="81"/>
      <c r="N290" s="49"/>
      <c r="Q290" s="86"/>
      <c r="R290" s="86"/>
    </row>
    <row r="291" spans="1:18" s="44" customFormat="1" ht="12.75" x14ac:dyDescent="0.2">
      <c r="A291" s="48"/>
      <c r="D291" s="49"/>
      <c r="E291" s="50"/>
      <c r="F291" s="51"/>
      <c r="H291" s="51"/>
      <c r="I291" s="81"/>
      <c r="K291" s="81"/>
      <c r="L291" s="81"/>
      <c r="M291" s="81"/>
      <c r="N291" s="49"/>
      <c r="Q291" s="86"/>
      <c r="R291" s="86"/>
    </row>
    <row r="292" spans="1:18" s="44" customFormat="1" ht="12.75" x14ac:dyDescent="0.2">
      <c r="A292" s="48"/>
      <c r="D292" s="49"/>
      <c r="E292" s="50"/>
      <c r="F292" s="51"/>
      <c r="H292" s="51"/>
      <c r="I292" s="81"/>
      <c r="K292" s="81"/>
      <c r="L292" s="81"/>
      <c r="M292" s="81"/>
      <c r="N292" s="49"/>
      <c r="Q292" s="86"/>
      <c r="R292" s="86"/>
    </row>
    <row r="293" spans="1:18" s="44" customFormat="1" ht="12.75" x14ac:dyDescent="0.2">
      <c r="A293" s="48"/>
      <c r="D293" s="49"/>
      <c r="E293" s="50"/>
      <c r="F293" s="51"/>
      <c r="H293" s="51"/>
      <c r="I293" s="81"/>
      <c r="K293" s="81"/>
      <c r="L293" s="81"/>
      <c r="M293" s="81"/>
      <c r="N293" s="49"/>
      <c r="Q293" s="86"/>
      <c r="R293" s="86"/>
    </row>
    <row r="294" spans="1:18" s="44" customFormat="1" ht="12.75" x14ac:dyDescent="0.2">
      <c r="A294" s="48"/>
      <c r="D294" s="49"/>
      <c r="E294" s="50"/>
      <c r="F294" s="51"/>
      <c r="H294" s="51"/>
      <c r="I294" s="81"/>
      <c r="K294" s="81"/>
      <c r="L294" s="81"/>
      <c r="M294" s="81"/>
      <c r="N294" s="49"/>
      <c r="Q294" s="86"/>
      <c r="R294" s="86"/>
    </row>
    <row r="295" spans="1:18" s="44" customFormat="1" ht="12.75" x14ac:dyDescent="0.2">
      <c r="A295" s="48"/>
      <c r="D295" s="49"/>
      <c r="E295" s="50"/>
      <c r="F295" s="51"/>
      <c r="H295" s="51"/>
      <c r="I295" s="81"/>
      <c r="K295" s="81"/>
      <c r="L295" s="81"/>
      <c r="M295" s="81"/>
      <c r="N295" s="49"/>
      <c r="Q295" s="86"/>
      <c r="R295" s="86"/>
    </row>
    <row r="296" spans="1:18" s="44" customFormat="1" ht="12.75" x14ac:dyDescent="0.2">
      <c r="A296" s="48"/>
      <c r="D296" s="49"/>
      <c r="E296" s="50"/>
      <c r="F296" s="51"/>
      <c r="H296" s="51"/>
      <c r="I296" s="81"/>
      <c r="K296" s="81"/>
      <c r="L296" s="81"/>
      <c r="M296" s="81"/>
      <c r="N296" s="49"/>
      <c r="Q296" s="86"/>
      <c r="R296" s="86"/>
    </row>
    <row r="297" spans="1:18" s="44" customFormat="1" ht="12.75" x14ac:dyDescent="0.2">
      <c r="A297" s="48"/>
      <c r="D297" s="49"/>
      <c r="E297" s="50"/>
      <c r="F297" s="51"/>
      <c r="H297" s="51"/>
      <c r="I297" s="81"/>
      <c r="K297" s="81"/>
      <c r="L297" s="81"/>
      <c r="M297" s="81"/>
      <c r="N297" s="49"/>
      <c r="Q297" s="86"/>
      <c r="R297" s="86"/>
    </row>
    <row r="298" spans="1:18" s="44" customFormat="1" ht="12.75" x14ac:dyDescent="0.2">
      <c r="A298" s="48"/>
      <c r="D298" s="49"/>
      <c r="E298" s="50"/>
      <c r="F298" s="51"/>
      <c r="H298" s="51"/>
      <c r="I298" s="81"/>
      <c r="K298" s="81"/>
      <c r="L298" s="81"/>
      <c r="M298" s="81"/>
      <c r="N298" s="49"/>
      <c r="Q298" s="86"/>
      <c r="R298" s="86"/>
    </row>
    <row r="299" spans="1:18" s="44" customFormat="1" ht="12.75" x14ac:dyDescent="0.2">
      <c r="A299" s="48"/>
      <c r="D299" s="49"/>
      <c r="E299" s="50"/>
      <c r="F299" s="51"/>
      <c r="H299" s="51"/>
      <c r="I299" s="81"/>
      <c r="K299" s="81"/>
      <c r="L299" s="81"/>
      <c r="M299" s="81"/>
      <c r="N299" s="49"/>
      <c r="Q299" s="86"/>
      <c r="R299" s="86"/>
    </row>
    <row r="300" spans="1:18" s="44" customFormat="1" ht="12.75" x14ac:dyDescent="0.2">
      <c r="A300" s="48"/>
      <c r="D300" s="49"/>
      <c r="E300" s="50"/>
      <c r="F300" s="51"/>
      <c r="H300" s="51"/>
      <c r="I300" s="81"/>
      <c r="K300" s="81"/>
      <c r="L300" s="81"/>
      <c r="M300" s="81"/>
      <c r="N300" s="49"/>
      <c r="Q300" s="86"/>
      <c r="R300" s="86"/>
    </row>
    <row r="301" spans="1:18" s="44" customFormat="1" ht="12.75" x14ac:dyDescent="0.2">
      <c r="A301" s="48"/>
      <c r="D301" s="49"/>
      <c r="E301" s="50"/>
      <c r="F301" s="51"/>
      <c r="H301" s="51"/>
      <c r="I301" s="81"/>
      <c r="K301" s="81"/>
      <c r="L301" s="81"/>
      <c r="M301" s="81"/>
      <c r="N301" s="49"/>
      <c r="Q301" s="86"/>
      <c r="R301" s="86"/>
    </row>
    <row r="302" spans="1:18" s="44" customFormat="1" ht="12.75" x14ac:dyDescent="0.2">
      <c r="A302" s="48"/>
      <c r="D302" s="49"/>
      <c r="E302" s="50"/>
      <c r="F302" s="51"/>
      <c r="H302" s="51"/>
      <c r="I302" s="81"/>
      <c r="K302" s="81"/>
      <c r="L302" s="81"/>
      <c r="M302" s="81"/>
      <c r="N302" s="49"/>
      <c r="Q302" s="86"/>
      <c r="R302" s="86"/>
    </row>
    <row r="303" spans="1:18" s="44" customFormat="1" ht="12.75" x14ac:dyDescent="0.2">
      <c r="A303" s="48"/>
      <c r="D303" s="49"/>
      <c r="E303" s="50"/>
      <c r="F303" s="51"/>
      <c r="H303" s="51"/>
      <c r="I303" s="81"/>
      <c r="K303" s="81"/>
      <c r="L303" s="81"/>
      <c r="M303" s="81"/>
      <c r="N303" s="49"/>
      <c r="Q303" s="86"/>
      <c r="R303" s="86"/>
    </row>
    <row r="304" spans="1:18" s="44" customFormat="1" ht="12.75" x14ac:dyDescent="0.2">
      <c r="A304" s="48"/>
      <c r="D304" s="49"/>
      <c r="E304" s="50"/>
      <c r="F304" s="51"/>
      <c r="H304" s="51"/>
      <c r="I304" s="81"/>
      <c r="K304" s="81"/>
      <c r="L304" s="81"/>
      <c r="M304" s="81"/>
      <c r="N304" s="49"/>
      <c r="Q304" s="86"/>
      <c r="R304" s="86"/>
    </row>
    <row r="305" spans="1:18" s="44" customFormat="1" ht="12.75" x14ac:dyDescent="0.2">
      <c r="A305" s="48"/>
      <c r="D305" s="49"/>
      <c r="E305" s="50"/>
      <c r="F305" s="51"/>
      <c r="H305" s="51"/>
      <c r="I305" s="81"/>
      <c r="K305" s="81"/>
      <c r="L305" s="81"/>
      <c r="M305" s="81"/>
      <c r="N305" s="49"/>
      <c r="Q305" s="86"/>
      <c r="R305" s="86"/>
    </row>
    <row r="306" spans="1:18" s="44" customFormat="1" ht="12.75" x14ac:dyDescent="0.2">
      <c r="A306" s="48"/>
      <c r="D306" s="49"/>
      <c r="E306" s="50"/>
      <c r="F306" s="51"/>
      <c r="H306" s="51"/>
      <c r="I306" s="81"/>
      <c r="K306" s="81"/>
      <c r="L306" s="81"/>
      <c r="M306" s="81"/>
      <c r="N306" s="49"/>
      <c r="Q306" s="86"/>
      <c r="R306" s="86"/>
    </row>
    <row r="307" spans="1:18" s="44" customFormat="1" ht="12.75" x14ac:dyDescent="0.2">
      <c r="A307" s="48"/>
      <c r="D307" s="49"/>
      <c r="E307" s="50"/>
      <c r="F307" s="51"/>
      <c r="H307" s="51"/>
      <c r="I307" s="81"/>
      <c r="K307" s="81"/>
      <c r="L307" s="81"/>
      <c r="M307" s="81"/>
      <c r="N307" s="49"/>
      <c r="Q307" s="86"/>
      <c r="R307" s="86"/>
    </row>
    <row r="308" spans="1:18" s="44" customFormat="1" ht="12.75" x14ac:dyDescent="0.2">
      <c r="A308" s="48"/>
      <c r="D308" s="49"/>
      <c r="E308" s="50"/>
      <c r="F308" s="51"/>
      <c r="H308" s="51"/>
      <c r="I308" s="81"/>
      <c r="K308" s="81"/>
      <c r="L308" s="81"/>
      <c r="M308" s="81"/>
      <c r="N308" s="49"/>
      <c r="Q308" s="86"/>
      <c r="R308" s="86"/>
    </row>
    <row r="309" spans="1:18" s="44" customFormat="1" ht="12.75" x14ac:dyDescent="0.2">
      <c r="A309" s="48"/>
      <c r="D309" s="49"/>
      <c r="E309" s="50"/>
      <c r="F309" s="51"/>
      <c r="H309" s="51"/>
      <c r="I309" s="81"/>
      <c r="K309" s="81"/>
      <c r="L309" s="81"/>
      <c r="M309" s="81"/>
      <c r="N309" s="49"/>
      <c r="Q309" s="86"/>
      <c r="R309" s="86"/>
    </row>
    <row r="310" spans="1:18" s="44" customFormat="1" ht="12.75" x14ac:dyDescent="0.2">
      <c r="A310" s="48"/>
      <c r="D310" s="49"/>
      <c r="E310" s="50"/>
      <c r="F310" s="51"/>
      <c r="H310" s="51"/>
      <c r="I310" s="81"/>
      <c r="K310" s="81"/>
      <c r="L310" s="81"/>
      <c r="M310" s="81"/>
      <c r="N310" s="49"/>
      <c r="Q310" s="86"/>
      <c r="R310" s="86"/>
    </row>
    <row r="311" spans="1:18" s="44" customFormat="1" ht="12.75" x14ac:dyDescent="0.2">
      <c r="A311" s="48"/>
      <c r="D311" s="49"/>
      <c r="E311" s="50"/>
      <c r="F311" s="51"/>
      <c r="H311" s="51"/>
      <c r="I311" s="81"/>
      <c r="K311" s="81"/>
      <c r="L311" s="81"/>
      <c r="M311" s="81"/>
      <c r="N311" s="49"/>
      <c r="Q311" s="86"/>
      <c r="R311" s="86"/>
    </row>
    <row r="312" spans="1:18" s="44" customFormat="1" ht="12.75" x14ac:dyDescent="0.2">
      <c r="A312" s="48"/>
      <c r="D312" s="49"/>
      <c r="E312" s="50"/>
      <c r="F312" s="51"/>
      <c r="H312" s="51"/>
      <c r="I312" s="81"/>
      <c r="K312" s="81"/>
      <c r="L312" s="81"/>
      <c r="M312" s="81"/>
      <c r="N312" s="49"/>
      <c r="Q312" s="86"/>
      <c r="R312" s="86"/>
    </row>
    <row r="313" spans="1:18" s="44" customFormat="1" ht="12.75" x14ac:dyDescent="0.2">
      <c r="A313" s="48"/>
      <c r="D313" s="49"/>
      <c r="E313" s="50"/>
      <c r="F313" s="51"/>
      <c r="H313" s="51"/>
      <c r="I313" s="81"/>
      <c r="K313" s="81"/>
      <c r="L313" s="81"/>
      <c r="M313" s="81"/>
      <c r="N313" s="49"/>
      <c r="Q313" s="86"/>
      <c r="R313" s="86"/>
    </row>
    <row r="314" spans="1:18" s="44" customFormat="1" ht="12.75" x14ac:dyDescent="0.2">
      <c r="A314" s="48"/>
      <c r="D314" s="49"/>
      <c r="E314" s="50"/>
      <c r="F314" s="51"/>
      <c r="H314" s="51"/>
      <c r="I314" s="81"/>
      <c r="K314" s="81"/>
      <c r="L314" s="81"/>
      <c r="M314" s="81"/>
      <c r="N314" s="49"/>
      <c r="Q314" s="86"/>
      <c r="R314" s="86"/>
    </row>
    <row r="315" spans="1:18" s="44" customFormat="1" ht="12.75" x14ac:dyDescent="0.2">
      <c r="A315" s="48"/>
      <c r="D315" s="49"/>
      <c r="E315" s="50"/>
      <c r="F315" s="51"/>
      <c r="H315" s="51"/>
      <c r="I315" s="81"/>
      <c r="K315" s="81"/>
      <c r="L315" s="81"/>
      <c r="M315" s="81"/>
      <c r="N315" s="49"/>
      <c r="Q315" s="86"/>
      <c r="R315" s="86"/>
    </row>
    <row r="316" spans="1:18" s="44" customFormat="1" ht="12.75" x14ac:dyDescent="0.2">
      <c r="A316" s="48"/>
      <c r="D316" s="49"/>
      <c r="E316" s="50"/>
      <c r="F316" s="51"/>
      <c r="H316" s="51"/>
      <c r="I316" s="81"/>
      <c r="K316" s="81"/>
      <c r="L316" s="81"/>
      <c r="M316" s="81"/>
      <c r="N316" s="49"/>
      <c r="Q316" s="86"/>
      <c r="R316" s="86"/>
    </row>
    <row r="317" spans="1:18" s="44" customFormat="1" ht="12.75" x14ac:dyDescent="0.2">
      <c r="A317" s="48"/>
      <c r="D317" s="49"/>
      <c r="E317" s="50"/>
      <c r="F317" s="51"/>
      <c r="H317" s="51"/>
      <c r="I317" s="81"/>
      <c r="K317" s="81"/>
      <c r="L317" s="81"/>
      <c r="M317" s="81"/>
      <c r="N317" s="49"/>
      <c r="Q317" s="86"/>
      <c r="R317" s="86"/>
    </row>
    <row r="318" spans="1:18" s="44" customFormat="1" ht="12.75" x14ac:dyDescent="0.2">
      <c r="A318" s="48"/>
      <c r="D318" s="49"/>
      <c r="E318" s="50"/>
      <c r="F318" s="51"/>
      <c r="H318" s="51"/>
      <c r="I318" s="81"/>
      <c r="K318" s="81"/>
      <c r="L318" s="81"/>
      <c r="M318" s="81"/>
      <c r="N318" s="49"/>
      <c r="Q318" s="86"/>
      <c r="R318" s="86"/>
    </row>
    <row r="319" spans="1:18" s="44" customFormat="1" ht="12.75" x14ac:dyDescent="0.2">
      <c r="A319" s="48"/>
      <c r="D319" s="49"/>
      <c r="E319" s="50"/>
      <c r="F319" s="51"/>
      <c r="H319" s="51"/>
      <c r="I319" s="81"/>
      <c r="K319" s="81"/>
      <c r="L319" s="81"/>
      <c r="M319" s="81"/>
      <c r="N319" s="49"/>
      <c r="Q319" s="86"/>
      <c r="R319" s="86"/>
    </row>
    <row r="320" spans="1:18" s="44" customFormat="1" ht="12.75" x14ac:dyDescent="0.2">
      <c r="A320" s="48"/>
      <c r="D320" s="49"/>
      <c r="E320" s="50"/>
      <c r="F320" s="51"/>
      <c r="H320" s="51"/>
      <c r="I320" s="81"/>
      <c r="K320" s="81"/>
      <c r="L320" s="81"/>
      <c r="M320" s="81"/>
      <c r="N320" s="49"/>
      <c r="Q320" s="86"/>
      <c r="R320" s="86"/>
    </row>
    <row r="321" spans="1:18" s="44" customFormat="1" ht="12.75" x14ac:dyDescent="0.2">
      <c r="A321" s="48"/>
      <c r="D321" s="49"/>
      <c r="E321" s="50"/>
      <c r="F321" s="51"/>
      <c r="H321" s="51"/>
      <c r="I321" s="81"/>
      <c r="K321" s="81"/>
      <c r="L321" s="81"/>
      <c r="M321" s="81"/>
      <c r="N321" s="49"/>
      <c r="Q321" s="86"/>
      <c r="R321" s="86"/>
    </row>
    <row r="322" spans="1:18" s="44" customFormat="1" ht="12.75" x14ac:dyDescent="0.2">
      <c r="A322" s="48"/>
      <c r="D322" s="49"/>
      <c r="E322" s="50"/>
      <c r="F322" s="51"/>
      <c r="H322" s="51"/>
      <c r="I322" s="81"/>
      <c r="K322" s="81"/>
      <c r="L322" s="81"/>
      <c r="M322" s="81"/>
      <c r="N322" s="49"/>
      <c r="Q322" s="86"/>
      <c r="R322" s="86"/>
    </row>
    <row r="323" spans="1:18" s="44" customFormat="1" ht="12.75" x14ac:dyDescent="0.2">
      <c r="A323" s="48"/>
      <c r="D323" s="49"/>
      <c r="E323" s="50"/>
      <c r="F323" s="51"/>
      <c r="H323" s="51"/>
      <c r="I323" s="81"/>
      <c r="K323" s="81"/>
      <c r="L323" s="81"/>
      <c r="M323" s="81"/>
      <c r="N323" s="49"/>
      <c r="Q323" s="86"/>
      <c r="R323" s="86"/>
    </row>
    <row r="324" spans="1:18" s="44" customFormat="1" ht="12.75" x14ac:dyDescent="0.2">
      <c r="A324" s="48"/>
      <c r="D324" s="49"/>
      <c r="E324" s="50"/>
      <c r="F324" s="51"/>
      <c r="H324" s="51"/>
      <c r="I324" s="81"/>
      <c r="K324" s="81"/>
      <c r="L324" s="81"/>
      <c r="M324" s="81"/>
      <c r="N324" s="49"/>
      <c r="Q324" s="86"/>
      <c r="R324" s="86"/>
    </row>
    <row r="325" spans="1:18" s="44" customFormat="1" ht="12.75" x14ac:dyDescent="0.2">
      <c r="A325" s="48"/>
      <c r="D325" s="49"/>
      <c r="E325" s="50"/>
      <c r="F325" s="51"/>
      <c r="H325" s="51"/>
      <c r="I325" s="81"/>
      <c r="K325" s="81"/>
      <c r="L325" s="81"/>
      <c r="M325" s="81"/>
      <c r="N325" s="49"/>
      <c r="Q325" s="86"/>
      <c r="R325" s="86"/>
    </row>
    <row r="326" spans="1:18" s="44" customFormat="1" ht="12.75" x14ac:dyDescent="0.2">
      <c r="A326" s="48"/>
      <c r="D326" s="49"/>
      <c r="E326" s="50"/>
      <c r="F326" s="51"/>
      <c r="H326" s="51"/>
      <c r="I326" s="81"/>
      <c r="K326" s="81"/>
      <c r="L326" s="81"/>
      <c r="M326" s="81"/>
      <c r="N326" s="49"/>
      <c r="Q326" s="86"/>
      <c r="R326" s="86"/>
    </row>
    <row r="327" spans="1:18" s="44" customFormat="1" ht="12.75" x14ac:dyDescent="0.2">
      <c r="A327" s="48"/>
      <c r="D327" s="49"/>
      <c r="E327" s="50"/>
      <c r="F327" s="51"/>
      <c r="H327" s="51"/>
      <c r="I327" s="81"/>
      <c r="K327" s="81"/>
      <c r="L327" s="81"/>
      <c r="M327" s="81"/>
      <c r="N327" s="49"/>
      <c r="Q327" s="86"/>
      <c r="R327" s="86"/>
    </row>
    <row r="328" spans="1:18" s="44" customFormat="1" ht="12.75" x14ac:dyDescent="0.2">
      <c r="A328" s="48"/>
      <c r="D328" s="49"/>
      <c r="E328" s="50"/>
      <c r="F328" s="51"/>
      <c r="H328" s="51"/>
      <c r="I328" s="81"/>
      <c r="K328" s="81"/>
      <c r="L328" s="81"/>
      <c r="M328" s="81"/>
      <c r="N328" s="49"/>
      <c r="Q328" s="86"/>
      <c r="R328" s="86"/>
    </row>
    <row r="329" spans="1:18" s="44" customFormat="1" ht="12.75" x14ac:dyDescent="0.2">
      <c r="A329" s="48"/>
      <c r="D329" s="49"/>
      <c r="E329" s="50"/>
      <c r="F329" s="51"/>
      <c r="H329" s="51"/>
      <c r="I329" s="81"/>
      <c r="K329" s="81"/>
      <c r="L329" s="81"/>
      <c r="M329" s="81"/>
      <c r="N329" s="49"/>
      <c r="Q329" s="86"/>
      <c r="R329" s="86"/>
    </row>
    <row r="330" spans="1:18" s="44" customFormat="1" ht="12.75" x14ac:dyDescent="0.2">
      <c r="A330" s="48"/>
      <c r="D330" s="49"/>
      <c r="E330" s="50"/>
      <c r="F330" s="51"/>
      <c r="H330" s="51"/>
      <c r="I330" s="81"/>
      <c r="K330" s="81"/>
      <c r="L330" s="81"/>
      <c r="M330" s="81"/>
      <c r="N330" s="49"/>
      <c r="Q330" s="86"/>
      <c r="R330" s="86"/>
    </row>
    <row r="331" spans="1:18" s="44" customFormat="1" ht="12.75" x14ac:dyDescent="0.2">
      <c r="A331" s="48"/>
      <c r="D331" s="49"/>
      <c r="E331" s="50"/>
      <c r="F331" s="51"/>
      <c r="H331" s="51"/>
      <c r="I331" s="81"/>
      <c r="K331" s="81"/>
      <c r="L331" s="81"/>
      <c r="M331" s="81"/>
      <c r="N331" s="49"/>
      <c r="Q331" s="86"/>
      <c r="R331" s="86"/>
    </row>
    <row r="332" spans="1:18" s="44" customFormat="1" ht="12.75" x14ac:dyDescent="0.2">
      <c r="A332" s="48"/>
      <c r="D332" s="49"/>
      <c r="E332" s="50"/>
      <c r="F332" s="51"/>
      <c r="H332" s="51"/>
      <c r="I332" s="81"/>
      <c r="K332" s="81"/>
      <c r="L332" s="81"/>
      <c r="M332" s="81"/>
      <c r="N332" s="49"/>
      <c r="Q332" s="86"/>
      <c r="R332" s="86"/>
    </row>
    <row r="333" spans="1:18" s="44" customFormat="1" ht="12.75" x14ac:dyDescent="0.2">
      <c r="A333" s="48"/>
      <c r="D333" s="49"/>
      <c r="E333" s="50"/>
      <c r="F333" s="51"/>
      <c r="H333" s="51"/>
      <c r="I333" s="81"/>
      <c r="K333" s="81"/>
      <c r="L333" s="81"/>
      <c r="M333" s="81"/>
      <c r="N333" s="49"/>
      <c r="Q333" s="86"/>
      <c r="R333" s="86"/>
    </row>
    <row r="334" spans="1:18" s="44" customFormat="1" ht="12.75" x14ac:dyDescent="0.2">
      <c r="A334" s="48"/>
      <c r="D334" s="49"/>
      <c r="E334" s="50"/>
      <c r="F334" s="51"/>
      <c r="H334" s="51"/>
      <c r="I334" s="81"/>
      <c r="K334" s="81"/>
      <c r="L334" s="81"/>
      <c r="M334" s="81"/>
      <c r="N334" s="49"/>
      <c r="Q334" s="86"/>
      <c r="R334" s="86"/>
    </row>
    <row r="335" spans="1:18" s="44" customFormat="1" ht="12.75" x14ac:dyDescent="0.2">
      <c r="A335" s="48"/>
      <c r="D335" s="49"/>
      <c r="E335" s="50"/>
      <c r="F335" s="51"/>
      <c r="H335" s="51"/>
      <c r="I335" s="81"/>
      <c r="K335" s="81"/>
      <c r="L335" s="81"/>
      <c r="M335" s="81"/>
      <c r="N335" s="49"/>
      <c r="Q335" s="86"/>
      <c r="R335" s="86"/>
    </row>
    <row r="336" spans="1:18" s="44" customFormat="1" ht="12.75" x14ac:dyDescent="0.2">
      <c r="A336" s="48"/>
      <c r="D336" s="49"/>
      <c r="E336" s="50"/>
      <c r="F336" s="51"/>
      <c r="H336" s="51"/>
      <c r="I336" s="81"/>
      <c r="K336" s="81"/>
      <c r="L336" s="81"/>
      <c r="M336" s="81"/>
      <c r="N336" s="49"/>
      <c r="Q336" s="86"/>
      <c r="R336" s="86"/>
    </row>
    <row r="337" spans="1:18" s="44" customFormat="1" ht="12.75" x14ac:dyDescent="0.2">
      <c r="A337" s="48"/>
      <c r="D337" s="49"/>
      <c r="E337" s="50"/>
      <c r="F337" s="51"/>
      <c r="H337" s="51"/>
      <c r="I337" s="81"/>
      <c r="K337" s="81"/>
      <c r="L337" s="81"/>
      <c r="M337" s="81"/>
      <c r="N337" s="49"/>
      <c r="Q337" s="86"/>
      <c r="R337" s="86"/>
    </row>
    <row r="338" spans="1:18" s="44" customFormat="1" ht="12.75" x14ac:dyDescent="0.2">
      <c r="A338" s="48"/>
      <c r="D338" s="49"/>
      <c r="E338" s="50"/>
      <c r="F338" s="51"/>
      <c r="H338" s="51"/>
      <c r="I338" s="81"/>
      <c r="K338" s="81"/>
      <c r="L338" s="81"/>
      <c r="M338" s="81"/>
      <c r="N338" s="49"/>
      <c r="Q338" s="86"/>
      <c r="R338" s="86"/>
    </row>
    <row r="339" spans="1:18" s="44" customFormat="1" ht="12.75" x14ac:dyDescent="0.2">
      <c r="A339" s="48"/>
      <c r="D339" s="49"/>
      <c r="E339" s="50"/>
      <c r="F339" s="51"/>
      <c r="H339" s="51"/>
      <c r="I339" s="81"/>
      <c r="K339" s="81"/>
      <c r="L339" s="81"/>
      <c r="M339" s="81"/>
      <c r="N339" s="49"/>
      <c r="Q339" s="86"/>
      <c r="R339" s="86"/>
    </row>
    <row r="340" spans="1:18" s="44" customFormat="1" ht="12.75" x14ac:dyDescent="0.2">
      <c r="A340" s="48"/>
      <c r="D340" s="49"/>
      <c r="E340" s="50"/>
      <c r="F340" s="51"/>
      <c r="H340" s="51"/>
      <c r="I340" s="81"/>
      <c r="K340" s="81"/>
      <c r="L340" s="81"/>
      <c r="M340" s="81"/>
      <c r="N340" s="49"/>
      <c r="Q340" s="86"/>
      <c r="R340" s="86"/>
    </row>
    <row r="341" spans="1:18" s="44" customFormat="1" ht="12.75" x14ac:dyDescent="0.2">
      <c r="A341" s="48"/>
      <c r="D341" s="49"/>
      <c r="E341" s="50"/>
      <c r="F341" s="51"/>
      <c r="H341" s="51"/>
      <c r="I341" s="81"/>
      <c r="K341" s="81"/>
      <c r="L341" s="81"/>
      <c r="M341" s="81"/>
      <c r="N341" s="49"/>
      <c r="Q341" s="86"/>
      <c r="R341" s="86"/>
    </row>
    <row r="342" spans="1:18" s="44" customFormat="1" ht="12.75" x14ac:dyDescent="0.2">
      <c r="A342" s="48"/>
      <c r="D342" s="49"/>
      <c r="E342" s="50"/>
      <c r="F342" s="51"/>
      <c r="H342" s="51"/>
      <c r="I342" s="81"/>
      <c r="K342" s="81"/>
      <c r="L342" s="81"/>
      <c r="M342" s="81"/>
      <c r="N342" s="49"/>
      <c r="Q342" s="86"/>
      <c r="R342" s="86"/>
    </row>
    <row r="343" spans="1:18" s="44" customFormat="1" ht="12.75" x14ac:dyDescent="0.2">
      <c r="A343" s="48"/>
      <c r="D343" s="49"/>
      <c r="E343" s="50"/>
      <c r="F343" s="51"/>
      <c r="H343" s="51"/>
      <c r="I343" s="81"/>
      <c r="K343" s="81"/>
      <c r="L343" s="81"/>
      <c r="M343" s="81"/>
      <c r="N343" s="49"/>
      <c r="Q343" s="86"/>
      <c r="R343" s="86"/>
    </row>
    <row r="344" spans="1:18" s="44" customFormat="1" ht="12.75" x14ac:dyDescent="0.2">
      <c r="A344" s="48"/>
      <c r="D344" s="49"/>
      <c r="E344" s="50"/>
      <c r="F344" s="51"/>
      <c r="H344" s="51"/>
      <c r="I344" s="81"/>
      <c r="K344" s="81"/>
      <c r="L344" s="81"/>
      <c r="M344" s="81"/>
      <c r="N344" s="49"/>
      <c r="Q344" s="86"/>
      <c r="R344" s="86"/>
    </row>
    <row r="345" spans="1:18" s="44" customFormat="1" ht="12.75" x14ac:dyDescent="0.2">
      <c r="A345" s="48"/>
      <c r="D345" s="49"/>
      <c r="E345" s="50"/>
      <c r="F345" s="51"/>
      <c r="H345" s="51"/>
      <c r="I345" s="81"/>
      <c r="K345" s="81"/>
      <c r="L345" s="81"/>
      <c r="M345" s="81"/>
      <c r="N345" s="49"/>
      <c r="Q345" s="86"/>
      <c r="R345" s="86"/>
    </row>
    <row r="346" spans="1:18" s="44" customFormat="1" ht="12.75" x14ac:dyDescent="0.2">
      <c r="A346" s="48"/>
      <c r="D346" s="49"/>
      <c r="E346" s="50"/>
      <c r="F346" s="51"/>
      <c r="H346" s="51"/>
      <c r="I346" s="81"/>
      <c r="K346" s="81"/>
      <c r="L346" s="81"/>
      <c r="M346" s="81"/>
      <c r="N346" s="49"/>
      <c r="Q346" s="86"/>
      <c r="R346" s="86"/>
    </row>
    <row r="347" spans="1:18" s="44" customFormat="1" ht="12.75" x14ac:dyDescent="0.2">
      <c r="A347" s="48"/>
      <c r="D347" s="49"/>
      <c r="E347" s="50"/>
      <c r="F347" s="51"/>
      <c r="H347" s="51"/>
      <c r="I347" s="81"/>
      <c r="K347" s="81"/>
      <c r="L347" s="81"/>
      <c r="M347" s="81"/>
      <c r="N347" s="49"/>
      <c r="Q347" s="86"/>
      <c r="R347" s="86"/>
    </row>
    <row r="348" spans="1:18" s="44" customFormat="1" ht="12.75" x14ac:dyDescent="0.2">
      <c r="A348" s="48"/>
      <c r="D348" s="49"/>
      <c r="E348" s="50"/>
      <c r="F348" s="51"/>
      <c r="H348" s="51"/>
      <c r="I348" s="81"/>
      <c r="K348" s="81"/>
      <c r="L348" s="81"/>
      <c r="M348" s="81"/>
      <c r="N348" s="49"/>
      <c r="Q348" s="86"/>
      <c r="R348" s="86"/>
    </row>
    <row r="349" spans="1:18" s="44" customFormat="1" ht="12.75" x14ac:dyDescent="0.2">
      <c r="A349" s="48"/>
      <c r="D349" s="49"/>
      <c r="E349" s="50"/>
      <c r="F349" s="51"/>
      <c r="H349" s="51"/>
      <c r="I349" s="81"/>
      <c r="K349" s="81"/>
      <c r="L349" s="81"/>
      <c r="M349" s="81"/>
      <c r="N349" s="49"/>
      <c r="Q349" s="86"/>
      <c r="R349" s="86"/>
    </row>
    <row r="350" spans="1:18" s="44" customFormat="1" ht="12.75" x14ac:dyDescent="0.2">
      <c r="A350" s="48"/>
      <c r="D350" s="49"/>
      <c r="E350" s="50"/>
      <c r="F350" s="51"/>
      <c r="H350" s="51"/>
      <c r="I350" s="81"/>
      <c r="K350" s="81"/>
      <c r="L350" s="81"/>
      <c r="M350" s="81"/>
      <c r="N350" s="49"/>
      <c r="Q350" s="86"/>
      <c r="R350" s="86"/>
    </row>
    <row r="351" spans="1:18" s="44" customFormat="1" ht="12.75" x14ac:dyDescent="0.2">
      <c r="A351" s="48"/>
      <c r="D351" s="49"/>
      <c r="E351" s="50"/>
      <c r="F351" s="51"/>
      <c r="H351" s="51"/>
      <c r="I351" s="81"/>
      <c r="K351" s="81"/>
      <c r="L351" s="81"/>
      <c r="M351" s="81"/>
      <c r="N351" s="49"/>
      <c r="Q351" s="86"/>
      <c r="R351" s="86"/>
    </row>
    <row r="352" spans="1:18" s="44" customFormat="1" ht="12.75" x14ac:dyDescent="0.2">
      <c r="A352" s="48"/>
      <c r="D352" s="49"/>
      <c r="E352" s="50"/>
      <c r="F352" s="51"/>
      <c r="H352" s="51"/>
      <c r="I352" s="81"/>
      <c r="K352" s="81"/>
      <c r="L352" s="81"/>
      <c r="M352" s="81"/>
      <c r="N352" s="49"/>
      <c r="Q352" s="86"/>
      <c r="R352" s="86"/>
    </row>
    <row r="353" spans="1:18" s="44" customFormat="1" ht="12.75" x14ac:dyDescent="0.2">
      <c r="A353" s="48"/>
      <c r="D353" s="49"/>
      <c r="E353" s="50"/>
      <c r="F353" s="51"/>
      <c r="H353" s="51"/>
      <c r="I353" s="81"/>
      <c r="K353" s="81"/>
      <c r="L353" s="81"/>
      <c r="M353" s="81"/>
      <c r="N353" s="49"/>
      <c r="Q353" s="86"/>
      <c r="R353" s="86"/>
    </row>
    <row r="354" spans="1:18" s="44" customFormat="1" ht="12.75" x14ac:dyDescent="0.2">
      <c r="A354" s="48"/>
      <c r="D354" s="49"/>
      <c r="E354" s="50"/>
      <c r="F354" s="51"/>
      <c r="H354" s="51"/>
      <c r="I354" s="81"/>
      <c r="K354" s="81"/>
      <c r="L354" s="81"/>
      <c r="M354" s="81"/>
      <c r="N354" s="49"/>
      <c r="Q354" s="86"/>
      <c r="R354" s="86"/>
    </row>
    <row r="355" spans="1:18" s="44" customFormat="1" ht="12.75" x14ac:dyDescent="0.2">
      <c r="A355" s="48"/>
      <c r="D355" s="49"/>
      <c r="E355" s="50"/>
      <c r="F355" s="51"/>
      <c r="H355" s="51"/>
      <c r="I355" s="81"/>
      <c r="K355" s="81"/>
      <c r="L355" s="81"/>
      <c r="M355" s="81"/>
      <c r="N355" s="49"/>
      <c r="Q355" s="86"/>
      <c r="R355" s="86"/>
    </row>
    <row r="356" spans="1:18" s="44" customFormat="1" ht="12.75" x14ac:dyDescent="0.2">
      <c r="A356" s="48"/>
      <c r="D356" s="49"/>
      <c r="E356" s="50"/>
      <c r="F356" s="51"/>
      <c r="H356" s="51"/>
      <c r="I356" s="81"/>
      <c r="K356" s="81"/>
      <c r="L356" s="81"/>
      <c r="M356" s="81"/>
      <c r="N356" s="49"/>
      <c r="Q356" s="86"/>
      <c r="R356" s="86"/>
    </row>
    <row r="357" spans="1:18" s="44" customFormat="1" ht="12.75" x14ac:dyDescent="0.2">
      <c r="A357" s="48"/>
      <c r="D357" s="49"/>
      <c r="E357" s="50"/>
      <c r="F357" s="51"/>
      <c r="H357" s="51"/>
      <c r="I357" s="81"/>
      <c r="K357" s="81"/>
      <c r="L357" s="81"/>
      <c r="M357" s="81"/>
      <c r="N357" s="49"/>
      <c r="Q357" s="86"/>
      <c r="R357" s="86"/>
    </row>
    <row r="358" spans="1:18" s="44" customFormat="1" ht="12.75" x14ac:dyDescent="0.2">
      <c r="A358" s="48"/>
      <c r="D358" s="49"/>
      <c r="E358" s="50"/>
      <c r="F358" s="51"/>
      <c r="H358" s="51"/>
      <c r="I358" s="81"/>
      <c r="K358" s="81"/>
      <c r="L358" s="81"/>
      <c r="M358" s="81"/>
      <c r="N358" s="49"/>
      <c r="Q358" s="86"/>
      <c r="R358" s="86"/>
    </row>
    <row r="359" spans="1:18" s="44" customFormat="1" ht="12.75" x14ac:dyDescent="0.2">
      <c r="A359" s="48"/>
      <c r="D359" s="49"/>
      <c r="E359" s="50"/>
      <c r="F359" s="51"/>
      <c r="H359" s="51"/>
      <c r="I359" s="81"/>
      <c r="K359" s="81"/>
      <c r="L359" s="81"/>
      <c r="M359" s="81"/>
      <c r="N359" s="49"/>
      <c r="Q359" s="86"/>
      <c r="R359" s="86"/>
    </row>
    <row r="360" spans="1:18" s="44" customFormat="1" ht="12.75" x14ac:dyDescent="0.2">
      <c r="A360" s="48"/>
      <c r="D360" s="49"/>
      <c r="E360" s="50"/>
      <c r="F360" s="51"/>
      <c r="H360" s="51"/>
      <c r="I360" s="81"/>
      <c r="K360" s="81"/>
      <c r="L360" s="81"/>
      <c r="M360" s="81"/>
      <c r="N360" s="49"/>
      <c r="Q360" s="86"/>
      <c r="R360" s="86"/>
    </row>
    <row r="361" spans="1:18" s="44" customFormat="1" ht="12.75" x14ac:dyDescent="0.2">
      <c r="A361" s="48"/>
      <c r="D361" s="49"/>
      <c r="E361" s="50"/>
      <c r="F361" s="51"/>
      <c r="H361" s="51"/>
      <c r="I361" s="81"/>
      <c r="K361" s="81"/>
      <c r="L361" s="81"/>
      <c r="M361" s="81"/>
      <c r="N361" s="49"/>
      <c r="Q361" s="86"/>
      <c r="R361" s="86"/>
    </row>
    <row r="362" spans="1:18" s="44" customFormat="1" ht="12.75" x14ac:dyDescent="0.2">
      <c r="A362" s="48"/>
      <c r="D362" s="49"/>
      <c r="E362" s="50"/>
      <c r="F362" s="51"/>
      <c r="H362" s="51"/>
      <c r="I362" s="81"/>
      <c r="K362" s="81"/>
      <c r="L362" s="81"/>
      <c r="M362" s="81"/>
      <c r="N362" s="49"/>
      <c r="Q362" s="86"/>
      <c r="R362" s="86"/>
    </row>
    <row r="363" spans="1:18" s="44" customFormat="1" ht="12.75" x14ac:dyDescent="0.2">
      <c r="A363" s="48"/>
      <c r="D363" s="49"/>
      <c r="E363" s="50"/>
      <c r="F363" s="51"/>
      <c r="H363" s="51"/>
      <c r="I363" s="81"/>
      <c r="K363" s="81"/>
      <c r="L363" s="81"/>
      <c r="M363" s="81"/>
      <c r="N363" s="49"/>
      <c r="Q363" s="86"/>
      <c r="R363" s="86"/>
    </row>
    <row r="364" spans="1:18" s="44" customFormat="1" ht="12.75" x14ac:dyDescent="0.2">
      <c r="A364" s="48"/>
      <c r="D364" s="49"/>
      <c r="E364" s="50"/>
      <c r="F364" s="51"/>
      <c r="H364" s="51"/>
      <c r="I364" s="81"/>
      <c r="K364" s="81"/>
      <c r="L364" s="81"/>
      <c r="M364" s="81"/>
      <c r="N364" s="49"/>
      <c r="Q364" s="86"/>
      <c r="R364" s="86"/>
    </row>
    <row r="365" spans="1:18" s="44" customFormat="1" ht="12.75" x14ac:dyDescent="0.2">
      <c r="A365" s="48"/>
      <c r="D365" s="49"/>
      <c r="E365" s="50"/>
      <c r="F365" s="51"/>
      <c r="H365" s="51"/>
      <c r="I365" s="81"/>
      <c r="K365" s="81"/>
      <c r="L365" s="81"/>
      <c r="M365" s="81"/>
      <c r="N365" s="49"/>
      <c r="Q365" s="86"/>
      <c r="R365" s="86"/>
    </row>
    <row r="366" spans="1:18" s="44" customFormat="1" ht="12.75" x14ac:dyDescent="0.2">
      <c r="A366" s="48"/>
      <c r="D366" s="49"/>
      <c r="E366" s="50"/>
      <c r="F366" s="51"/>
      <c r="H366" s="51"/>
      <c r="I366" s="81"/>
      <c r="K366" s="81"/>
      <c r="L366" s="81"/>
      <c r="M366" s="81"/>
      <c r="N366" s="49"/>
      <c r="Q366" s="86"/>
      <c r="R366" s="86"/>
    </row>
    <row r="367" spans="1:18" s="44" customFormat="1" ht="12.75" x14ac:dyDescent="0.2">
      <c r="A367" s="48"/>
      <c r="D367" s="49"/>
      <c r="E367" s="50"/>
      <c r="F367" s="51"/>
      <c r="H367" s="51"/>
      <c r="I367" s="81"/>
      <c r="K367" s="81"/>
      <c r="L367" s="81"/>
      <c r="M367" s="81"/>
      <c r="N367" s="49"/>
      <c r="Q367" s="86"/>
      <c r="R367" s="86"/>
    </row>
    <row r="368" spans="1:18" s="44" customFormat="1" ht="12.75" x14ac:dyDescent="0.2">
      <c r="A368" s="48"/>
      <c r="D368" s="49"/>
      <c r="E368" s="50"/>
      <c r="F368" s="51"/>
      <c r="H368" s="51"/>
      <c r="I368" s="81"/>
      <c r="K368" s="81"/>
      <c r="L368" s="81"/>
      <c r="M368" s="81"/>
      <c r="N368" s="49"/>
      <c r="Q368" s="86"/>
      <c r="R368" s="86"/>
    </row>
    <row r="369" spans="1:18" s="44" customFormat="1" ht="12.75" x14ac:dyDescent="0.2">
      <c r="A369" s="48"/>
      <c r="D369" s="49"/>
      <c r="E369" s="50"/>
      <c r="F369" s="51"/>
      <c r="H369" s="51"/>
      <c r="I369" s="81"/>
      <c r="K369" s="81"/>
      <c r="L369" s="81"/>
      <c r="M369" s="81"/>
      <c r="N369" s="49"/>
      <c r="Q369" s="86"/>
      <c r="R369" s="86"/>
    </row>
    <row r="370" spans="1:18" s="44" customFormat="1" ht="12.75" x14ac:dyDescent="0.2">
      <c r="A370" s="48"/>
      <c r="D370" s="49"/>
      <c r="E370" s="50"/>
      <c r="F370" s="51"/>
      <c r="H370" s="51"/>
      <c r="I370" s="81"/>
      <c r="K370" s="81"/>
      <c r="L370" s="81"/>
      <c r="M370" s="81"/>
      <c r="N370" s="49"/>
      <c r="Q370" s="86"/>
      <c r="R370" s="86"/>
    </row>
    <row r="371" spans="1:18" s="44" customFormat="1" ht="12.75" x14ac:dyDescent="0.2">
      <c r="A371" s="48"/>
      <c r="D371" s="49"/>
      <c r="E371" s="50"/>
      <c r="F371" s="51"/>
      <c r="H371" s="51"/>
      <c r="I371" s="81"/>
      <c r="K371" s="81"/>
      <c r="L371" s="81"/>
      <c r="M371" s="81"/>
      <c r="N371" s="49"/>
      <c r="Q371" s="86"/>
      <c r="R371" s="86"/>
    </row>
    <row r="372" spans="1:18" s="44" customFormat="1" ht="12.75" x14ac:dyDescent="0.2">
      <c r="A372" s="48"/>
      <c r="D372" s="49"/>
      <c r="E372" s="50"/>
      <c r="F372" s="51"/>
      <c r="H372" s="51"/>
      <c r="I372" s="81"/>
      <c r="K372" s="81"/>
      <c r="L372" s="81"/>
      <c r="M372" s="81"/>
      <c r="N372" s="49"/>
      <c r="Q372" s="86"/>
      <c r="R372" s="86"/>
    </row>
    <row r="373" spans="1:18" s="44" customFormat="1" ht="12.75" x14ac:dyDescent="0.2">
      <c r="A373" s="48"/>
      <c r="D373" s="49"/>
      <c r="E373" s="50"/>
      <c r="F373" s="51"/>
      <c r="H373" s="51"/>
      <c r="I373" s="81"/>
      <c r="K373" s="81"/>
      <c r="L373" s="81"/>
      <c r="M373" s="81"/>
      <c r="N373" s="49"/>
      <c r="Q373" s="86"/>
      <c r="R373" s="86"/>
    </row>
    <row r="374" spans="1:18" s="44" customFormat="1" ht="12.75" x14ac:dyDescent="0.2">
      <c r="A374" s="48"/>
      <c r="D374" s="49"/>
      <c r="E374" s="50"/>
      <c r="F374" s="51"/>
      <c r="H374" s="51"/>
      <c r="I374" s="81"/>
      <c r="K374" s="81"/>
      <c r="L374" s="81"/>
      <c r="M374" s="81"/>
      <c r="N374" s="49"/>
      <c r="Q374" s="86"/>
      <c r="R374" s="86"/>
    </row>
    <row r="375" spans="1:18" s="44" customFormat="1" ht="12.75" x14ac:dyDescent="0.2">
      <c r="A375" s="48"/>
      <c r="D375" s="49"/>
      <c r="E375" s="50"/>
      <c r="F375" s="51"/>
      <c r="H375" s="51"/>
      <c r="I375" s="81"/>
      <c r="K375" s="81"/>
      <c r="L375" s="81"/>
      <c r="M375" s="81"/>
      <c r="N375" s="49"/>
      <c r="Q375" s="86"/>
      <c r="R375" s="86"/>
    </row>
    <row r="376" spans="1:18" s="44" customFormat="1" ht="12.75" x14ac:dyDescent="0.2">
      <c r="A376" s="48"/>
      <c r="D376" s="49"/>
      <c r="E376" s="50"/>
      <c r="F376" s="51"/>
      <c r="H376" s="51"/>
      <c r="I376" s="81"/>
      <c r="K376" s="81"/>
      <c r="L376" s="81"/>
      <c r="M376" s="81"/>
      <c r="N376" s="49"/>
      <c r="Q376" s="86"/>
      <c r="R376" s="86"/>
    </row>
    <row r="377" spans="1:18" s="44" customFormat="1" ht="12.75" x14ac:dyDescent="0.2">
      <c r="A377" s="48"/>
      <c r="D377" s="49"/>
      <c r="E377" s="50"/>
      <c r="F377" s="51"/>
      <c r="H377" s="51"/>
      <c r="I377" s="81"/>
      <c r="K377" s="81"/>
      <c r="L377" s="81"/>
      <c r="M377" s="81"/>
      <c r="N377" s="49"/>
      <c r="Q377" s="86"/>
      <c r="R377" s="86"/>
    </row>
    <row r="378" spans="1:18" s="44" customFormat="1" ht="12.75" x14ac:dyDescent="0.2">
      <c r="A378" s="48"/>
      <c r="D378" s="49"/>
      <c r="E378" s="50"/>
      <c r="F378" s="51"/>
      <c r="H378" s="51"/>
      <c r="I378" s="81"/>
      <c r="K378" s="81"/>
      <c r="L378" s="81"/>
      <c r="M378" s="81"/>
      <c r="N378" s="49"/>
      <c r="Q378" s="86"/>
      <c r="R378" s="86"/>
    </row>
    <row r="379" spans="1:18" s="44" customFormat="1" ht="12.75" x14ac:dyDescent="0.2">
      <c r="A379" s="48"/>
      <c r="D379" s="49"/>
      <c r="E379" s="50"/>
      <c r="F379" s="51"/>
      <c r="H379" s="51"/>
      <c r="I379" s="81"/>
      <c r="K379" s="81"/>
      <c r="L379" s="81"/>
      <c r="M379" s="81"/>
      <c r="N379" s="49"/>
      <c r="Q379" s="86"/>
      <c r="R379" s="86"/>
    </row>
    <row r="380" spans="1:18" s="44" customFormat="1" ht="12.75" x14ac:dyDescent="0.2">
      <c r="A380" s="48"/>
      <c r="D380" s="49"/>
      <c r="E380" s="50"/>
      <c r="F380" s="51"/>
      <c r="H380" s="51"/>
      <c r="I380" s="81"/>
      <c r="K380" s="81"/>
      <c r="L380" s="81"/>
      <c r="M380" s="81"/>
      <c r="N380" s="49"/>
      <c r="Q380" s="86"/>
      <c r="R380" s="86"/>
    </row>
    <row r="381" spans="1:18" s="44" customFormat="1" ht="12.75" x14ac:dyDescent="0.2">
      <c r="A381" s="48"/>
      <c r="D381" s="49"/>
      <c r="E381" s="50"/>
      <c r="F381" s="51"/>
      <c r="H381" s="51"/>
      <c r="I381" s="81"/>
      <c r="K381" s="81"/>
      <c r="L381" s="81"/>
      <c r="M381" s="81"/>
      <c r="N381" s="49"/>
      <c r="Q381" s="86"/>
      <c r="R381" s="86"/>
    </row>
    <row r="382" spans="1:18" s="44" customFormat="1" ht="12.75" x14ac:dyDescent="0.2">
      <c r="A382" s="48"/>
      <c r="D382" s="49"/>
      <c r="E382" s="50"/>
      <c r="F382" s="51"/>
      <c r="H382" s="51"/>
      <c r="I382" s="81"/>
      <c r="K382" s="81"/>
      <c r="L382" s="81"/>
      <c r="M382" s="81"/>
      <c r="N382" s="49"/>
      <c r="Q382" s="86"/>
      <c r="R382" s="86"/>
    </row>
    <row r="383" spans="1:18" s="44" customFormat="1" ht="12.75" x14ac:dyDescent="0.2">
      <c r="A383" s="48"/>
      <c r="D383" s="49"/>
      <c r="E383" s="50"/>
      <c r="F383" s="51"/>
      <c r="H383" s="51"/>
      <c r="I383" s="81"/>
      <c r="K383" s="81"/>
      <c r="L383" s="81"/>
      <c r="M383" s="81"/>
      <c r="N383" s="49"/>
      <c r="Q383" s="86"/>
      <c r="R383" s="86"/>
    </row>
    <row r="384" spans="1:18" s="44" customFormat="1" ht="12.75" x14ac:dyDescent="0.2">
      <c r="A384" s="48"/>
      <c r="D384" s="49"/>
      <c r="E384" s="50"/>
      <c r="F384" s="51"/>
      <c r="H384" s="51"/>
      <c r="I384" s="81"/>
      <c r="K384" s="81"/>
      <c r="L384" s="81"/>
      <c r="M384" s="81"/>
      <c r="N384" s="49"/>
      <c r="Q384" s="86"/>
      <c r="R384" s="86"/>
    </row>
    <row r="385" spans="1:18" s="44" customFormat="1" ht="12.75" x14ac:dyDescent="0.2">
      <c r="A385" s="48"/>
      <c r="D385" s="49"/>
      <c r="E385" s="50"/>
      <c r="F385" s="51"/>
      <c r="H385" s="51"/>
      <c r="I385" s="81"/>
      <c r="K385" s="81"/>
      <c r="L385" s="81"/>
      <c r="M385" s="81"/>
      <c r="N385" s="49"/>
      <c r="Q385" s="86"/>
      <c r="R385" s="86"/>
    </row>
    <row r="386" spans="1:18" s="44" customFormat="1" ht="12.75" x14ac:dyDescent="0.2">
      <c r="A386" s="48"/>
      <c r="D386" s="49"/>
      <c r="E386" s="50"/>
      <c r="F386" s="51"/>
      <c r="H386" s="51"/>
      <c r="I386" s="81"/>
      <c r="K386" s="81"/>
      <c r="L386" s="81"/>
      <c r="M386" s="81"/>
      <c r="N386" s="49"/>
      <c r="Q386" s="86"/>
      <c r="R386" s="86"/>
    </row>
    <row r="387" spans="1:18" s="44" customFormat="1" ht="12.75" x14ac:dyDescent="0.2">
      <c r="A387" s="48"/>
      <c r="D387" s="49"/>
      <c r="E387" s="50"/>
      <c r="F387" s="51"/>
      <c r="H387" s="51"/>
      <c r="I387" s="81"/>
      <c r="K387" s="81"/>
      <c r="L387" s="81"/>
      <c r="M387" s="81"/>
      <c r="N387" s="49"/>
      <c r="Q387" s="86"/>
      <c r="R387" s="86"/>
    </row>
    <row r="388" spans="1:18" s="44" customFormat="1" ht="12.75" x14ac:dyDescent="0.2">
      <c r="A388" s="48"/>
      <c r="D388" s="49"/>
      <c r="E388" s="50"/>
      <c r="F388" s="51"/>
      <c r="H388" s="51"/>
      <c r="I388" s="81"/>
      <c r="K388" s="81"/>
      <c r="L388" s="81"/>
      <c r="M388" s="81"/>
      <c r="N388" s="49"/>
      <c r="Q388" s="86"/>
      <c r="R388" s="86"/>
    </row>
    <row r="389" spans="1:18" s="44" customFormat="1" ht="12.75" x14ac:dyDescent="0.2">
      <c r="A389" s="48"/>
      <c r="D389" s="49"/>
      <c r="E389" s="50"/>
      <c r="F389" s="51"/>
      <c r="H389" s="51"/>
      <c r="I389" s="81"/>
      <c r="K389" s="81"/>
      <c r="L389" s="81"/>
      <c r="M389" s="81"/>
      <c r="N389" s="49"/>
      <c r="Q389" s="86"/>
      <c r="R389" s="86"/>
    </row>
    <row r="390" spans="1:18" s="44" customFormat="1" ht="12.75" x14ac:dyDescent="0.2">
      <c r="A390" s="48"/>
      <c r="D390" s="49"/>
      <c r="E390" s="50"/>
      <c r="F390" s="51"/>
      <c r="H390" s="51"/>
      <c r="I390" s="81"/>
      <c r="K390" s="81"/>
      <c r="L390" s="81"/>
      <c r="M390" s="81"/>
      <c r="N390" s="49"/>
      <c r="Q390" s="86"/>
      <c r="R390" s="86"/>
    </row>
    <row r="391" spans="1:18" s="44" customFormat="1" ht="12.75" x14ac:dyDescent="0.2">
      <c r="A391" s="48"/>
      <c r="D391" s="49"/>
      <c r="E391" s="50"/>
      <c r="F391" s="51"/>
      <c r="H391" s="51"/>
      <c r="I391" s="81"/>
      <c r="K391" s="81"/>
      <c r="L391" s="81"/>
      <c r="M391" s="81"/>
      <c r="N391" s="49"/>
      <c r="Q391" s="86"/>
      <c r="R391" s="86"/>
    </row>
    <row r="392" spans="1:18" s="44" customFormat="1" ht="12.75" x14ac:dyDescent="0.2">
      <c r="A392" s="48"/>
      <c r="D392" s="49"/>
      <c r="E392" s="50"/>
      <c r="F392" s="51"/>
      <c r="H392" s="51"/>
      <c r="I392" s="81"/>
      <c r="K392" s="81"/>
      <c r="L392" s="81"/>
      <c r="M392" s="81"/>
      <c r="N392" s="49"/>
      <c r="Q392" s="86"/>
      <c r="R392" s="86"/>
    </row>
    <row r="393" spans="1:18" s="44" customFormat="1" ht="12.75" x14ac:dyDescent="0.2">
      <c r="A393" s="48"/>
      <c r="D393" s="49"/>
      <c r="E393" s="50"/>
      <c r="F393" s="51"/>
      <c r="H393" s="51"/>
      <c r="I393" s="81"/>
      <c r="K393" s="81"/>
      <c r="L393" s="81"/>
      <c r="M393" s="81"/>
      <c r="N393" s="49"/>
      <c r="Q393" s="86"/>
      <c r="R393" s="86"/>
    </row>
    <row r="394" spans="1:18" s="44" customFormat="1" ht="12.75" x14ac:dyDescent="0.2">
      <c r="A394" s="48"/>
      <c r="D394" s="49"/>
      <c r="E394" s="50"/>
      <c r="F394" s="51"/>
      <c r="H394" s="51"/>
      <c r="I394" s="81"/>
      <c r="K394" s="81"/>
      <c r="L394" s="81"/>
      <c r="M394" s="81"/>
      <c r="N394" s="49"/>
      <c r="Q394" s="86"/>
      <c r="R394" s="86"/>
    </row>
    <row r="395" spans="1:18" s="44" customFormat="1" ht="12.75" x14ac:dyDescent="0.2">
      <c r="A395" s="48"/>
      <c r="D395" s="49"/>
      <c r="E395" s="50"/>
      <c r="F395" s="51"/>
      <c r="H395" s="51"/>
      <c r="I395" s="81"/>
      <c r="K395" s="81"/>
      <c r="L395" s="81"/>
      <c r="M395" s="81"/>
      <c r="N395" s="49"/>
      <c r="Q395" s="86"/>
      <c r="R395" s="86"/>
    </row>
    <row r="396" spans="1:18" s="44" customFormat="1" ht="12.75" x14ac:dyDescent="0.2">
      <c r="A396" s="48"/>
      <c r="D396" s="49"/>
      <c r="E396" s="50"/>
      <c r="F396" s="51"/>
      <c r="H396" s="51"/>
      <c r="I396" s="81"/>
      <c r="K396" s="81"/>
      <c r="L396" s="81"/>
      <c r="M396" s="81"/>
      <c r="N396" s="49"/>
      <c r="Q396" s="86"/>
      <c r="R396" s="86"/>
    </row>
    <row r="397" spans="1:18" s="44" customFormat="1" ht="12.75" x14ac:dyDescent="0.2">
      <c r="A397" s="48"/>
      <c r="D397" s="49"/>
      <c r="E397" s="50"/>
      <c r="F397" s="51"/>
      <c r="H397" s="51"/>
      <c r="I397" s="81"/>
      <c r="K397" s="81"/>
      <c r="L397" s="81"/>
      <c r="M397" s="81"/>
      <c r="N397" s="49"/>
      <c r="Q397" s="86"/>
      <c r="R397" s="86"/>
    </row>
    <row r="398" spans="1:18" s="44" customFormat="1" ht="12.75" x14ac:dyDescent="0.2">
      <c r="A398" s="48"/>
      <c r="D398" s="49"/>
      <c r="E398" s="50"/>
      <c r="F398" s="51"/>
      <c r="H398" s="51"/>
      <c r="I398" s="81"/>
      <c r="K398" s="81"/>
      <c r="L398" s="81"/>
      <c r="M398" s="81"/>
      <c r="N398" s="49"/>
      <c r="Q398" s="86"/>
      <c r="R398" s="86"/>
    </row>
    <row r="399" spans="1:18" s="44" customFormat="1" ht="12.75" x14ac:dyDescent="0.2">
      <c r="A399" s="48"/>
      <c r="D399" s="49"/>
      <c r="E399" s="50"/>
      <c r="F399" s="51"/>
      <c r="H399" s="51"/>
      <c r="I399" s="81"/>
      <c r="K399" s="81"/>
      <c r="L399" s="81"/>
      <c r="M399" s="81"/>
      <c r="N399" s="49"/>
      <c r="Q399" s="86"/>
      <c r="R399" s="86"/>
    </row>
    <row r="400" spans="1:18" s="44" customFormat="1" ht="12.75" x14ac:dyDescent="0.2">
      <c r="A400" s="48"/>
      <c r="D400" s="49"/>
      <c r="E400" s="50"/>
      <c r="F400" s="51"/>
      <c r="H400" s="51"/>
      <c r="I400" s="81"/>
      <c r="K400" s="81"/>
      <c r="L400" s="81"/>
      <c r="M400" s="81"/>
      <c r="N400" s="49"/>
      <c r="Q400" s="86"/>
      <c r="R400" s="86"/>
    </row>
    <row r="401" spans="1:18" s="44" customFormat="1" ht="12.75" x14ac:dyDescent="0.2">
      <c r="A401" s="48"/>
      <c r="D401" s="49"/>
      <c r="E401" s="50"/>
      <c r="F401" s="51"/>
      <c r="H401" s="51"/>
      <c r="I401" s="81"/>
      <c r="K401" s="81"/>
      <c r="L401" s="81"/>
      <c r="M401" s="81"/>
      <c r="N401" s="49"/>
      <c r="Q401" s="86"/>
      <c r="R401" s="86"/>
    </row>
    <row r="402" spans="1:18" s="44" customFormat="1" ht="12.75" x14ac:dyDescent="0.2">
      <c r="A402" s="48"/>
      <c r="D402" s="49"/>
      <c r="E402" s="50"/>
      <c r="F402" s="51"/>
      <c r="H402" s="51"/>
      <c r="I402" s="81"/>
      <c r="K402" s="81"/>
      <c r="L402" s="81"/>
      <c r="M402" s="81"/>
      <c r="N402" s="49"/>
      <c r="Q402" s="86"/>
      <c r="R402" s="86"/>
    </row>
    <row r="403" spans="1:18" s="44" customFormat="1" ht="12.75" x14ac:dyDescent="0.2">
      <c r="A403" s="48"/>
      <c r="D403" s="49"/>
      <c r="E403" s="50"/>
      <c r="F403" s="51"/>
      <c r="H403" s="51"/>
      <c r="I403" s="81"/>
      <c r="K403" s="81"/>
      <c r="L403" s="81"/>
      <c r="M403" s="81"/>
      <c r="N403" s="49"/>
      <c r="Q403" s="86"/>
      <c r="R403" s="86"/>
    </row>
    <row r="404" spans="1:18" s="44" customFormat="1" ht="12.75" x14ac:dyDescent="0.2">
      <c r="A404" s="48"/>
      <c r="D404" s="49"/>
      <c r="E404" s="50"/>
      <c r="F404" s="51"/>
      <c r="H404" s="51"/>
      <c r="I404" s="81"/>
      <c r="K404" s="81"/>
      <c r="L404" s="81"/>
      <c r="M404" s="81"/>
      <c r="N404" s="49"/>
      <c r="Q404" s="86"/>
      <c r="R404" s="86"/>
    </row>
    <row r="405" spans="1:18" s="44" customFormat="1" ht="12.75" x14ac:dyDescent="0.2">
      <c r="A405" s="48"/>
      <c r="D405" s="49"/>
      <c r="E405" s="50"/>
      <c r="F405" s="51"/>
      <c r="H405" s="51"/>
      <c r="I405" s="81"/>
      <c r="K405" s="81"/>
      <c r="L405" s="81"/>
      <c r="M405" s="81"/>
      <c r="N405" s="49"/>
      <c r="Q405" s="86"/>
      <c r="R405" s="86"/>
    </row>
    <row r="406" spans="1:18" s="44" customFormat="1" ht="12.75" x14ac:dyDescent="0.2">
      <c r="A406" s="48"/>
      <c r="D406" s="49"/>
      <c r="E406" s="50"/>
      <c r="F406" s="51"/>
      <c r="H406" s="51"/>
      <c r="I406" s="81"/>
      <c r="K406" s="81"/>
      <c r="L406" s="81"/>
      <c r="M406" s="81"/>
      <c r="N406" s="49"/>
      <c r="Q406" s="86"/>
      <c r="R406" s="86"/>
    </row>
    <row r="407" spans="1:18" s="44" customFormat="1" ht="12.75" x14ac:dyDescent="0.2">
      <c r="A407" s="48"/>
      <c r="D407" s="49"/>
      <c r="E407" s="50"/>
      <c r="F407" s="51"/>
      <c r="H407" s="51"/>
      <c r="I407" s="81"/>
      <c r="K407" s="81"/>
      <c r="L407" s="81"/>
      <c r="M407" s="81"/>
      <c r="N407" s="49"/>
      <c r="Q407" s="86"/>
      <c r="R407" s="86"/>
    </row>
    <row r="408" spans="1:18" s="44" customFormat="1" ht="12.75" x14ac:dyDescent="0.2">
      <c r="A408" s="48"/>
      <c r="D408" s="49"/>
      <c r="E408" s="50"/>
      <c r="F408" s="51"/>
      <c r="H408" s="51"/>
      <c r="I408" s="81"/>
      <c r="K408" s="81"/>
      <c r="L408" s="81"/>
      <c r="M408" s="81"/>
      <c r="N408" s="49"/>
      <c r="Q408" s="86"/>
      <c r="R408" s="86"/>
    </row>
    <row r="409" spans="1:18" s="44" customFormat="1" ht="12.75" x14ac:dyDescent="0.2">
      <c r="A409" s="48"/>
      <c r="D409" s="49"/>
      <c r="E409" s="50"/>
      <c r="F409" s="51"/>
      <c r="H409" s="51"/>
      <c r="I409" s="81"/>
      <c r="K409" s="81"/>
      <c r="L409" s="81"/>
      <c r="M409" s="81"/>
      <c r="N409" s="49"/>
      <c r="Q409" s="86"/>
      <c r="R409" s="86"/>
    </row>
    <row r="410" spans="1:18" s="44" customFormat="1" ht="12.75" x14ac:dyDescent="0.2">
      <c r="A410" s="48"/>
      <c r="D410" s="49"/>
      <c r="E410" s="50"/>
      <c r="F410" s="51"/>
      <c r="H410" s="51"/>
      <c r="I410" s="81"/>
      <c r="K410" s="81"/>
      <c r="L410" s="81"/>
      <c r="M410" s="81"/>
      <c r="N410" s="49"/>
      <c r="Q410" s="86"/>
      <c r="R410" s="86"/>
    </row>
    <row r="411" spans="1:18" s="44" customFormat="1" ht="12.75" x14ac:dyDescent="0.2">
      <c r="A411" s="48"/>
      <c r="D411" s="49"/>
      <c r="E411" s="50"/>
      <c r="F411" s="51"/>
      <c r="H411" s="51"/>
      <c r="I411" s="81"/>
      <c r="K411" s="81"/>
      <c r="L411" s="81"/>
      <c r="M411" s="81"/>
      <c r="N411" s="49"/>
      <c r="Q411" s="86"/>
      <c r="R411" s="86"/>
    </row>
    <row r="412" spans="1:18" s="44" customFormat="1" ht="12.75" x14ac:dyDescent="0.2">
      <c r="A412" s="48"/>
      <c r="D412" s="49"/>
      <c r="E412" s="50"/>
      <c r="F412" s="51"/>
      <c r="H412" s="51"/>
      <c r="I412" s="81"/>
      <c r="K412" s="81"/>
      <c r="L412" s="81"/>
      <c r="M412" s="81"/>
      <c r="N412" s="49"/>
      <c r="Q412" s="86"/>
      <c r="R412" s="86"/>
    </row>
    <row r="413" spans="1:18" s="44" customFormat="1" ht="12.75" x14ac:dyDescent="0.2">
      <c r="A413" s="48"/>
      <c r="D413" s="49"/>
      <c r="E413" s="50"/>
      <c r="F413" s="51"/>
      <c r="H413" s="51"/>
      <c r="I413" s="81"/>
      <c r="K413" s="81"/>
      <c r="L413" s="81"/>
      <c r="M413" s="81"/>
      <c r="N413" s="49"/>
      <c r="Q413" s="86"/>
      <c r="R413" s="86"/>
    </row>
    <row r="414" spans="1:18" s="44" customFormat="1" ht="12.75" x14ac:dyDescent="0.2">
      <c r="A414" s="48"/>
      <c r="D414" s="49"/>
      <c r="E414" s="50"/>
      <c r="F414" s="51"/>
      <c r="H414" s="51"/>
      <c r="I414" s="81"/>
      <c r="K414" s="81"/>
      <c r="L414" s="81"/>
      <c r="M414" s="81"/>
      <c r="N414" s="49"/>
      <c r="Q414" s="86"/>
      <c r="R414" s="86"/>
    </row>
    <row r="415" spans="1:18" s="44" customFormat="1" ht="12.75" x14ac:dyDescent="0.2">
      <c r="A415" s="48"/>
      <c r="D415" s="49"/>
      <c r="E415" s="50"/>
      <c r="F415" s="51"/>
      <c r="H415" s="51"/>
      <c r="I415" s="81"/>
      <c r="K415" s="81"/>
      <c r="L415" s="81"/>
      <c r="M415" s="81"/>
      <c r="N415" s="49"/>
      <c r="Q415" s="86"/>
      <c r="R415" s="86"/>
    </row>
    <row r="416" spans="1:18" s="44" customFormat="1" ht="12.75" x14ac:dyDescent="0.2">
      <c r="A416" s="48"/>
      <c r="D416" s="49"/>
      <c r="E416" s="50"/>
      <c r="F416" s="51"/>
      <c r="H416" s="51"/>
      <c r="I416" s="81"/>
      <c r="K416" s="81"/>
      <c r="L416" s="81"/>
      <c r="M416" s="81"/>
      <c r="N416" s="49"/>
      <c r="Q416" s="86"/>
      <c r="R416" s="86"/>
    </row>
    <row r="417" spans="1:18" s="44" customFormat="1" ht="12.75" x14ac:dyDescent="0.2">
      <c r="A417" s="48"/>
      <c r="D417" s="49"/>
      <c r="E417" s="50"/>
      <c r="F417" s="51"/>
      <c r="H417" s="51"/>
      <c r="I417" s="81"/>
      <c r="K417" s="81"/>
      <c r="L417" s="81"/>
      <c r="M417" s="81"/>
      <c r="N417" s="49"/>
      <c r="Q417" s="86"/>
      <c r="R417" s="86"/>
    </row>
    <row r="418" spans="1:18" s="44" customFormat="1" ht="12.75" x14ac:dyDescent="0.2">
      <c r="A418" s="48"/>
      <c r="D418" s="49"/>
      <c r="E418" s="50"/>
      <c r="F418" s="51"/>
      <c r="H418" s="51"/>
      <c r="I418" s="81"/>
      <c r="K418" s="81"/>
      <c r="L418" s="81"/>
      <c r="M418" s="81"/>
      <c r="N418" s="49"/>
      <c r="Q418" s="86"/>
      <c r="R418" s="86"/>
    </row>
    <row r="419" spans="1:18" s="44" customFormat="1" ht="12.75" x14ac:dyDescent="0.2">
      <c r="A419" s="48"/>
      <c r="D419" s="49"/>
      <c r="E419" s="50"/>
      <c r="F419" s="51"/>
      <c r="H419" s="51"/>
      <c r="I419" s="81"/>
      <c r="K419" s="81"/>
      <c r="L419" s="81"/>
      <c r="M419" s="81"/>
      <c r="N419" s="49"/>
      <c r="Q419" s="86"/>
      <c r="R419" s="86"/>
    </row>
    <row r="420" spans="1:18" s="44" customFormat="1" ht="12.75" x14ac:dyDescent="0.2">
      <c r="A420" s="48"/>
      <c r="D420" s="49"/>
      <c r="E420" s="50"/>
      <c r="F420" s="51"/>
      <c r="H420" s="51"/>
      <c r="I420" s="81"/>
      <c r="K420" s="81"/>
      <c r="L420" s="81"/>
      <c r="M420" s="81"/>
      <c r="N420" s="49"/>
      <c r="Q420" s="86"/>
      <c r="R420" s="86"/>
    </row>
    <row r="421" spans="1:18" s="44" customFormat="1" ht="12.75" x14ac:dyDescent="0.2">
      <c r="A421" s="48"/>
      <c r="D421" s="49"/>
      <c r="E421" s="50"/>
      <c r="F421" s="51"/>
      <c r="H421" s="51"/>
      <c r="I421" s="81"/>
      <c r="K421" s="81"/>
      <c r="L421" s="81"/>
      <c r="M421" s="81"/>
      <c r="N421" s="49"/>
      <c r="Q421" s="86"/>
      <c r="R421" s="86"/>
    </row>
    <row r="422" spans="1:18" s="44" customFormat="1" ht="12.75" x14ac:dyDescent="0.2">
      <c r="A422" s="48"/>
      <c r="D422" s="49"/>
      <c r="E422" s="50"/>
      <c r="F422" s="51"/>
      <c r="H422" s="51"/>
      <c r="I422" s="81"/>
      <c r="K422" s="81"/>
      <c r="L422" s="81"/>
      <c r="M422" s="81"/>
      <c r="N422" s="49"/>
      <c r="Q422" s="86"/>
      <c r="R422" s="86"/>
    </row>
    <row r="423" spans="1:18" s="44" customFormat="1" ht="12.75" x14ac:dyDescent="0.2">
      <c r="A423" s="48"/>
      <c r="D423" s="49"/>
      <c r="E423" s="50"/>
      <c r="F423" s="51"/>
      <c r="H423" s="51"/>
      <c r="I423" s="81"/>
      <c r="K423" s="81"/>
      <c r="L423" s="81"/>
      <c r="M423" s="81"/>
      <c r="N423" s="49"/>
      <c r="Q423" s="86"/>
      <c r="R423" s="86"/>
    </row>
    <row r="424" spans="1:18" s="44" customFormat="1" ht="12.75" x14ac:dyDescent="0.2">
      <c r="A424" s="48"/>
      <c r="D424" s="49"/>
      <c r="E424" s="50"/>
      <c r="F424" s="51"/>
      <c r="H424" s="51"/>
      <c r="I424" s="81"/>
      <c r="K424" s="81"/>
      <c r="L424" s="81"/>
      <c r="M424" s="81"/>
      <c r="N424" s="49"/>
      <c r="Q424" s="86"/>
      <c r="R424" s="86"/>
    </row>
    <row r="425" spans="1:18" s="44" customFormat="1" ht="12.75" x14ac:dyDescent="0.2">
      <c r="A425" s="48"/>
      <c r="D425" s="49"/>
      <c r="E425" s="50"/>
      <c r="F425" s="51"/>
      <c r="H425" s="51"/>
      <c r="I425" s="81"/>
      <c r="K425" s="81"/>
      <c r="L425" s="81"/>
      <c r="M425" s="81"/>
      <c r="N425" s="49"/>
      <c r="Q425" s="86"/>
      <c r="R425" s="86"/>
    </row>
    <row r="426" spans="1:18" s="44" customFormat="1" ht="12.75" x14ac:dyDescent="0.2">
      <c r="A426" s="48"/>
      <c r="D426" s="49"/>
      <c r="E426" s="50"/>
      <c r="F426" s="51"/>
      <c r="H426" s="51"/>
      <c r="I426" s="81"/>
      <c r="K426" s="81"/>
      <c r="L426" s="81"/>
      <c r="M426" s="81"/>
      <c r="N426" s="49"/>
      <c r="Q426" s="86"/>
      <c r="R426" s="86"/>
    </row>
    <row r="427" spans="1:18" s="44" customFormat="1" ht="12.75" x14ac:dyDescent="0.2">
      <c r="A427" s="48"/>
      <c r="D427" s="49"/>
      <c r="E427" s="50"/>
      <c r="F427" s="51"/>
      <c r="H427" s="51"/>
      <c r="I427" s="81"/>
      <c r="K427" s="81"/>
      <c r="L427" s="81"/>
      <c r="M427" s="81"/>
      <c r="N427" s="49"/>
      <c r="Q427" s="86"/>
      <c r="R427" s="86"/>
    </row>
    <row r="428" spans="1:18" s="44" customFormat="1" ht="12.75" x14ac:dyDescent="0.2">
      <c r="A428" s="48"/>
      <c r="D428" s="49"/>
      <c r="E428" s="50"/>
      <c r="F428" s="51"/>
      <c r="H428" s="51"/>
      <c r="I428" s="81"/>
      <c r="K428" s="81"/>
      <c r="L428" s="81"/>
      <c r="M428" s="81"/>
      <c r="N428" s="49"/>
      <c r="Q428" s="86"/>
      <c r="R428" s="86"/>
    </row>
    <row r="429" spans="1:18" s="44" customFormat="1" ht="12.75" x14ac:dyDescent="0.2">
      <c r="A429" s="48"/>
      <c r="D429" s="49"/>
      <c r="E429" s="50"/>
      <c r="F429" s="51"/>
      <c r="H429" s="51"/>
      <c r="I429" s="81"/>
      <c r="K429" s="81"/>
      <c r="L429" s="81"/>
      <c r="M429" s="81"/>
      <c r="N429" s="49"/>
      <c r="Q429" s="86"/>
      <c r="R429" s="86"/>
    </row>
    <row r="430" spans="1:18" s="44" customFormat="1" ht="12.75" x14ac:dyDescent="0.2">
      <c r="A430" s="48"/>
      <c r="D430" s="49"/>
      <c r="E430" s="50"/>
      <c r="F430" s="51"/>
      <c r="H430" s="51"/>
      <c r="I430" s="81"/>
      <c r="K430" s="81"/>
      <c r="L430" s="81"/>
      <c r="M430" s="81"/>
      <c r="N430" s="49"/>
      <c r="Q430" s="86"/>
      <c r="R430" s="86"/>
    </row>
    <row r="431" spans="1:18" s="44" customFormat="1" ht="12.75" x14ac:dyDescent="0.2">
      <c r="A431" s="48"/>
      <c r="D431" s="49"/>
      <c r="E431" s="50"/>
      <c r="F431" s="51"/>
      <c r="H431" s="51"/>
      <c r="I431" s="81"/>
      <c r="K431" s="81"/>
      <c r="L431" s="81"/>
      <c r="M431" s="81"/>
      <c r="N431" s="49"/>
      <c r="Q431" s="86"/>
      <c r="R431" s="86"/>
    </row>
    <row r="432" spans="1:18" s="44" customFormat="1" ht="12.75" x14ac:dyDescent="0.2">
      <c r="A432" s="48"/>
      <c r="D432" s="49"/>
      <c r="E432" s="50"/>
      <c r="F432" s="51"/>
      <c r="H432" s="51"/>
      <c r="I432" s="81"/>
      <c r="K432" s="81"/>
      <c r="L432" s="81"/>
      <c r="M432" s="81"/>
      <c r="N432" s="49"/>
      <c r="Q432" s="86"/>
      <c r="R432" s="86"/>
    </row>
    <row r="433" spans="1:18" s="44" customFormat="1" ht="12.75" x14ac:dyDescent="0.2">
      <c r="A433" s="48"/>
      <c r="D433" s="49"/>
      <c r="E433" s="50"/>
      <c r="F433" s="51"/>
      <c r="H433" s="51"/>
      <c r="I433" s="81"/>
      <c r="K433" s="81"/>
      <c r="L433" s="81"/>
      <c r="M433" s="81"/>
      <c r="N433" s="49"/>
      <c r="Q433" s="86"/>
      <c r="R433" s="86"/>
    </row>
    <row r="434" spans="1:18" s="44" customFormat="1" ht="12.75" x14ac:dyDescent="0.2">
      <c r="A434" s="48"/>
      <c r="D434" s="49"/>
      <c r="E434" s="50"/>
      <c r="F434" s="51"/>
      <c r="H434" s="51"/>
      <c r="I434" s="81"/>
      <c r="K434" s="81"/>
      <c r="L434" s="81"/>
      <c r="M434" s="81"/>
      <c r="N434" s="49"/>
      <c r="Q434" s="86"/>
      <c r="R434" s="86"/>
    </row>
    <row r="435" spans="1:18" s="44" customFormat="1" ht="12.75" x14ac:dyDescent="0.2">
      <c r="A435" s="48"/>
      <c r="D435" s="49"/>
      <c r="E435" s="50"/>
      <c r="F435" s="51"/>
      <c r="H435" s="51"/>
      <c r="I435" s="81"/>
      <c r="K435" s="81"/>
      <c r="L435" s="81"/>
      <c r="M435" s="81"/>
      <c r="N435" s="49"/>
      <c r="Q435" s="86"/>
      <c r="R435" s="86"/>
    </row>
    <row r="436" spans="1:18" s="44" customFormat="1" ht="12.75" x14ac:dyDescent="0.2">
      <c r="A436" s="48"/>
      <c r="D436" s="49"/>
      <c r="E436" s="50"/>
      <c r="F436" s="51"/>
      <c r="H436" s="51"/>
      <c r="I436" s="81"/>
      <c r="K436" s="81"/>
      <c r="L436" s="81"/>
      <c r="M436" s="81"/>
      <c r="N436" s="49"/>
      <c r="Q436" s="86"/>
      <c r="R436" s="86"/>
    </row>
    <row r="437" spans="1:18" s="44" customFormat="1" ht="12.75" x14ac:dyDescent="0.2">
      <c r="A437" s="48"/>
      <c r="D437" s="49"/>
      <c r="E437" s="50"/>
      <c r="F437" s="51"/>
      <c r="H437" s="51"/>
      <c r="I437" s="81"/>
      <c r="K437" s="81"/>
      <c r="L437" s="81"/>
      <c r="M437" s="81"/>
      <c r="N437" s="49"/>
      <c r="Q437" s="86"/>
      <c r="R437" s="86"/>
    </row>
    <row r="438" spans="1:18" s="44" customFormat="1" ht="12.75" x14ac:dyDescent="0.2">
      <c r="A438" s="48"/>
      <c r="D438" s="49"/>
      <c r="E438" s="50"/>
      <c r="F438" s="51"/>
      <c r="H438" s="51"/>
      <c r="I438" s="81"/>
      <c r="K438" s="81"/>
      <c r="L438" s="81"/>
      <c r="M438" s="81"/>
      <c r="N438" s="49"/>
      <c r="Q438" s="86"/>
      <c r="R438" s="86"/>
    </row>
    <row r="439" spans="1:18" s="44" customFormat="1" ht="12.75" x14ac:dyDescent="0.2">
      <c r="A439" s="48"/>
      <c r="D439" s="49"/>
      <c r="E439" s="50"/>
      <c r="F439" s="51"/>
      <c r="H439" s="51"/>
      <c r="I439" s="81"/>
      <c r="K439" s="81"/>
      <c r="L439" s="81"/>
      <c r="M439" s="81"/>
      <c r="N439" s="49"/>
      <c r="Q439" s="86"/>
      <c r="R439" s="86"/>
    </row>
    <row r="440" spans="1:18" s="44" customFormat="1" ht="12.75" x14ac:dyDescent="0.2">
      <c r="A440" s="48"/>
      <c r="D440" s="49"/>
      <c r="E440" s="50"/>
      <c r="F440" s="51"/>
      <c r="H440" s="51"/>
      <c r="I440" s="81"/>
      <c r="K440" s="81"/>
      <c r="L440" s="81"/>
      <c r="M440" s="81"/>
      <c r="N440" s="49"/>
      <c r="Q440" s="86"/>
      <c r="R440" s="86"/>
    </row>
    <row r="441" spans="1:18" s="44" customFormat="1" ht="12.75" x14ac:dyDescent="0.2">
      <c r="A441" s="48"/>
      <c r="D441" s="49"/>
      <c r="E441" s="50"/>
      <c r="F441" s="51"/>
      <c r="H441" s="51"/>
      <c r="I441" s="81"/>
      <c r="K441" s="81"/>
      <c r="L441" s="81"/>
      <c r="M441" s="81"/>
      <c r="N441" s="49"/>
      <c r="Q441" s="86"/>
      <c r="R441" s="86"/>
    </row>
    <row r="442" spans="1:18" s="44" customFormat="1" ht="12.75" x14ac:dyDescent="0.2">
      <c r="A442" s="48"/>
      <c r="D442" s="49"/>
      <c r="E442" s="50"/>
      <c r="F442" s="51"/>
      <c r="H442" s="51"/>
      <c r="I442" s="81"/>
      <c r="K442" s="81"/>
      <c r="L442" s="81"/>
      <c r="M442" s="81"/>
      <c r="N442" s="49"/>
      <c r="Q442" s="86"/>
      <c r="R442" s="86"/>
    </row>
    <row r="443" spans="1:18" s="44" customFormat="1" ht="12.75" x14ac:dyDescent="0.2">
      <c r="A443" s="48"/>
      <c r="D443" s="49"/>
      <c r="E443" s="50"/>
      <c r="F443" s="51"/>
      <c r="H443" s="51"/>
      <c r="I443" s="81"/>
      <c r="K443" s="81"/>
      <c r="L443" s="81"/>
      <c r="M443" s="81"/>
      <c r="N443" s="49"/>
      <c r="Q443" s="86"/>
      <c r="R443" s="86"/>
    </row>
    <row r="444" spans="1:18" s="44" customFormat="1" ht="12.75" x14ac:dyDescent="0.2">
      <c r="A444" s="48"/>
      <c r="D444" s="49"/>
      <c r="E444" s="50"/>
      <c r="F444" s="51"/>
      <c r="H444" s="51"/>
      <c r="I444" s="81"/>
      <c r="K444" s="81"/>
      <c r="L444" s="81"/>
      <c r="M444" s="81"/>
      <c r="N444" s="49"/>
      <c r="Q444" s="86"/>
      <c r="R444" s="86"/>
    </row>
    <row r="445" spans="1:18" s="44" customFormat="1" ht="12.75" x14ac:dyDescent="0.2">
      <c r="A445" s="48"/>
      <c r="D445" s="49"/>
      <c r="E445" s="50"/>
      <c r="F445" s="51"/>
      <c r="H445" s="51"/>
      <c r="I445" s="81"/>
      <c r="K445" s="81"/>
      <c r="L445" s="81"/>
      <c r="M445" s="81"/>
      <c r="N445" s="49"/>
      <c r="Q445" s="86"/>
      <c r="R445" s="86"/>
    </row>
    <row r="446" spans="1:18" s="44" customFormat="1" ht="12.75" x14ac:dyDescent="0.2">
      <c r="A446" s="48"/>
      <c r="D446" s="49"/>
      <c r="E446" s="50"/>
      <c r="F446" s="51"/>
      <c r="H446" s="51"/>
      <c r="I446" s="81"/>
      <c r="K446" s="81"/>
      <c r="L446" s="81"/>
      <c r="M446" s="81"/>
      <c r="N446" s="49"/>
      <c r="Q446" s="86"/>
      <c r="R446" s="86"/>
    </row>
    <row r="447" spans="1:18" s="44" customFormat="1" ht="12.75" x14ac:dyDescent="0.2">
      <c r="A447" s="48"/>
      <c r="D447" s="49"/>
      <c r="E447" s="50"/>
      <c r="F447" s="51"/>
      <c r="H447" s="51"/>
      <c r="I447" s="81"/>
      <c r="K447" s="81"/>
      <c r="L447" s="81"/>
      <c r="M447" s="81"/>
      <c r="N447" s="49"/>
      <c r="Q447" s="86"/>
      <c r="R447" s="86"/>
    </row>
    <row r="448" spans="1:18" s="44" customFormat="1" ht="12.75" x14ac:dyDescent="0.2">
      <c r="A448" s="48"/>
      <c r="D448" s="49"/>
      <c r="E448" s="50"/>
      <c r="F448" s="51"/>
      <c r="H448" s="51"/>
      <c r="I448" s="81"/>
      <c r="K448" s="81"/>
      <c r="L448" s="81"/>
      <c r="M448" s="81"/>
      <c r="N448" s="49"/>
      <c r="Q448" s="86"/>
      <c r="R448" s="86"/>
    </row>
    <row r="449" spans="1:18" s="44" customFormat="1" ht="12.75" x14ac:dyDescent="0.2">
      <c r="A449" s="48"/>
      <c r="D449" s="49"/>
      <c r="E449" s="50"/>
      <c r="F449" s="51"/>
      <c r="H449" s="51"/>
      <c r="I449" s="81"/>
      <c r="K449" s="81"/>
      <c r="L449" s="81"/>
      <c r="M449" s="81"/>
      <c r="N449" s="49"/>
      <c r="Q449" s="86"/>
      <c r="R449" s="86"/>
    </row>
    <row r="450" spans="1:18" s="44" customFormat="1" ht="12.75" x14ac:dyDescent="0.2">
      <c r="A450" s="48"/>
      <c r="D450" s="49"/>
      <c r="E450" s="50"/>
      <c r="F450" s="51"/>
      <c r="H450" s="51"/>
      <c r="I450" s="81"/>
      <c r="K450" s="81"/>
      <c r="L450" s="81"/>
      <c r="M450" s="81"/>
      <c r="N450" s="49"/>
      <c r="Q450" s="86"/>
      <c r="R450" s="86"/>
    </row>
    <row r="451" spans="1:18" s="44" customFormat="1" ht="12.75" x14ac:dyDescent="0.2">
      <c r="A451" s="48"/>
      <c r="D451" s="49"/>
      <c r="E451" s="50"/>
      <c r="F451" s="51"/>
      <c r="H451" s="51"/>
      <c r="I451" s="81"/>
      <c r="K451" s="81"/>
      <c r="L451" s="81"/>
      <c r="M451" s="81"/>
      <c r="N451" s="49"/>
      <c r="Q451" s="86"/>
      <c r="R451" s="86"/>
    </row>
    <row r="452" spans="1:18" s="44" customFormat="1" ht="12.75" x14ac:dyDescent="0.2">
      <c r="A452" s="48"/>
      <c r="D452" s="49"/>
      <c r="E452" s="50"/>
      <c r="F452" s="51"/>
      <c r="H452" s="51"/>
      <c r="I452" s="81"/>
      <c r="K452" s="81"/>
      <c r="L452" s="81"/>
      <c r="M452" s="81"/>
      <c r="N452" s="49"/>
      <c r="Q452" s="86"/>
      <c r="R452" s="86"/>
    </row>
    <row r="453" spans="1:18" s="44" customFormat="1" ht="12.75" x14ac:dyDescent="0.2">
      <c r="A453" s="48"/>
      <c r="D453" s="49"/>
      <c r="E453" s="50"/>
      <c r="F453" s="51"/>
      <c r="H453" s="51"/>
      <c r="I453" s="81"/>
      <c r="K453" s="81"/>
      <c r="L453" s="81"/>
      <c r="M453" s="81"/>
      <c r="N453" s="49"/>
      <c r="Q453" s="86"/>
      <c r="R453" s="86"/>
    </row>
    <row r="454" spans="1:18" s="44" customFormat="1" ht="12.75" x14ac:dyDescent="0.2">
      <c r="A454" s="48"/>
      <c r="D454" s="49"/>
      <c r="E454" s="50"/>
      <c r="F454" s="51"/>
      <c r="H454" s="51"/>
      <c r="I454" s="81"/>
      <c r="K454" s="81"/>
      <c r="L454" s="81"/>
      <c r="M454" s="81"/>
      <c r="N454" s="49"/>
      <c r="Q454" s="86"/>
      <c r="R454" s="86"/>
    </row>
    <row r="455" spans="1:18" s="44" customFormat="1" ht="12.75" x14ac:dyDescent="0.2">
      <c r="A455" s="48"/>
      <c r="D455" s="49"/>
      <c r="E455" s="50"/>
      <c r="F455" s="51"/>
      <c r="H455" s="51"/>
      <c r="I455" s="81"/>
      <c r="K455" s="81"/>
      <c r="L455" s="81"/>
      <c r="M455" s="81"/>
      <c r="N455" s="49"/>
      <c r="Q455" s="86"/>
      <c r="R455" s="86"/>
    </row>
    <row r="456" spans="1:18" s="44" customFormat="1" ht="12.75" x14ac:dyDescent="0.2">
      <c r="A456" s="48"/>
      <c r="D456" s="49"/>
      <c r="E456" s="50"/>
      <c r="F456" s="51"/>
      <c r="H456" s="51"/>
      <c r="I456" s="81"/>
      <c r="K456" s="81"/>
      <c r="L456" s="81"/>
      <c r="M456" s="81"/>
      <c r="N456" s="49"/>
      <c r="Q456" s="86"/>
      <c r="R456" s="86"/>
    </row>
    <row r="457" spans="1:18" s="44" customFormat="1" ht="12.75" x14ac:dyDescent="0.2">
      <c r="A457" s="48"/>
      <c r="D457" s="49"/>
      <c r="E457" s="50"/>
      <c r="F457" s="51"/>
      <c r="H457" s="51"/>
      <c r="I457" s="81"/>
      <c r="K457" s="81"/>
      <c r="L457" s="81"/>
      <c r="M457" s="81"/>
      <c r="N457" s="49"/>
      <c r="Q457" s="86"/>
      <c r="R457" s="86"/>
    </row>
    <row r="458" spans="1:18" s="44" customFormat="1" ht="12.75" x14ac:dyDescent="0.2">
      <c r="A458" s="48"/>
      <c r="D458" s="49"/>
      <c r="E458" s="50"/>
      <c r="F458" s="51"/>
      <c r="H458" s="51"/>
      <c r="I458" s="81"/>
      <c r="K458" s="81"/>
      <c r="L458" s="81"/>
      <c r="M458" s="81"/>
      <c r="N458" s="49"/>
      <c r="Q458" s="86"/>
      <c r="R458" s="86"/>
    </row>
    <row r="459" spans="1:18" s="44" customFormat="1" ht="12.75" x14ac:dyDescent="0.2">
      <c r="A459" s="48"/>
      <c r="D459" s="49"/>
      <c r="E459" s="50"/>
      <c r="F459" s="51"/>
      <c r="H459" s="51"/>
      <c r="I459" s="81"/>
      <c r="K459" s="81"/>
      <c r="L459" s="81"/>
      <c r="M459" s="81"/>
      <c r="N459" s="49"/>
      <c r="Q459" s="86"/>
      <c r="R459" s="86"/>
    </row>
    <row r="460" spans="1:18" s="44" customFormat="1" ht="12.75" x14ac:dyDescent="0.2">
      <c r="A460" s="48"/>
      <c r="D460" s="49"/>
      <c r="E460" s="50"/>
      <c r="F460" s="51"/>
      <c r="H460" s="51"/>
      <c r="I460" s="81"/>
      <c r="K460" s="81"/>
      <c r="L460" s="81"/>
      <c r="M460" s="81"/>
      <c r="N460" s="49"/>
      <c r="Q460" s="86"/>
      <c r="R460" s="86"/>
    </row>
    <row r="461" spans="1:18" s="44" customFormat="1" ht="12.75" x14ac:dyDescent="0.2">
      <c r="A461" s="48"/>
      <c r="D461" s="49"/>
      <c r="E461" s="50"/>
      <c r="F461" s="51"/>
      <c r="H461" s="51"/>
      <c r="I461" s="81"/>
      <c r="K461" s="81"/>
      <c r="L461" s="81"/>
      <c r="M461" s="81"/>
      <c r="N461" s="49"/>
      <c r="Q461" s="86"/>
      <c r="R461" s="86"/>
    </row>
    <row r="462" spans="1:18" s="44" customFormat="1" ht="12.75" x14ac:dyDescent="0.2">
      <c r="A462" s="48"/>
      <c r="D462" s="49"/>
      <c r="E462" s="50"/>
      <c r="F462" s="51"/>
      <c r="H462" s="51"/>
      <c r="I462" s="81"/>
      <c r="K462" s="81"/>
      <c r="L462" s="81"/>
      <c r="M462" s="81"/>
      <c r="N462" s="49"/>
      <c r="Q462" s="86"/>
      <c r="R462" s="86"/>
    </row>
    <row r="463" spans="1:18" s="44" customFormat="1" ht="12.75" x14ac:dyDescent="0.2">
      <c r="A463" s="48"/>
      <c r="D463" s="49"/>
      <c r="E463" s="50"/>
      <c r="F463" s="51"/>
      <c r="H463" s="51"/>
      <c r="I463" s="81"/>
      <c r="K463" s="81"/>
      <c r="L463" s="81"/>
      <c r="M463" s="81"/>
      <c r="N463" s="49"/>
      <c r="Q463" s="86"/>
      <c r="R463" s="86"/>
    </row>
    <row r="464" spans="1:18" s="44" customFormat="1" ht="12.75" x14ac:dyDescent="0.2">
      <c r="A464" s="48"/>
      <c r="D464" s="49"/>
      <c r="E464" s="50"/>
      <c r="F464" s="51"/>
      <c r="H464" s="51"/>
      <c r="I464" s="81"/>
      <c r="K464" s="81"/>
      <c r="L464" s="81"/>
      <c r="M464" s="81"/>
      <c r="N464" s="49"/>
      <c r="Q464" s="86"/>
      <c r="R464" s="86"/>
    </row>
    <row r="465" spans="1:18" s="44" customFormat="1" ht="12.75" x14ac:dyDescent="0.2">
      <c r="A465" s="48"/>
      <c r="D465" s="49"/>
      <c r="E465" s="50"/>
      <c r="F465" s="51"/>
      <c r="H465" s="51"/>
      <c r="I465" s="81"/>
      <c r="K465" s="81"/>
      <c r="L465" s="81"/>
      <c r="M465" s="81"/>
      <c r="N465" s="49"/>
      <c r="Q465" s="86"/>
      <c r="R465" s="86"/>
    </row>
    <row r="466" spans="1:18" s="44" customFormat="1" ht="12.75" x14ac:dyDescent="0.2">
      <c r="A466" s="48"/>
      <c r="D466" s="49"/>
      <c r="E466" s="50"/>
      <c r="F466" s="51"/>
      <c r="H466" s="51"/>
      <c r="I466" s="81"/>
      <c r="K466" s="81"/>
      <c r="L466" s="81"/>
      <c r="M466" s="81"/>
      <c r="N466" s="49"/>
      <c r="Q466" s="86"/>
      <c r="R466" s="86"/>
    </row>
    <row r="467" spans="1:18" s="44" customFormat="1" ht="12.75" x14ac:dyDescent="0.2">
      <c r="A467" s="48"/>
      <c r="D467" s="49"/>
      <c r="E467" s="50"/>
      <c r="F467" s="51"/>
      <c r="H467" s="51"/>
      <c r="I467" s="81"/>
      <c r="K467" s="81"/>
      <c r="L467" s="81"/>
      <c r="M467" s="81"/>
      <c r="N467" s="49"/>
      <c r="Q467" s="86"/>
      <c r="R467" s="86"/>
    </row>
    <row r="468" spans="1:18" s="44" customFormat="1" ht="12.75" x14ac:dyDescent="0.2">
      <c r="A468" s="48"/>
      <c r="D468" s="49"/>
      <c r="E468" s="50"/>
      <c r="F468" s="51"/>
      <c r="H468" s="51"/>
      <c r="I468" s="81"/>
      <c r="K468" s="81"/>
      <c r="L468" s="81"/>
      <c r="M468" s="81"/>
      <c r="N468" s="49"/>
      <c r="Q468" s="86"/>
      <c r="R468" s="86"/>
    </row>
    <row r="469" spans="1:18" s="44" customFormat="1" ht="12.75" x14ac:dyDescent="0.2">
      <c r="A469" s="48"/>
      <c r="D469" s="49"/>
      <c r="E469" s="50"/>
      <c r="F469" s="51"/>
      <c r="H469" s="51"/>
      <c r="I469" s="81"/>
      <c r="K469" s="81"/>
      <c r="L469" s="81"/>
      <c r="M469" s="81"/>
      <c r="N469" s="49"/>
      <c r="Q469" s="86"/>
      <c r="R469" s="86"/>
    </row>
    <row r="470" spans="1:18" s="44" customFormat="1" ht="12.75" x14ac:dyDescent="0.2">
      <c r="A470" s="48"/>
      <c r="D470" s="49"/>
      <c r="E470" s="50"/>
      <c r="F470" s="51"/>
      <c r="H470" s="51"/>
      <c r="I470" s="81"/>
      <c r="K470" s="81"/>
      <c r="L470" s="81"/>
      <c r="M470" s="81"/>
      <c r="N470" s="49"/>
      <c r="Q470" s="86"/>
      <c r="R470" s="86"/>
    </row>
    <row r="471" spans="1:18" s="44" customFormat="1" ht="12.75" x14ac:dyDescent="0.2">
      <c r="A471" s="48"/>
      <c r="D471" s="49"/>
      <c r="E471" s="50"/>
      <c r="F471" s="51"/>
      <c r="H471" s="51"/>
      <c r="I471" s="81"/>
      <c r="K471" s="81"/>
      <c r="L471" s="81"/>
      <c r="M471" s="81"/>
      <c r="N471" s="49"/>
      <c r="Q471" s="86"/>
      <c r="R471" s="86"/>
    </row>
    <row r="472" spans="1:18" s="44" customFormat="1" ht="12.75" x14ac:dyDescent="0.2">
      <c r="A472" s="48"/>
      <c r="D472" s="49"/>
      <c r="E472" s="50"/>
      <c r="F472" s="51"/>
      <c r="H472" s="51"/>
      <c r="I472" s="81"/>
      <c r="K472" s="81"/>
      <c r="L472" s="81"/>
      <c r="M472" s="81"/>
      <c r="N472" s="49"/>
      <c r="Q472" s="86"/>
      <c r="R472" s="86"/>
    </row>
    <row r="473" spans="1:18" s="44" customFormat="1" ht="12.75" x14ac:dyDescent="0.2">
      <c r="A473" s="48"/>
      <c r="D473" s="49"/>
      <c r="E473" s="50"/>
      <c r="F473" s="51"/>
      <c r="H473" s="51"/>
      <c r="I473" s="81"/>
      <c r="K473" s="81"/>
      <c r="L473" s="81"/>
      <c r="M473" s="81"/>
      <c r="N473" s="49"/>
      <c r="Q473" s="86"/>
      <c r="R473" s="86"/>
    </row>
    <row r="474" spans="1:18" s="44" customFormat="1" ht="12.75" x14ac:dyDescent="0.2">
      <c r="A474" s="48"/>
      <c r="D474" s="49"/>
      <c r="E474" s="50"/>
      <c r="F474" s="51"/>
      <c r="H474" s="51"/>
      <c r="I474" s="81"/>
      <c r="K474" s="81"/>
      <c r="L474" s="81"/>
      <c r="M474" s="81"/>
      <c r="N474" s="49"/>
      <c r="Q474" s="86"/>
      <c r="R474" s="86"/>
    </row>
    <row r="475" spans="1:18" s="44" customFormat="1" ht="12.75" x14ac:dyDescent="0.2">
      <c r="A475" s="48"/>
      <c r="D475" s="49"/>
      <c r="E475" s="50"/>
      <c r="F475" s="51"/>
      <c r="H475" s="51"/>
      <c r="I475" s="81"/>
      <c r="K475" s="81"/>
      <c r="L475" s="81"/>
      <c r="M475" s="81"/>
      <c r="N475" s="49"/>
      <c r="Q475" s="86"/>
      <c r="R475" s="86"/>
    </row>
    <row r="476" spans="1:18" s="44" customFormat="1" ht="12.75" x14ac:dyDescent="0.2">
      <c r="A476" s="48"/>
      <c r="D476" s="49"/>
      <c r="E476" s="50"/>
      <c r="F476" s="51"/>
      <c r="H476" s="51"/>
      <c r="I476" s="81"/>
      <c r="K476" s="81"/>
      <c r="L476" s="81"/>
      <c r="M476" s="81"/>
      <c r="N476" s="49"/>
      <c r="Q476" s="86"/>
      <c r="R476" s="86"/>
    </row>
    <row r="477" spans="1:18" s="44" customFormat="1" ht="12.75" x14ac:dyDescent="0.2">
      <c r="A477" s="48"/>
      <c r="D477" s="49"/>
      <c r="E477" s="50"/>
      <c r="F477" s="51"/>
      <c r="H477" s="51"/>
      <c r="I477" s="81"/>
      <c r="K477" s="81"/>
      <c r="L477" s="81"/>
      <c r="M477" s="81"/>
      <c r="N477" s="49"/>
      <c r="Q477" s="86"/>
      <c r="R477" s="86"/>
    </row>
    <row r="478" spans="1:18" s="44" customFormat="1" ht="12.75" x14ac:dyDescent="0.2">
      <c r="A478" s="48"/>
      <c r="D478" s="49"/>
      <c r="E478" s="50"/>
      <c r="F478" s="51"/>
      <c r="H478" s="51"/>
      <c r="I478" s="81"/>
      <c r="K478" s="81"/>
      <c r="L478" s="81"/>
      <c r="M478" s="81"/>
      <c r="N478" s="49"/>
      <c r="Q478" s="86"/>
      <c r="R478" s="86"/>
    </row>
    <row r="479" spans="1:18" s="44" customFormat="1" ht="12.75" x14ac:dyDescent="0.2">
      <c r="A479" s="48"/>
      <c r="D479" s="49"/>
      <c r="E479" s="50"/>
      <c r="F479" s="51"/>
      <c r="H479" s="51"/>
      <c r="I479" s="81"/>
      <c r="K479" s="81"/>
      <c r="L479" s="81"/>
      <c r="M479" s="81"/>
      <c r="N479" s="49"/>
      <c r="Q479" s="86"/>
      <c r="R479" s="86"/>
    </row>
    <row r="480" spans="1:18" s="44" customFormat="1" ht="12.75" x14ac:dyDescent="0.2">
      <c r="A480" s="48"/>
      <c r="D480" s="49"/>
      <c r="E480" s="50"/>
      <c r="F480" s="51"/>
      <c r="H480" s="51"/>
      <c r="I480" s="81"/>
      <c r="K480" s="81"/>
      <c r="L480" s="81"/>
      <c r="M480" s="81"/>
      <c r="N480" s="49"/>
      <c r="Q480" s="86"/>
      <c r="R480" s="86"/>
    </row>
    <row r="481" spans="1:18" s="44" customFormat="1" ht="12.75" x14ac:dyDescent="0.2">
      <c r="A481" s="48"/>
      <c r="D481" s="49"/>
      <c r="E481" s="50"/>
      <c r="F481" s="51"/>
      <c r="H481" s="51"/>
      <c r="I481" s="81"/>
      <c r="K481" s="81"/>
      <c r="L481" s="81"/>
      <c r="M481" s="81"/>
      <c r="N481" s="49"/>
      <c r="Q481" s="86"/>
      <c r="R481" s="86"/>
    </row>
    <row r="482" spans="1:18" s="44" customFormat="1" ht="12.75" x14ac:dyDescent="0.2">
      <c r="A482" s="48"/>
      <c r="D482" s="49"/>
      <c r="E482" s="50"/>
      <c r="F482" s="51"/>
      <c r="H482" s="51"/>
      <c r="I482" s="81"/>
      <c r="K482" s="81"/>
      <c r="L482" s="81"/>
      <c r="M482" s="81"/>
      <c r="N482" s="49"/>
      <c r="Q482" s="86"/>
      <c r="R482" s="86"/>
    </row>
    <row r="483" spans="1:18" s="44" customFormat="1" ht="12.75" x14ac:dyDescent="0.2">
      <c r="A483" s="48"/>
      <c r="D483" s="49"/>
      <c r="E483" s="50"/>
      <c r="F483" s="51"/>
      <c r="H483" s="51"/>
      <c r="I483" s="81"/>
      <c r="K483" s="81"/>
      <c r="L483" s="81"/>
      <c r="M483" s="81"/>
      <c r="N483" s="49"/>
      <c r="Q483" s="86"/>
      <c r="R483" s="86"/>
    </row>
    <row r="484" spans="1:18" s="44" customFormat="1" ht="12.75" x14ac:dyDescent="0.2">
      <c r="A484" s="48"/>
      <c r="D484" s="49"/>
      <c r="E484" s="50"/>
      <c r="F484" s="51"/>
      <c r="H484" s="51"/>
      <c r="I484" s="81"/>
      <c r="K484" s="81"/>
      <c r="L484" s="81"/>
      <c r="M484" s="81"/>
      <c r="N484" s="49"/>
      <c r="Q484" s="86"/>
      <c r="R484" s="86"/>
    </row>
    <row r="485" spans="1:18" s="44" customFormat="1" ht="12.75" x14ac:dyDescent="0.2">
      <c r="A485" s="48"/>
      <c r="D485" s="49"/>
      <c r="E485" s="50"/>
      <c r="F485" s="51"/>
      <c r="H485" s="51"/>
      <c r="I485" s="81"/>
      <c r="K485" s="81"/>
      <c r="L485" s="81"/>
      <c r="M485" s="81"/>
      <c r="N485" s="49"/>
      <c r="Q485" s="86"/>
      <c r="R485" s="86"/>
    </row>
    <row r="486" spans="1:18" s="44" customFormat="1" ht="12.75" x14ac:dyDescent="0.2">
      <c r="A486" s="48"/>
      <c r="D486" s="49"/>
      <c r="E486" s="50"/>
      <c r="F486" s="51"/>
      <c r="H486" s="51"/>
      <c r="I486" s="81"/>
      <c r="K486" s="81"/>
      <c r="L486" s="81"/>
      <c r="M486" s="81"/>
      <c r="N486" s="49"/>
      <c r="Q486" s="86"/>
      <c r="R486" s="86"/>
    </row>
    <row r="487" spans="1:18" s="44" customFormat="1" ht="12.75" x14ac:dyDescent="0.2">
      <c r="A487" s="48"/>
      <c r="D487" s="49"/>
      <c r="E487" s="50"/>
      <c r="F487" s="51"/>
      <c r="H487" s="51"/>
      <c r="I487" s="81"/>
      <c r="K487" s="81"/>
      <c r="L487" s="81"/>
      <c r="M487" s="81"/>
      <c r="N487" s="49"/>
      <c r="Q487" s="86"/>
      <c r="R487" s="86"/>
    </row>
    <row r="488" spans="1:18" s="44" customFormat="1" ht="12.75" x14ac:dyDescent="0.2">
      <c r="A488" s="48"/>
      <c r="D488" s="49"/>
      <c r="E488" s="50"/>
      <c r="F488" s="51"/>
      <c r="H488" s="51"/>
      <c r="I488" s="81"/>
      <c r="K488" s="81"/>
      <c r="L488" s="81"/>
      <c r="M488" s="81"/>
      <c r="N488" s="49"/>
      <c r="Q488" s="86"/>
      <c r="R488" s="86"/>
    </row>
    <row r="489" spans="1:18" s="44" customFormat="1" ht="12.75" x14ac:dyDescent="0.2">
      <c r="A489" s="48"/>
      <c r="D489" s="49"/>
      <c r="E489" s="50"/>
      <c r="F489" s="51"/>
      <c r="H489" s="51"/>
      <c r="I489" s="81"/>
      <c r="K489" s="81"/>
      <c r="L489" s="81"/>
      <c r="M489" s="81"/>
      <c r="N489" s="49"/>
      <c r="Q489" s="86"/>
      <c r="R489" s="86"/>
    </row>
    <row r="490" spans="1:18" s="44" customFormat="1" ht="12.75" x14ac:dyDescent="0.2">
      <c r="A490" s="48"/>
      <c r="D490" s="49"/>
      <c r="E490" s="50"/>
      <c r="F490" s="51"/>
      <c r="H490" s="51"/>
      <c r="I490" s="81"/>
      <c r="K490" s="81"/>
      <c r="L490" s="81"/>
      <c r="M490" s="81"/>
      <c r="N490" s="49"/>
      <c r="Q490" s="86"/>
      <c r="R490" s="86"/>
    </row>
    <row r="491" spans="1:18" s="44" customFormat="1" ht="12.75" x14ac:dyDescent="0.2">
      <c r="A491" s="48"/>
      <c r="D491" s="49"/>
      <c r="E491" s="50"/>
      <c r="F491" s="51"/>
      <c r="H491" s="51"/>
      <c r="I491" s="81"/>
      <c r="K491" s="81"/>
      <c r="L491" s="81"/>
      <c r="M491" s="81"/>
      <c r="N491" s="49"/>
      <c r="Q491" s="86"/>
      <c r="R491" s="86"/>
    </row>
    <row r="492" spans="1:18" s="44" customFormat="1" ht="12.75" x14ac:dyDescent="0.2">
      <c r="A492" s="48"/>
      <c r="D492" s="49"/>
      <c r="E492" s="50"/>
      <c r="F492" s="51"/>
      <c r="H492" s="51"/>
      <c r="I492" s="81"/>
      <c r="K492" s="81"/>
      <c r="L492" s="81"/>
      <c r="M492" s="81"/>
      <c r="N492" s="49"/>
      <c r="Q492" s="86"/>
      <c r="R492" s="86"/>
    </row>
    <row r="493" spans="1:18" s="44" customFormat="1" ht="12.75" x14ac:dyDescent="0.2">
      <c r="A493" s="48"/>
      <c r="D493" s="49"/>
      <c r="E493" s="50"/>
      <c r="F493" s="51"/>
      <c r="H493" s="51"/>
      <c r="I493" s="81"/>
      <c r="K493" s="81"/>
      <c r="L493" s="81"/>
      <c r="M493" s="81"/>
      <c r="N493" s="49"/>
      <c r="Q493" s="86"/>
      <c r="R493" s="86"/>
    </row>
    <row r="494" spans="1:18" s="44" customFormat="1" ht="12.75" x14ac:dyDescent="0.2">
      <c r="A494" s="48"/>
      <c r="D494" s="49"/>
      <c r="E494" s="50"/>
      <c r="F494" s="51"/>
      <c r="H494" s="51"/>
      <c r="I494" s="81"/>
      <c r="K494" s="81"/>
      <c r="L494" s="81"/>
      <c r="M494" s="81"/>
      <c r="N494" s="49"/>
      <c r="Q494" s="86"/>
      <c r="R494" s="86"/>
    </row>
    <row r="495" spans="1:18" s="44" customFormat="1" ht="12.75" x14ac:dyDescent="0.2">
      <c r="A495" s="48"/>
      <c r="D495" s="49"/>
      <c r="E495" s="50"/>
      <c r="F495" s="51"/>
      <c r="H495" s="51"/>
      <c r="I495" s="81"/>
      <c r="K495" s="81"/>
      <c r="L495" s="81"/>
      <c r="M495" s="81"/>
      <c r="N495" s="49"/>
      <c r="Q495" s="86"/>
      <c r="R495" s="86"/>
    </row>
    <row r="496" spans="1:18" s="44" customFormat="1" ht="12.75" x14ac:dyDescent="0.2">
      <c r="A496" s="48"/>
      <c r="D496" s="49"/>
      <c r="E496" s="50"/>
      <c r="F496" s="51"/>
      <c r="H496" s="51"/>
      <c r="I496" s="81"/>
      <c r="K496" s="81"/>
      <c r="L496" s="81"/>
      <c r="M496" s="81"/>
      <c r="N496" s="49"/>
      <c r="Q496" s="86"/>
      <c r="R496" s="86"/>
    </row>
    <row r="497" spans="1:18" s="44" customFormat="1" ht="12.75" x14ac:dyDescent="0.2">
      <c r="A497" s="48"/>
      <c r="D497" s="49"/>
      <c r="E497" s="50"/>
      <c r="F497" s="51"/>
      <c r="H497" s="51"/>
      <c r="I497" s="81"/>
      <c r="K497" s="81"/>
      <c r="L497" s="81"/>
      <c r="M497" s="81"/>
      <c r="N497" s="49"/>
      <c r="Q497" s="86"/>
      <c r="R497" s="86"/>
    </row>
    <row r="498" spans="1:18" s="44" customFormat="1" ht="12.75" x14ac:dyDescent="0.2">
      <c r="A498" s="48"/>
      <c r="D498" s="49"/>
      <c r="E498" s="50"/>
      <c r="F498" s="51"/>
      <c r="H498" s="51"/>
      <c r="I498" s="81"/>
      <c r="K498" s="81"/>
      <c r="L498" s="81"/>
      <c r="M498" s="81"/>
      <c r="N498" s="49"/>
      <c r="Q498" s="86"/>
      <c r="R498" s="86"/>
    </row>
    <row r="499" spans="1:18" s="44" customFormat="1" ht="12.75" x14ac:dyDescent="0.2">
      <c r="A499" s="48"/>
      <c r="D499" s="49"/>
      <c r="E499" s="50"/>
      <c r="F499" s="51"/>
      <c r="H499" s="51"/>
      <c r="I499" s="81"/>
      <c r="K499" s="81"/>
      <c r="L499" s="81"/>
      <c r="M499" s="81"/>
      <c r="N499" s="49"/>
      <c r="Q499" s="86"/>
      <c r="R499" s="86"/>
    </row>
    <row r="500" spans="1:18" s="44" customFormat="1" ht="12.75" x14ac:dyDescent="0.2">
      <c r="A500" s="48"/>
      <c r="D500" s="49"/>
      <c r="E500" s="50"/>
      <c r="F500" s="51"/>
      <c r="H500" s="51"/>
      <c r="I500" s="81"/>
      <c r="K500" s="81"/>
      <c r="L500" s="81"/>
      <c r="M500" s="81"/>
      <c r="N500" s="49"/>
      <c r="Q500" s="86"/>
      <c r="R500" s="86"/>
    </row>
    <row r="501" spans="1:18" s="44" customFormat="1" ht="12.75" x14ac:dyDescent="0.2">
      <c r="A501" s="48"/>
      <c r="D501" s="49"/>
      <c r="E501" s="50"/>
      <c r="F501" s="51"/>
      <c r="H501" s="51"/>
      <c r="I501" s="81"/>
      <c r="K501" s="81"/>
      <c r="L501" s="81"/>
      <c r="M501" s="81"/>
      <c r="N501" s="49"/>
      <c r="Q501" s="86"/>
      <c r="R501" s="86"/>
    </row>
    <row r="502" spans="1:18" s="44" customFormat="1" ht="12.75" x14ac:dyDescent="0.2">
      <c r="A502" s="48"/>
      <c r="D502" s="49"/>
      <c r="E502" s="50"/>
      <c r="F502" s="51"/>
      <c r="H502" s="51"/>
      <c r="I502" s="81"/>
      <c r="K502" s="81"/>
      <c r="L502" s="81"/>
      <c r="M502" s="81"/>
      <c r="N502" s="49"/>
      <c r="Q502" s="86"/>
      <c r="R502" s="86"/>
    </row>
    <row r="503" spans="1:18" s="44" customFormat="1" ht="12.75" x14ac:dyDescent="0.2">
      <c r="A503" s="48"/>
      <c r="D503" s="49"/>
      <c r="E503" s="50"/>
      <c r="F503" s="51"/>
      <c r="H503" s="51"/>
      <c r="I503" s="81"/>
      <c r="K503" s="81"/>
      <c r="L503" s="81"/>
      <c r="M503" s="81"/>
      <c r="N503" s="49"/>
      <c r="Q503" s="86"/>
      <c r="R503" s="86"/>
    </row>
    <row r="504" spans="1:18" s="44" customFormat="1" ht="12.75" x14ac:dyDescent="0.2">
      <c r="A504" s="48"/>
      <c r="D504" s="49"/>
      <c r="E504" s="50"/>
      <c r="F504" s="51"/>
      <c r="H504" s="51"/>
      <c r="I504" s="81"/>
      <c r="K504" s="81"/>
      <c r="L504" s="81"/>
      <c r="M504" s="81"/>
      <c r="N504" s="49"/>
      <c r="Q504" s="86"/>
      <c r="R504" s="86"/>
    </row>
    <row r="505" spans="1:18" s="44" customFormat="1" ht="12.75" x14ac:dyDescent="0.2">
      <c r="A505" s="48"/>
      <c r="D505" s="49"/>
      <c r="E505" s="50"/>
      <c r="F505" s="51"/>
      <c r="H505" s="51"/>
      <c r="I505" s="81"/>
      <c r="K505" s="81"/>
      <c r="L505" s="81"/>
      <c r="M505" s="81"/>
      <c r="N505" s="49"/>
      <c r="Q505" s="86"/>
      <c r="R505" s="86"/>
    </row>
    <row r="506" spans="1:18" s="44" customFormat="1" ht="12.75" x14ac:dyDescent="0.2">
      <c r="A506" s="48"/>
      <c r="D506" s="49"/>
      <c r="E506" s="50"/>
      <c r="F506" s="51"/>
      <c r="H506" s="51"/>
      <c r="I506" s="81"/>
      <c r="K506" s="81"/>
      <c r="L506" s="81"/>
      <c r="M506" s="81"/>
      <c r="N506" s="49"/>
      <c r="Q506" s="86"/>
      <c r="R506" s="86"/>
    </row>
    <row r="507" spans="1:18" s="44" customFormat="1" ht="12.75" x14ac:dyDescent="0.2">
      <c r="A507" s="48"/>
      <c r="D507" s="49"/>
      <c r="E507" s="50"/>
      <c r="F507" s="51"/>
      <c r="H507" s="51"/>
      <c r="I507" s="81"/>
      <c r="K507" s="81"/>
      <c r="L507" s="81"/>
      <c r="M507" s="81"/>
      <c r="N507" s="49"/>
      <c r="Q507" s="86"/>
      <c r="R507" s="86"/>
    </row>
    <row r="508" spans="1:18" s="44" customFormat="1" ht="12.75" x14ac:dyDescent="0.2">
      <c r="A508" s="48"/>
      <c r="D508" s="49"/>
      <c r="E508" s="50"/>
      <c r="F508" s="51"/>
      <c r="H508" s="51"/>
      <c r="I508" s="81"/>
      <c r="K508" s="81"/>
      <c r="L508" s="81"/>
      <c r="M508" s="81"/>
      <c r="N508" s="49"/>
      <c r="Q508" s="86"/>
      <c r="R508" s="86"/>
    </row>
    <row r="509" spans="1:18" s="44" customFormat="1" ht="12.75" x14ac:dyDescent="0.2">
      <c r="A509" s="48"/>
      <c r="D509" s="49"/>
      <c r="E509" s="50"/>
      <c r="F509" s="51"/>
      <c r="H509" s="51"/>
      <c r="I509" s="81"/>
      <c r="K509" s="81"/>
      <c r="L509" s="81"/>
      <c r="M509" s="81"/>
      <c r="N509" s="49"/>
      <c r="Q509" s="86"/>
      <c r="R509" s="86"/>
    </row>
    <row r="510" spans="1:18" s="44" customFormat="1" ht="12.75" x14ac:dyDescent="0.2">
      <c r="A510" s="48"/>
      <c r="D510" s="49"/>
      <c r="E510" s="50"/>
      <c r="F510" s="51"/>
      <c r="H510" s="51"/>
      <c r="I510" s="81"/>
      <c r="K510" s="81"/>
      <c r="L510" s="81"/>
      <c r="M510" s="81"/>
      <c r="N510" s="49"/>
      <c r="Q510" s="86"/>
      <c r="R510" s="86"/>
    </row>
    <row r="511" spans="1:18" s="44" customFormat="1" ht="12.75" x14ac:dyDescent="0.2">
      <c r="A511" s="48"/>
      <c r="D511" s="49"/>
      <c r="E511" s="50"/>
      <c r="F511" s="51"/>
      <c r="H511" s="51"/>
      <c r="I511" s="81"/>
      <c r="K511" s="81"/>
      <c r="L511" s="81"/>
      <c r="M511" s="81"/>
      <c r="N511" s="49"/>
      <c r="Q511" s="86"/>
      <c r="R511" s="86"/>
    </row>
    <row r="512" spans="1:18" s="44" customFormat="1" ht="12.75" x14ac:dyDescent="0.2">
      <c r="A512" s="48"/>
      <c r="D512" s="49"/>
      <c r="E512" s="50"/>
      <c r="F512" s="51"/>
      <c r="H512" s="51"/>
      <c r="I512" s="81"/>
      <c r="K512" s="81"/>
      <c r="L512" s="81"/>
      <c r="M512" s="81"/>
      <c r="N512" s="49"/>
      <c r="Q512" s="86"/>
      <c r="R512" s="86"/>
    </row>
    <row r="513" spans="1:18" s="44" customFormat="1" ht="12.75" x14ac:dyDescent="0.2">
      <c r="A513" s="48"/>
      <c r="D513" s="49"/>
      <c r="E513" s="50"/>
      <c r="F513" s="51"/>
      <c r="H513" s="51"/>
      <c r="I513" s="81"/>
      <c r="K513" s="81"/>
      <c r="L513" s="81"/>
      <c r="M513" s="81"/>
      <c r="N513" s="49"/>
      <c r="Q513" s="86"/>
      <c r="R513" s="86"/>
    </row>
    <row r="514" spans="1:18" s="44" customFormat="1" ht="12.75" x14ac:dyDescent="0.2">
      <c r="A514" s="48"/>
      <c r="D514" s="49"/>
      <c r="E514" s="50"/>
      <c r="F514" s="51"/>
      <c r="H514" s="51"/>
      <c r="I514" s="81"/>
      <c r="K514" s="81"/>
      <c r="L514" s="81"/>
      <c r="M514" s="81"/>
      <c r="N514" s="49"/>
      <c r="Q514" s="86"/>
      <c r="R514" s="86"/>
    </row>
    <row r="515" spans="1:18" s="44" customFormat="1" ht="12.75" x14ac:dyDescent="0.2">
      <c r="A515" s="48"/>
      <c r="D515" s="49"/>
      <c r="E515" s="50"/>
      <c r="F515" s="51"/>
      <c r="H515" s="51"/>
      <c r="I515" s="81"/>
      <c r="K515" s="81"/>
      <c r="L515" s="81"/>
      <c r="M515" s="81"/>
      <c r="N515" s="49"/>
      <c r="Q515" s="86"/>
      <c r="R515" s="86"/>
    </row>
    <row r="516" spans="1:18" s="44" customFormat="1" ht="12.75" x14ac:dyDescent="0.2">
      <c r="A516" s="48"/>
      <c r="D516" s="49"/>
      <c r="E516" s="50"/>
      <c r="F516" s="51"/>
      <c r="H516" s="51"/>
      <c r="I516" s="81"/>
      <c r="K516" s="81"/>
      <c r="L516" s="81"/>
      <c r="M516" s="81"/>
      <c r="N516" s="49"/>
      <c r="Q516" s="86"/>
      <c r="R516" s="86"/>
    </row>
    <row r="517" spans="1:18" s="44" customFormat="1" ht="12.75" x14ac:dyDescent="0.2">
      <c r="A517" s="48"/>
      <c r="D517" s="49"/>
      <c r="E517" s="50"/>
      <c r="F517" s="51"/>
      <c r="H517" s="51"/>
      <c r="I517" s="81"/>
      <c r="K517" s="81"/>
      <c r="L517" s="81"/>
      <c r="M517" s="81"/>
      <c r="N517" s="49"/>
      <c r="Q517" s="86"/>
      <c r="R517" s="86"/>
    </row>
    <row r="518" spans="1:18" s="44" customFormat="1" ht="12.75" x14ac:dyDescent="0.2">
      <c r="A518" s="48"/>
      <c r="D518" s="49"/>
      <c r="E518" s="50"/>
      <c r="F518" s="51"/>
      <c r="H518" s="51"/>
      <c r="I518" s="81"/>
      <c r="K518" s="81"/>
      <c r="L518" s="81"/>
      <c r="M518" s="81"/>
      <c r="N518" s="49"/>
      <c r="Q518" s="86"/>
      <c r="R518" s="86"/>
    </row>
    <row r="519" spans="1:18" s="44" customFormat="1" ht="12.75" x14ac:dyDescent="0.2">
      <c r="A519" s="48"/>
      <c r="D519" s="49"/>
      <c r="E519" s="50"/>
      <c r="F519" s="51"/>
      <c r="H519" s="51"/>
      <c r="I519" s="81"/>
      <c r="K519" s="81"/>
      <c r="L519" s="81"/>
      <c r="M519" s="81"/>
      <c r="N519" s="49"/>
      <c r="Q519" s="86"/>
      <c r="R519" s="86"/>
    </row>
    <row r="520" spans="1:18" s="44" customFormat="1" ht="12.75" x14ac:dyDescent="0.2">
      <c r="A520" s="48"/>
      <c r="D520" s="49"/>
      <c r="E520" s="50"/>
      <c r="F520" s="51"/>
      <c r="H520" s="51"/>
      <c r="I520" s="81"/>
      <c r="K520" s="81"/>
      <c r="L520" s="81"/>
      <c r="M520" s="81"/>
      <c r="N520" s="49"/>
      <c r="Q520" s="86"/>
      <c r="R520" s="86"/>
    </row>
    <row r="521" spans="1:18" s="44" customFormat="1" ht="12.75" x14ac:dyDescent="0.2">
      <c r="A521" s="48"/>
      <c r="D521" s="49"/>
      <c r="E521" s="50"/>
      <c r="F521" s="51"/>
      <c r="H521" s="51"/>
      <c r="I521" s="81"/>
      <c r="K521" s="81"/>
      <c r="L521" s="81"/>
      <c r="M521" s="81"/>
      <c r="N521" s="49"/>
      <c r="Q521" s="86"/>
      <c r="R521" s="86"/>
    </row>
    <row r="522" spans="1:18" s="44" customFormat="1" ht="12.75" x14ac:dyDescent="0.2">
      <c r="A522" s="48"/>
      <c r="D522" s="49"/>
      <c r="E522" s="50"/>
      <c r="F522" s="51"/>
      <c r="H522" s="51"/>
      <c r="I522" s="81"/>
      <c r="K522" s="81"/>
      <c r="L522" s="81"/>
      <c r="M522" s="81"/>
      <c r="N522" s="49"/>
      <c r="Q522" s="86"/>
      <c r="R522" s="86"/>
    </row>
    <row r="523" spans="1:18" s="44" customFormat="1" ht="12.75" x14ac:dyDescent="0.2">
      <c r="A523" s="48"/>
      <c r="D523" s="49"/>
      <c r="E523" s="50"/>
      <c r="F523" s="51"/>
      <c r="H523" s="51"/>
      <c r="I523" s="81"/>
      <c r="K523" s="81"/>
      <c r="L523" s="81"/>
      <c r="M523" s="81"/>
      <c r="N523" s="49"/>
      <c r="Q523" s="86"/>
      <c r="R523" s="86"/>
    </row>
    <row r="524" spans="1:18" s="44" customFormat="1" ht="12.75" x14ac:dyDescent="0.2">
      <c r="A524" s="48"/>
      <c r="D524" s="49"/>
      <c r="E524" s="50"/>
      <c r="F524" s="51"/>
      <c r="H524" s="51"/>
      <c r="I524" s="81"/>
      <c r="K524" s="81"/>
      <c r="L524" s="81"/>
      <c r="M524" s="81"/>
      <c r="N524" s="49"/>
      <c r="Q524" s="86"/>
      <c r="R524" s="86"/>
    </row>
    <row r="525" spans="1:18" s="44" customFormat="1" ht="12.75" x14ac:dyDescent="0.2">
      <c r="A525" s="48"/>
      <c r="D525" s="49"/>
      <c r="E525" s="50"/>
      <c r="F525" s="51"/>
      <c r="H525" s="51"/>
      <c r="I525" s="81"/>
      <c r="K525" s="81"/>
      <c r="L525" s="81"/>
      <c r="M525" s="81"/>
      <c r="N525" s="49"/>
      <c r="Q525" s="86"/>
      <c r="R525" s="86"/>
    </row>
    <row r="526" spans="1:18" s="44" customFormat="1" ht="12.75" x14ac:dyDescent="0.2">
      <c r="A526" s="48"/>
      <c r="D526" s="49"/>
      <c r="E526" s="50"/>
      <c r="F526" s="51"/>
      <c r="H526" s="51"/>
      <c r="I526" s="81"/>
      <c r="K526" s="81"/>
      <c r="L526" s="81"/>
      <c r="M526" s="81"/>
      <c r="N526" s="49"/>
      <c r="Q526" s="86"/>
      <c r="R526" s="86"/>
    </row>
    <row r="527" spans="1:18" s="44" customFormat="1" ht="12.75" x14ac:dyDescent="0.2">
      <c r="A527" s="48"/>
      <c r="D527" s="49"/>
      <c r="E527" s="50"/>
      <c r="F527" s="51"/>
      <c r="H527" s="51"/>
      <c r="I527" s="81"/>
      <c r="K527" s="81"/>
      <c r="L527" s="81"/>
      <c r="M527" s="81"/>
      <c r="N527" s="49"/>
      <c r="Q527" s="86"/>
      <c r="R527" s="86"/>
    </row>
    <row r="528" spans="1:18" s="44" customFormat="1" ht="12.75" x14ac:dyDescent="0.2">
      <c r="A528" s="48"/>
      <c r="D528" s="49"/>
      <c r="E528" s="50"/>
      <c r="F528" s="51"/>
      <c r="H528" s="51"/>
      <c r="I528" s="81"/>
      <c r="K528" s="81"/>
      <c r="L528" s="81"/>
      <c r="M528" s="81"/>
      <c r="N528" s="49"/>
      <c r="Q528" s="86"/>
      <c r="R528" s="86"/>
    </row>
    <row r="529" spans="1:18" s="44" customFormat="1" ht="12.75" x14ac:dyDescent="0.2">
      <c r="A529" s="48"/>
      <c r="D529" s="49"/>
      <c r="E529" s="50"/>
      <c r="F529" s="51"/>
      <c r="H529" s="51"/>
      <c r="I529" s="81"/>
      <c r="K529" s="81"/>
      <c r="L529" s="81"/>
      <c r="M529" s="81"/>
      <c r="N529" s="49"/>
      <c r="Q529" s="86"/>
      <c r="R529" s="86"/>
    </row>
    <row r="530" spans="1:18" s="44" customFormat="1" ht="12.75" x14ac:dyDescent="0.2">
      <c r="A530" s="48"/>
      <c r="D530" s="49"/>
      <c r="E530" s="50"/>
      <c r="F530" s="51"/>
      <c r="H530" s="51"/>
      <c r="I530" s="81"/>
      <c r="K530" s="81"/>
      <c r="L530" s="81"/>
      <c r="M530" s="81"/>
      <c r="N530" s="49"/>
      <c r="Q530" s="86"/>
      <c r="R530" s="86"/>
    </row>
    <row r="531" spans="1:18" s="44" customFormat="1" ht="12.75" x14ac:dyDescent="0.2">
      <c r="A531" s="48"/>
      <c r="D531" s="49"/>
      <c r="E531" s="50"/>
      <c r="F531" s="51"/>
      <c r="H531" s="51"/>
      <c r="I531" s="81"/>
      <c r="K531" s="81"/>
      <c r="L531" s="81"/>
      <c r="M531" s="81"/>
      <c r="N531" s="49"/>
      <c r="Q531" s="86"/>
      <c r="R531" s="86"/>
    </row>
    <row r="532" spans="1:18" s="44" customFormat="1" ht="12.75" x14ac:dyDescent="0.2">
      <c r="A532" s="48"/>
      <c r="D532" s="49"/>
      <c r="E532" s="50"/>
      <c r="F532" s="51"/>
      <c r="H532" s="51"/>
      <c r="I532" s="81"/>
      <c r="K532" s="81"/>
      <c r="L532" s="81"/>
      <c r="M532" s="81"/>
      <c r="N532" s="49"/>
      <c r="Q532" s="86"/>
      <c r="R532" s="86"/>
    </row>
    <row r="533" spans="1:18" s="44" customFormat="1" ht="12.75" x14ac:dyDescent="0.2">
      <c r="A533" s="48"/>
      <c r="D533" s="49"/>
      <c r="E533" s="50"/>
      <c r="F533" s="51"/>
      <c r="H533" s="51"/>
      <c r="I533" s="81"/>
      <c r="K533" s="81"/>
      <c r="L533" s="81"/>
      <c r="M533" s="81"/>
      <c r="N533" s="49"/>
      <c r="Q533" s="86"/>
      <c r="R533" s="86"/>
    </row>
    <row r="534" spans="1:18" s="44" customFormat="1" ht="12.75" x14ac:dyDescent="0.2">
      <c r="A534" s="48"/>
      <c r="D534" s="49"/>
      <c r="E534" s="50"/>
      <c r="F534" s="51"/>
      <c r="H534" s="51"/>
      <c r="I534" s="81"/>
      <c r="K534" s="81"/>
      <c r="L534" s="81"/>
      <c r="M534" s="81"/>
      <c r="N534" s="49"/>
      <c r="Q534" s="86"/>
      <c r="R534" s="86"/>
    </row>
    <row r="535" spans="1:18" s="44" customFormat="1" ht="12.75" x14ac:dyDescent="0.2">
      <c r="A535" s="48"/>
      <c r="D535" s="49"/>
      <c r="E535" s="50"/>
      <c r="F535" s="51"/>
      <c r="H535" s="51"/>
      <c r="I535" s="81"/>
      <c r="K535" s="81"/>
      <c r="L535" s="81"/>
      <c r="M535" s="81"/>
      <c r="N535" s="49"/>
      <c r="Q535" s="86"/>
      <c r="R535" s="86"/>
    </row>
    <row r="536" spans="1:18" s="44" customFormat="1" ht="12.75" x14ac:dyDescent="0.2">
      <c r="A536" s="48"/>
      <c r="D536" s="49"/>
      <c r="E536" s="50"/>
      <c r="F536" s="51"/>
      <c r="H536" s="51"/>
      <c r="I536" s="81"/>
      <c r="K536" s="81"/>
      <c r="L536" s="81"/>
      <c r="M536" s="81"/>
      <c r="N536" s="49"/>
      <c r="Q536" s="86"/>
      <c r="R536" s="86"/>
    </row>
    <row r="537" spans="1:18" s="44" customFormat="1" ht="12.75" x14ac:dyDescent="0.2">
      <c r="A537" s="48"/>
      <c r="D537" s="49"/>
      <c r="E537" s="50"/>
      <c r="F537" s="51"/>
      <c r="H537" s="51"/>
      <c r="I537" s="81"/>
      <c r="K537" s="81"/>
      <c r="L537" s="81"/>
      <c r="M537" s="81"/>
      <c r="N537" s="49"/>
      <c r="Q537" s="86"/>
      <c r="R537" s="86"/>
    </row>
    <row r="538" spans="1:18" s="44" customFormat="1" ht="12.75" x14ac:dyDescent="0.2">
      <c r="A538" s="48"/>
      <c r="D538" s="49"/>
      <c r="E538" s="50"/>
      <c r="F538" s="51"/>
      <c r="H538" s="51"/>
      <c r="I538" s="81"/>
      <c r="K538" s="81"/>
      <c r="L538" s="81"/>
      <c r="M538" s="81"/>
      <c r="N538" s="49"/>
      <c r="Q538" s="86"/>
      <c r="R538" s="86"/>
    </row>
    <row r="539" spans="1:18" s="44" customFormat="1" ht="12.75" x14ac:dyDescent="0.2">
      <c r="A539" s="48"/>
      <c r="D539" s="49"/>
      <c r="E539" s="50"/>
      <c r="F539" s="51"/>
      <c r="H539" s="51"/>
      <c r="I539" s="81"/>
      <c r="K539" s="81"/>
      <c r="L539" s="81"/>
      <c r="M539" s="81"/>
      <c r="N539" s="49"/>
      <c r="Q539" s="86"/>
      <c r="R539" s="86"/>
    </row>
    <row r="540" spans="1:18" s="44" customFormat="1" ht="12.75" x14ac:dyDescent="0.2">
      <c r="A540" s="48"/>
      <c r="D540" s="49"/>
      <c r="E540" s="50"/>
      <c r="F540" s="51"/>
      <c r="H540" s="51"/>
      <c r="I540" s="81"/>
      <c r="K540" s="81"/>
      <c r="L540" s="81"/>
      <c r="M540" s="81"/>
      <c r="N540" s="49"/>
      <c r="Q540" s="86"/>
      <c r="R540" s="86"/>
    </row>
    <row r="541" spans="1:18" s="44" customFormat="1" ht="12.75" x14ac:dyDescent="0.2">
      <c r="A541" s="48"/>
      <c r="D541" s="49"/>
      <c r="E541" s="50"/>
      <c r="F541" s="51"/>
      <c r="H541" s="51"/>
      <c r="I541" s="81"/>
      <c r="K541" s="81"/>
      <c r="L541" s="81"/>
      <c r="M541" s="81"/>
      <c r="N541" s="49"/>
      <c r="Q541" s="86"/>
      <c r="R541" s="86"/>
    </row>
    <row r="542" spans="1:18" s="44" customFormat="1" ht="12.75" x14ac:dyDescent="0.2">
      <c r="A542" s="48"/>
      <c r="D542" s="49"/>
      <c r="E542" s="50"/>
      <c r="F542" s="51"/>
      <c r="H542" s="51"/>
      <c r="I542" s="81"/>
      <c r="K542" s="81"/>
      <c r="L542" s="81"/>
      <c r="M542" s="81"/>
      <c r="N542" s="49"/>
      <c r="Q542" s="86"/>
      <c r="R542" s="86"/>
    </row>
    <row r="543" spans="1:18" s="44" customFormat="1" ht="12.75" x14ac:dyDescent="0.2">
      <c r="A543" s="48"/>
      <c r="D543" s="49"/>
      <c r="E543" s="50"/>
      <c r="F543" s="51"/>
      <c r="H543" s="51"/>
      <c r="I543" s="81"/>
      <c r="K543" s="81"/>
      <c r="L543" s="81"/>
      <c r="M543" s="81"/>
      <c r="N543" s="49"/>
      <c r="Q543" s="86"/>
      <c r="R543" s="86"/>
    </row>
    <row r="544" spans="1:18" s="44" customFormat="1" ht="12.75" x14ac:dyDescent="0.2">
      <c r="A544" s="48"/>
      <c r="D544" s="49"/>
      <c r="E544" s="50"/>
      <c r="F544" s="51"/>
      <c r="H544" s="51"/>
      <c r="I544" s="81"/>
      <c r="K544" s="81"/>
      <c r="L544" s="81"/>
      <c r="M544" s="81"/>
      <c r="N544" s="49"/>
      <c r="Q544" s="86"/>
      <c r="R544" s="86"/>
    </row>
    <row r="545" spans="1:18" s="44" customFormat="1" ht="12.75" x14ac:dyDescent="0.2">
      <c r="A545" s="48"/>
      <c r="D545" s="49"/>
      <c r="E545" s="50"/>
      <c r="F545" s="51"/>
      <c r="H545" s="51"/>
      <c r="I545" s="81"/>
      <c r="K545" s="81"/>
      <c r="L545" s="81"/>
      <c r="M545" s="81"/>
      <c r="N545" s="49"/>
      <c r="Q545" s="86"/>
      <c r="R545" s="86"/>
    </row>
    <row r="546" spans="1:18" s="44" customFormat="1" ht="12.75" x14ac:dyDescent="0.2">
      <c r="A546" s="48"/>
      <c r="D546" s="49"/>
      <c r="E546" s="50"/>
      <c r="F546" s="51"/>
      <c r="H546" s="51"/>
      <c r="I546" s="81"/>
      <c r="K546" s="81"/>
      <c r="L546" s="81"/>
      <c r="M546" s="81"/>
      <c r="N546" s="49"/>
      <c r="Q546" s="86"/>
      <c r="R546" s="86"/>
    </row>
    <row r="547" spans="1:18" s="44" customFormat="1" ht="12.75" x14ac:dyDescent="0.2">
      <c r="A547" s="48"/>
      <c r="D547" s="49"/>
      <c r="E547" s="50"/>
      <c r="F547" s="51"/>
      <c r="H547" s="51"/>
      <c r="I547" s="81"/>
      <c r="K547" s="81"/>
      <c r="L547" s="81"/>
      <c r="M547" s="81"/>
      <c r="N547" s="49"/>
      <c r="Q547" s="86"/>
      <c r="R547" s="86"/>
    </row>
    <row r="548" spans="1:18" s="44" customFormat="1" ht="12.75" x14ac:dyDescent="0.2">
      <c r="A548" s="48"/>
      <c r="D548" s="49"/>
      <c r="E548" s="50"/>
      <c r="F548" s="51"/>
      <c r="H548" s="51"/>
      <c r="I548" s="81"/>
      <c r="K548" s="81"/>
      <c r="L548" s="81"/>
      <c r="M548" s="81"/>
      <c r="N548" s="49"/>
      <c r="Q548" s="86"/>
      <c r="R548" s="86"/>
    </row>
    <row r="549" spans="1:18" s="44" customFormat="1" ht="12.75" x14ac:dyDescent="0.2">
      <c r="A549" s="48"/>
      <c r="D549" s="49"/>
      <c r="E549" s="50"/>
      <c r="F549" s="51"/>
      <c r="H549" s="51"/>
      <c r="I549" s="81"/>
      <c r="K549" s="81"/>
      <c r="L549" s="81"/>
      <c r="M549" s="81"/>
      <c r="N549" s="49"/>
      <c r="Q549" s="86"/>
      <c r="R549" s="86"/>
    </row>
    <row r="550" spans="1:18" s="44" customFormat="1" ht="12.75" x14ac:dyDescent="0.2">
      <c r="A550" s="48"/>
      <c r="D550" s="49"/>
      <c r="E550" s="50"/>
      <c r="F550" s="51"/>
      <c r="H550" s="51"/>
      <c r="I550" s="81"/>
      <c r="K550" s="81"/>
      <c r="L550" s="81"/>
      <c r="M550" s="81"/>
      <c r="N550" s="49"/>
      <c r="Q550" s="86"/>
      <c r="R550" s="86"/>
    </row>
    <row r="551" spans="1:18" s="44" customFormat="1" ht="12.75" x14ac:dyDescent="0.2">
      <c r="A551" s="48"/>
      <c r="D551" s="49"/>
      <c r="E551" s="50"/>
      <c r="F551" s="51"/>
      <c r="H551" s="51"/>
      <c r="I551" s="81"/>
      <c r="K551" s="81"/>
      <c r="L551" s="81"/>
      <c r="M551" s="81"/>
      <c r="N551" s="49"/>
      <c r="Q551" s="86"/>
      <c r="R551" s="86"/>
    </row>
    <row r="552" spans="1:18" s="44" customFormat="1" ht="12.75" x14ac:dyDescent="0.2">
      <c r="A552" s="48"/>
      <c r="D552" s="49"/>
      <c r="E552" s="50"/>
      <c r="F552" s="51"/>
      <c r="H552" s="51"/>
      <c r="I552" s="81"/>
      <c r="K552" s="81"/>
      <c r="L552" s="81"/>
      <c r="M552" s="81"/>
      <c r="N552" s="49"/>
      <c r="Q552" s="86"/>
      <c r="R552" s="86"/>
    </row>
    <row r="553" spans="1:18" s="44" customFormat="1" ht="12.75" x14ac:dyDescent="0.2">
      <c r="A553" s="48"/>
      <c r="D553" s="49"/>
      <c r="E553" s="50"/>
      <c r="F553" s="51"/>
      <c r="H553" s="51"/>
      <c r="I553" s="81"/>
      <c r="K553" s="81"/>
      <c r="L553" s="81"/>
      <c r="M553" s="81"/>
      <c r="N553" s="49"/>
      <c r="Q553" s="86"/>
      <c r="R553" s="86"/>
    </row>
    <row r="554" spans="1:18" s="44" customFormat="1" ht="12.75" x14ac:dyDescent="0.2">
      <c r="A554" s="48"/>
      <c r="D554" s="49"/>
      <c r="E554" s="50"/>
      <c r="F554" s="51"/>
      <c r="H554" s="51"/>
      <c r="I554" s="81"/>
      <c r="K554" s="81"/>
      <c r="L554" s="81"/>
      <c r="M554" s="81"/>
      <c r="N554" s="49"/>
      <c r="Q554" s="86"/>
      <c r="R554" s="86"/>
    </row>
    <row r="555" spans="1:18" s="44" customFormat="1" ht="12.75" x14ac:dyDescent="0.2">
      <c r="A555" s="48"/>
      <c r="D555" s="49"/>
      <c r="E555" s="50"/>
      <c r="F555" s="51"/>
      <c r="H555" s="51"/>
      <c r="I555" s="81"/>
      <c r="K555" s="81"/>
      <c r="L555" s="81"/>
      <c r="M555" s="81"/>
      <c r="N555" s="49"/>
      <c r="Q555" s="86"/>
      <c r="R555" s="86"/>
    </row>
    <row r="556" spans="1:18" s="44" customFormat="1" ht="12.75" x14ac:dyDescent="0.2">
      <c r="A556" s="48"/>
      <c r="D556" s="49"/>
      <c r="E556" s="50"/>
      <c r="F556" s="51"/>
      <c r="H556" s="51"/>
      <c r="I556" s="81"/>
      <c r="K556" s="81"/>
      <c r="L556" s="81"/>
      <c r="M556" s="81"/>
      <c r="N556" s="49"/>
      <c r="Q556" s="86"/>
      <c r="R556" s="86"/>
    </row>
    <row r="557" spans="1:18" s="44" customFormat="1" ht="12.75" x14ac:dyDescent="0.2">
      <c r="A557" s="48"/>
      <c r="D557" s="49"/>
      <c r="E557" s="50"/>
      <c r="F557" s="51"/>
      <c r="H557" s="51"/>
      <c r="I557" s="81"/>
      <c r="K557" s="81"/>
      <c r="L557" s="81"/>
      <c r="M557" s="81"/>
      <c r="N557" s="49"/>
      <c r="Q557" s="86"/>
      <c r="R557" s="86"/>
    </row>
    <row r="558" spans="1:18" s="44" customFormat="1" ht="12.75" x14ac:dyDescent="0.2">
      <c r="A558" s="48"/>
      <c r="D558" s="49"/>
      <c r="E558" s="50"/>
      <c r="F558" s="51"/>
      <c r="H558" s="51"/>
      <c r="I558" s="81"/>
      <c r="K558" s="81"/>
      <c r="L558" s="81"/>
      <c r="M558" s="81"/>
      <c r="N558" s="49"/>
      <c r="Q558" s="86"/>
      <c r="R558" s="86"/>
    </row>
    <row r="559" spans="1:18" s="44" customFormat="1" ht="12.75" x14ac:dyDescent="0.2">
      <c r="A559" s="48"/>
      <c r="D559" s="49"/>
      <c r="E559" s="50"/>
      <c r="F559" s="51"/>
      <c r="H559" s="51"/>
      <c r="I559" s="81"/>
      <c r="K559" s="81"/>
      <c r="L559" s="81"/>
      <c r="M559" s="81"/>
      <c r="N559" s="49"/>
      <c r="Q559" s="86"/>
      <c r="R559" s="86"/>
    </row>
    <row r="560" spans="1:18" s="44" customFormat="1" ht="12.75" x14ac:dyDescent="0.2">
      <c r="A560" s="48"/>
      <c r="D560" s="49"/>
      <c r="E560" s="50"/>
      <c r="F560" s="51"/>
      <c r="H560" s="51"/>
      <c r="I560" s="81"/>
      <c r="K560" s="81"/>
      <c r="L560" s="81"/>
      <c r="M560" s="81"/>
      <c r="N560" s="49"/>
      <c r="Q560" s="86"/>
      <c r="R560" s="86"/>
    </row>
    <row r="561" spans="1:18" s="44" customFormat="1" ht="12.75" x14ac:dyDescent="0.2">
      <c r="A561" s="48"/>
      <c r="D561" s="49"/>
      <c r="E561" s="50"/>
      <c r="F561" s="51"/>
      <c r="H561" s="51"/>
      <c r="I561" s="81"/>
      <c r="K561" s="81"/>
      <c r="L561" s="81"/>
      <c r="M561" s="81"/>
      <c r="N561" s="49"/>
      <c r="Q561" s="86"/>
      <c r="R561" s="86"/>
    </row>
    <row r="562" spans="1:18" s="44" customFormat="1" ht="12.75" x14ac:dyDescent="0.2">
      <c r="A562" s="48"/>
      <c r="D562" s="49"/>
      <c r="E562" s="50"/>
      <c r="F562" s="51"/>
      <c r="H562" s="51"/>
      <c r="I562" s="81"/>
      <c r="K562" s="81"/>
      <c r="L562" s="81"/>
      <c r="M562" s="81"/>
      <c r="N562" s="49"/>
      <c r="Q562" s="86"/>
      <c r="R562" s="86"/>
    </row>
    <row r="563" spans="1:18" s="44" customFormat="1" ht="12.75" x14ac:dyDescent="0.2">
      <c r="A563" s="48"/>
      <c r="D563" s="49"/>
      <c r="E563" s="50"/>
      <c r="F563" s="51"/>
      <c r="H563" s="51"/>
      <c r="I563" s="81"/>
      <c r="K563" s="81"/>
      <c r="L563" s="81"/>
      <c r="M563" s="81"/>
      <c r="N563" s="49"/>
      <c r="Q563" s="86"/>
      <c r="R563" s="86"/>
    </row>
    <row r="564" spans="1:18" s="44" customFormat="1" ht="12.75" x14ac:dyDescent="0.2">
      <c r="A564" s="48"/>
      <c r="D564" s="49"/>
      <c r="E564" s="50"/>
      <c r="F564" s="51"/>
      <c r="H564" s="51"/>
      <c r="I564" s="81"/>
      <c r="K564" s="81"/>
      <c r="L564" s="81"/>
      <c r="M564" s="81"/>
      <c r="N564" s="49"/>
      <c r="Q564" s="86"/>
      <c r="R564" s="86"/>
    </row>
    <row r="565" spans="1:18" s="44" customFormat="1" ht="12.75" x14ac:dyDescent="0.2">
      <c r="A565" s="48"/>
      <c r="D565" s="49"/>
      <c r="E565" s="50"/>
      <c r="F565" s="51"/>
      <c r="H565" s="51"/>
      <c r="I565" s="81"/>
      <c r="K565" s="81"/>
      <c r="L565" s="81"/>
      <c r="M565" s="81"/>
      <c r="N565" s="49"/>
      <c r="Q565" s="86"/>
      <c r="R565" s="86"/>
    </row>
    <row r="566" spans="1:18" s="44" customFormat="1" ht="12.75" x14ac:dyDescent="0.2">
      <c r="A566" s="48"/>
      <c r="D566" s="49"/>
      <c r="E566" s="50"/>
      <c r="F566" s="51"/>
      <c r="H566" s="51"/>
      <c r="I566" s="81"/>
      <c r="K566" s="81"/>
      <c r="L566" s="81"/>
      <c r="M566" s="81"/>
      <c r="N566" s="49"/>
      <c r="Q566" s="86"/>
      <c r="R566" s="86"/>
    </row>
    <row r="567" spans="1:18" s="44" customFormat="1" ht="12.75" x14ac:dyDescent="0.2">
      <c r="A567" s="48"/>
      <c r="D567" s="49"/>
      <c r="E567" s="50"/>
      <c r="F567" s="51"/>
      <c r="H567" s="51"/>
      <c r="I567" s="81"/>
      <c r="K567" s="81"/>
      <c r="L567" s="81"/>
      <c r="M567" s="81"/>
      <c r="N567" s="49"/>
      <c r="Q567" s="86"/>
      <c r="R567" s="86"/>
    </row>
    <row r="568" spans="1:18" s="44" customFormat="1" ht="12.75" x14ac:dyDescent="0.2">
      <c r="A568" s="48"/>
      <c r="D568" s="49"/>
      <c r="E568" s="50"/>
      <c r="F568" s="51"/>
      <c r="H568" s="51"/>
      <c r="I568" s="81"/>
      <c r="K568" s="81"/>
      <c r="L568" s="81"/>
      <c r="M568" s="81"/>
      <c r="N568" s="49"/>
      <c r="Q568" s="86"/>
      <c r="R568" s="86"/>
    </row>
    <row r="569" spans="1:18" s="44" customFormat="1" ht="12.75" x14ac:dyDescent="0.2">
      <c r="A569" s="48"/>
      <c r="D569" s="49"/>
      <c r="E569" s="50"/>
      <c r="F569" s="51"/>
      <c r="H569" s="51"/>
      <c r="I569" s="81"/>
      <c r="K569" s="81"/>
      <c r="L569" s="81"/>
      <c r="M569" s="81"/>
      <c r="N569" s="49"/>
      <c r="Q569" s="86"/>
      <c r="R569" s="86"/>
    </row>
    <row r="570" spans="1:18" s="44" customFormat="1" ht="12.75" x14ac:dyDescent="0.2">
      <c r="A570" s="48"/>
      <c r="D570" s="49"/>
      <c r="E570" s="50"/>
      <c r="F570" s="51"/>
      <c r="H570" s="51"/>
      <c r="I570" s="81"/>
      <c r="K570" s="81"/>
      <c r="L570" s="81"/>
      <c r="M570" s="81"/>
      <c r="N570" s="49"/>
      <c r="Q570" s="86"/>
      <c r="R570" s="86"/>
    </row>
    <row r="571" spans="1:18" s="44" customFormat="1" ht="12.75" x14ac:dyDescent="0.2">
      <c r="A571" s="48"/>
      <c r="D571" s="49"/>
      <c r="E571" s="50"/>
      <c r="F571" s="51"/>
      <c r="H571" s="51"/>
      <c r="I571" s="81"/>
      <c r="K571" s="81"/>
      <c r="L571" s="81"/>
      <c r="M571" s="81"/>
      <c r="N571" s="49"/>
      <c r="Q571" s="86"/>
      <c r="R571" s="86"/>
    </row>
    <row r="572" spans="1:18" s="44" customFormat="1" ht="12.75" x14ac:dyDescent="0.2">
      <c r="A572" s="48"/>
      <c r="D572" s="49"/>
      <c r="E572" s="50"/>
      <c r="F572" s="51"/>
      <c r="H572" s="51"/>
      <c r="I572" s="81"/>
      <c r="K572" s="81"/>
      <c r="L572" s="81"/>
      <c r="M572" s="81"/>
      <c r="N572" s="49"/>
      <c r="Q572" s="86"/>
      <c r="R572" s="86"/>
    </row>
    <row r="573" spans="1:18" s="44" customFormat="1" ht="12.75" x14ac:dyDescent="0.2">
      <c r="A573" s="48"/>
      <c r="D573" s="49"/>
      <c r="E573" s="50"/>
      <c r="F573" s="51"/>
      <c r="H573" s="51"/>
      <c r="I573" s="81"/>
      <c r="K573" s="81"/>
      <c r="L573" s="81"/>
      <c r="M573" s="81"/>
      <c r="N573" s="49"/>
      <c r="Q573" s="86"/>
      <c r="R573" s="86"/>
    </row>
    <row r="574" spans="1:18" s="44" customFormat="1" ht="12.75" x14ac:dyDescent="0.2">
      <c r="A574" s="48"/>
      <c r="D574" s="49"/>
      <c r="E574" s="50"/>
      <c r="F574" s="51"/>
      <c r="H574" s="51"/>
      <c r="I574" s="81"/>
      <c r="K574" s="81"/>
      <c r="L574" s="81"/>
      <c r="M574" s="81"/>
      <c r="N574" s="49"/>
      <c r="Q574" s="86"/>
      <c r="R574" s="86"/>
    </row>
    <row r="575" spans="1:18" s="44" customFormat="1" ht="12.75" x14ac:dyDescent="0.2">
      <c r="A575" s="48"/>
      <c r="D575" s="49"/>
      <c r="E575" s="50"/>
      <c r="F575" s="51"/>
      <c r="H575" s="51"/>
      <c r="I575" s="81"/>
      <c r="K575" s="81"/>
      <c r="L575" s="81"/>
      <c r="M575" s="81"/>
      <c r="N575" s="49"/>
      <c r="Q575" s="86"/>
      <c r="R575" s="86"/>
    </row>
    <row r="576" spans="1:18" s="44" customFormat="1" ht="12.75" x14ac:dyDescent="0.2">
      <c r="A576" s="48"/>
      <c r="D576" s="49"/>
      <c r="E576" s="50"/>
      <c r="F576" s="51"/>
      <c r="H576" s="51"/>
      <c r="I576" s="81"/>
      <c r="K576" s="81"/>
      <c r="L576" s="81"/>
      <c r="M576" s="81"/>
      <c r="N576" s="49"/>
      <c r="Q576" s="86"/>
      <c r="R576" s="86"/>
    </row>
    <row r="577" spans="1:18" s="44" customFormat="1" ht="12.75" x14ac:dyDescent="0.2">
      <c r="A577" s="48"/>
      <c r="D577" s="49"/>
      <c r="E577" s="50"/>
      <c r="F577" s="51"/>
      <c r="H577" s="51"/>
      <c r="I577" s="81"/>
      <c r="K577" s="81"/>
      <c r="L577" s="81"/>
      <c r="M577" s="81"/>
      <c r="N577" s="49"/>
      <c r="Q577" s="86"/>
      <c r="R577" s="86"/>
    </row>
    <row r="578" spans="1:18" s="44" customFormat="1" ht="12.75" x14ac:dyDescent="0.2">
      <c r="A578" s="48"/>
      <c r="D578" s="49"/>
      <c r="E578" s="50"/>
      <c r="F578" s="51"/>
      <c r="H578" s="51"/>
      <c r="I578" s="81"/>
      <c r="K578" s="81"/>
      <c r="L578" s="81"/>
      <c r="M578" s="81"/>
      <c r="N578" s="49"/>
      <c r="Q578" s="86"/>
      <c r="R578" s="86"/>
    </row>
    <row r="579" spans="1:18" s="44" customFormat="1" ht="12.75" x14ac:dyDescent="0.2">
      <c r="A579" s="48"/>
      <c r="D579" s="49"/>
      <c r="E579" s="50"/>
      <c r="F579" s="51"/>
      <c r="H579" s="51"/>
      <c r="I579" s="81"/>
      <c r="K579" s="81"/>
      <c r="L579" s="81"/>
      <c r="M579" s="81"/>
      <c r="N579" s="49"/>
      <c r="Q579" s="86"/>
      <c r="R579" s="86"/>
    </row>
    <row r="580" spans="1:18" s="44" customFormat="1" ht="12.75" x14ac:dyDescent="0.2">
      <c r="A580" s="48"/>
      <c r="D580" s="49"/>
      <c r="E580" s="50"/>
      <c r="F580" s="51"/>
      <c r="H580" s="51"/>
      <c r="I580" s="81"/>
      <c r="K580" s="81"/>
      <c r="L580" s="81"/>
      <c r="M580" s="81"/>
      <c r="N580" s="49"/>
      <c r="Q580" s="86"/>
      <c r="R580" s="86"/>
    </row>
    <row r="581" spans="1:18" s="44" customFormat="1" ht="12.75" x14ac:dyDescent="0.2">
      <c r="A581" s="48"/>
      <c r="D581" s="49"/>
      <c r="E581" s="50"/>
      <c r="F581" s="51"/>
      <c r="H581" s="51"/>
      <c r="I581" s="81"/>
      <c r="K581" s="81"/>
      <c r="L581" s="81"/>
      <c r="M581" s="81"/>
      <c r="N581" s="49"/>
      <c r="Q581" s="86"/>
      <c r="R581" s="86"/>
    </row>
    <row r="582" spans="1:18" s="44" customFormat="1" ht="12.75" x14ac:dyDescent="0.2">
      <c r="A582" s="48"/>
      <c r="D582" s="49"/>
      <c r="E582" s="50"/>
      <c r="F582" s="51"/>
      <c r="H582" s="51"/>
      <c r="I582" s="81"/>
      <c r="K582" s="81"/>
      <c r="L582" s="81"/>
      <c r="M582" s="81"/>
      <c r="N582" s="49"/>
      <c r="Q582" s="86"/>
      <c r="R582" s="86"/>
    </row>
    <row r="583" spans="1:18" s="44" customFormat="1" ht="12.75" x14ac:dyDescent="0.2">
      <c r="A583" s="48"/>
      <c r="D583" s="49"/>
      <c r="E583" s="50"/>
      <c r="F583" s="51"/>
      <c r="H583" s="51"/>
      <c r="I583" s="81"/>
      <c r="K583" s="81"/>
      <c r="L583" s="81"/>
      <c r="M583" s="81"/>
      <c r="N583" s="49"/>
      <c r="Q583" s="86"/>
      <c r="R583" s="86"/>
    </row>
    <row r="584" spans="1:18" s="44" customFormat="1" ht="12.75" x14ac:dyDescent="0.2">
      <c r="A584" s="48"/>
      <c r="D584" s="49"/>
      <c r="E584" s="50"/>
      <c r="F584" s="51"/>
      <c r="H584" s="51"/>
      <c r="I584" s="81"/>
      <c r="K584" s="81"/>
      <c r="L584" s="81"/>
      <c r="M584" s="81"/>
      <c r="N584" s="49"/>
      <c r="Q584" s="86"/>
      <c r="R584" s="86"/>
    </row>
    <row r="585" spans="1:18" s="44" customFormat="1" ht="12.75" x14ac:dyDescent="0.2">
      <c r="A585" s="48"/>
      <c r="D585" s="49"/>
      <c r="E585" s="50"/>
      <c r="F585" s="51"/>
      <c r="H585" s="51"/>
      <c r="I585" s="81"/>
      <c r="K585" s="81"/>
      <c r="L585" s="81"/>
      <c r="M585" s="81"/>
      <c r="N585" s="49"/>
      <c r="Q585" s="86"/>
      <c r="R585" s="86"/>
    </row>
    <row r="586" spans="1:18" s="44" customFormat="1" ht="12.75" x14ac:dyDescent="0.2">
      <c r="A586" s="48"/>
      <c r="D586" s="49"/>
      <c r="E586" s="50"/>
      <c r="F586" s="51"/>
      <c r="H586" s="51"/>
      <c r="I586" s="81"/>
      <c r="K586" s="81"/>
      <c r="L586" s="81"/>
      <c r="M586" s="81"/>
      <c r="N586" s="49"/>
      <c r="Q586" s="86"/>
      <c r="R586" s="86"/>
    </row>
    <row r="587" spans="1:18" s="44" customFormat="1" ht="12.75" x14ac:dyDescent="0.2">
      <c r="A587" s="48"/>
      <c r="D587" s="49"/>
      <c r="E587" s="50"/>
      <c r="F587" s="51"/>
      <c r="H587" s="51"/>
      <c r="I587" s="81"/>
      <c r="K587" s="81"/>
      <c r="L587" s="81"/>
      <c r="M587" s="81"/>
      <c r="N587" s="49"/>
      <c r="Q587" s="86"/>
      <c r="R587" s="86"/>
    </row>
    <row r="588" spans="1:18" s="44" customFormat="1" ht="12.75" x14ac:dyDescent="0.2">
      <c r="A588" s="48"/>
      <c r="D588" s="49"/>
      <c r="E588" s="50"/>
      <c r="F588" s="51"/>
      <c r="H588" s="51"/>
      <c r="I588" s="81"/>
      <c r="K588" s="81"/>
      <c r="L588" s="81"/>
      <c r="M588" s="81"/>
      <c r="N588" s="49"/>
      <c r="Q588" s="86"/>
      <c r="R588" s="86"/>
    </row>
    <row r="589" spans="1:18" s="44" customFormat="1" ht="12.75" x14ac:dyDescent="0.2">
      <c r="A589" s="48"/>
      <c r="D589" s="49"/>
      <c r="E589" s="50"/>
      <c r="F589" s="51"/>
      <c r="H589" s="51"/>
      <c r="I589" s="81"/>
      <c r="K589" s="81"/>
      <c r="L589" s="81"/>
      <c r="M589" s="81"/>
      <c r="N589" s="49"/>
      <c r="Q589" s="86"/>
      <c r="R589" s="86"/>
    </row>
    <row r="590" spans="1:18" s="44" customFormat="1" ht="12.75" x14ac:dyDescent="0.2">
      <c r="A590" s="48"/>
      <c r="D590" s="49"/>
      <c r="E590" s="50"/>
      <c r="F590" s="51"/>
      <c r="H590" s="51"/>
      <c r="I590" s="81"/>
      <c r="K590" s="81"/>
      <c r="L590" s="81"/>
      <c r="M590" s="81"/>
      <c r="N590" s="49"/>
      <c r="Q590" s="86"/>
      <c r="R590" s="86"/>
    </row>
    <row r="591" spans="1:18" s="44" customFormat="1" ht="12.75" x14ac:dyDescent="0.2">
      <c r="A591" s="48"/>
      <c r="D591" s="49"/>
      <c r="E591" s="50"/>
      <c r="F591" s="51"/>
      <c r="H591" s="51"/>
      <c r="I591" s="81"/>
      <c r="K591" s="81"/>
      <c r="L591" s="81"/>
      <c r="M591" s="81"/>
      <c r="N591" s="49"/>
      <c r="Q591" s="86"/>
      <c r="R591" s="86"/>
    </row>
    <row r="592" spans="1:18" s="44" customFormat="1" ht="12.75" x14ac:dyDescent="0.2">
      <c r="A592" s="48"/>
      <c r="D592" s="49"/>
      <c r="E592" s="50"/>
      <c r="F592" s="51"/>
      <c r="H592" s="51"/>
      <c r="I592" s="81"/>
      <c r="K592" s="81"/>
      <c r="L592" s="81"/>
      <c r="M592" s="81"/>
      <c r="N592" s="49"/>
      <c r="Q592" s="86"/>
      <c r="R592" s="86"/>
    </row>
    <row r="593" spans="1:18" s="44" customFormat="1" ht="12.75" x14ac:dyDescent="0.2">
      <c r="A593" s="48"/>
      <c r="D593" s="49"/>
      <c r="E593" s="50"/>
      <c r="F593" s="51"/>
      <c r="H593" s="51"/>
      <c r="I593" s="81"/>
      <c r="K593" s="81"/>
      <c r="L593" s="81"/>
      <c r="M593" s="81"/>
      <c r="N593" s="49"/>
      <c r="Q593" s="86"/>
      <c r="R593" s="86"/>
    </row>
    <row r="594" spans="1:18" s="44" customFormat="1" ht="12.75" x14ac:dyDescent="0.2">
      <c r="A594" s="48"/>
      <c r="D594" s="49"/>
      <c r="E594" s="50"/>
      <c r="F594" s="51"/>
      <c r="H594" s="51"/>
      <c r="I594" s="81"/>
      <c r="K594" s="81"/>
      <c r="L594" s="81"/>
      <c r="M594" s="81"/>
      <c r="N594" s="49"/>
      <c r="Q594" s="86"/>
      <c r="R594" s="86"/>
    </row>
    <row r="595" spans="1:18" s="44" customFormat="1" ht="12.75" x14ac:dyDescent="0.2">
      <c r="A595" s="48"/>
      <c r="D595" s="49"/>
      <c r="E595" s="50"/>
      <c r="F595" s="51"/>
      <c r="H595" s="51"/>
      <c r="I595" s="81"/>
      <c r="K595" s="81"/>
      <c r="L595" s="81"/>
      <c r="M595" s="81"/>
      <c r="N595" s="49"/>
      <c r="Q595" s="86"/>
      <c r="R595" s="86"/>
    </row>
    <row r="596" spans="1:18" s="44" customFormat="1" ht="12.75" x14ac:dyDescent="0.2">
      <c r="A596" s="48"/>
      <c r="D596" s="49"/>
      <c r="E596" s="50"/>
      <c r="F596" s="51"/>
      <c r="H596" s="51"/>
      <c r="I596" s="81"/>
      <c r="K596" s="81"/>
      <c r="L596" s="81"/>
      <c r="M596" s="81"/>
      <c r="N596" s="49"/>
      <c r="Q596" s="86"/>
      <c r="R596" s="86"/>
    </row>
    <row r="597" spans="1:18" s="44" customFormat="1" ht="12.75" x14ac:dyDescent="0.2">
      <c r="A597" s="48"/>
      <c r="D597" s="49"/>
      <c r="E597" s="50"/>
      <c r="F597" s="51"/>
      <c r="H597" s="51"/>
      <c r="I597" s="81"/>
      <c r="K597" s="81"/>
      <c r="L597" s="81"/>
      <c r="M597" s="81"/>
      <c r="N597" s="49"/>
      <c r="Q597" s="86"/>
      <c r="R597" s="86"/>
    </row>
    <row r="598" spans="1:18" s="44" customFormat="1" ht="12.75" x14ac:dyDescent="0.2">
      <c r="A598" s="48"/>
      <c r="D598" s="49"/>
      <c r="E598" s="50"/>
      <c r="F598" s="51"/>
      <c r="H598" s="51"/>
      <c r="I598" s="81"/>
      <c r="K598" s="81"/>
      <c r="L598" s="81"/>
      <c r="M598" s="81"/>
      <c r="N598" s="49"/>
      <c r="Q598" s="86"/>
      <c r="R598" s="86"/>
    </row>
    <row r="599" spans="1:18" s="44" customFormat="1" ht="12.75" x14ac:dyDescent="0.2">
      <c r="A599" s="48"/>
      <c r="D599" s="49"/>
      <c r="E599" s="50"/>
      <c r="F599" s="51"/>
      <c r="H599" s="51"/>
      <c r="I599" s="81"/>
      <c r="K599" s="81"/>
      <c r="L599" s="81"/>
      <c r="M599" s="81"/>
      <c r="N599" s="49"/>
      <c r="Q599" s="86"/>
      <c r="R599" s="86"/>
    </row>
    <row r="600" spans="1:18" s="44" customFormat="1" ht="12.75" x14ac:dyDescent="0.2">
      <c r="A600" s="48"/>
      <c r="D600" s="49"/>
      <c r="E600" s="50"/>
      <c r="F600" s="51"/>
      <c r="H600" s="51"/>
      <c r="I600" s="81"/>
      <c r="K600" s="81"/>
      <c r="L600" s="81"/>
      <c r="M600" s="81"/>
      <c r="N600" s="49"/>
      <c r="Q600" s="86"/>
      <c r="R600" s="86"/>
    </row>
    <row r="601" spans="1:18" s="44" customFormat="1" ht="12.75" x14ac:dyDescent="0.2">
      <c r="A601" s="48"/>
      <c r="D601" s="49"/>
      <c r="E601" s="50"/>
      <c r="F601" s="51"/>
      <c r="H601" s="51"/>
      <c r="I601" s="81"/>
      <c r="K601" s="81"/>
      <c r="L601" s="81"/>
      <c r="M601" s="81"/>
      <c r="N601" s="49"/>
      <c r="Q601" s="86"/>
      <c r="R601" s="86"/>
    </row>
    <row r="602" spans="1:18" s="44" customFormat="1" ht="12.75" x14ac:dyDescent="0.2">
      <c r="A602" s="48"/>
      <c r="D602" s="49"/>
      <c r="E602" s="50"/>
      <c r="F602" s="51"/>
      <c r="H602" s="51"/>
      <c r="I602" s="81"/>
      <c r="K602" s="81"/>
      <c r="L602" s="81"/>
      <c r="M602" s="81"/>
      <c r="N602" s="49"/>
      <c r="Q602" s="86"/>
      <c r="R602" s="86"/>
    </row>
    <row r="603" spans="1:18" s="44" customFormat="1" ht="12.75" x14ac:dyDescent="0.2">
      <c r="A603" s="48"/>
      <c r="D603" s="49"/>
      <c r="E603" s="50"/>
      <c r="F603" s="51"/>
      <c r="H603" s="51"/>
      <c r="I603" s="81"/>
      <c r="K603" s="81"/>
      <c r="L603" s="81"/>
      <c r="M603" s="81"/>
      <c r="N603" s="49"/>
      <c r="Q603" s="86"/>
      <c r="R603" s="86"/>
    </row>
    <row r="604" spans="1:18" s="44" customFormat="1" ht="12.75" x14ac:dyDescent="0.2">
      <c r="A604" s="48"/>
      <c r="D604" s="49"/>
      <c r="E604" s="50"/>
      <c r="F604" s="51"/>
      <c r="H604" s="51"/>
      <c r="I604" s="81"/>
      <c r="K604" s="81"/>
      <c r="L604" s="81"/>
      <c r="M604" s="81"/>
      <c r="N604" s="49"/>
      <c r="Q604" s="86"/>
      <c r="R604" s="86"/>
    </row>
    <row r="605" spans="1:18" s="44" customFormat="1" ht="12.75" x14ac:dyDescent="0.2">
      <c r="A605" s="48"/>
      <c r="D605" s="49"/>
      <c r="E605" s="50"/>
      <c r="F605" s="51"/>
      <c r="H605" s="51"/>
      <c r="I605" s="81"/>
      <c r="K605" s="81"/>
      <c r="L605" s="81"/>
      <c r="M605" s="81"/>
      <c r="N605" s="49"/>
      <c r="Q605" s="86"/>
      <c r="R605" s="86"/>
    </row>
    <row r="606" spans="1:18" s="44" customFormat="1" ht="12.75" x14ac:dyDescent="0.2">
      <c r="A606" s="48"/>
      <c r="D606" s="49"/>
      <c r="E606" s="50"/>
      <c r="F606" s="51"/>
      <c r="H606" s="51"/>
      <c r="I606" s="81"/>
      <c r="K606" s="81"/>
      <c r="L606" s="81"/>
      <c r="M606" s="81"/>
      <c r="N606" s="49"/>
      <c r="Q606" s="86"/>
      <c r="R606" s="86"/>
    </row>
    <row r="607" spans="1:18" s="44" customFormat="1" ht="12.75" x14ac:dyDescent="0.2">
      <c r="A607" s="48"/>
      <c r="D607" s="49"/>
      <c r="E607" s="50"/>
      <c r="F607" s="51"/>
      <c r="H607" s="51"/>
      <c r="I607" s="81"/>
      <c r="K607" s="81"/>
      <c r="L607" s="81"/>
      <c r="M607" s="81"/>
      <c r="N607" s="49"/>
      <c r="Q607" s="86"/>
      <c r="R607" s="86"/>
    </row>
    <row r="608" spans="1:18" s="44" customFormat="1" ht="12.75" x14ac:dyDescent="0.2">
      <c r="A608" s="48"/>
      <c r="D608" s="49"/>
      <c r="E608" s="50"/>
      <c r="F608" s="51"/>
      <c r="H608" s="51"/>
      <c r="I608" s="81"/>
      <c r="K608" s="81"/>
      <c r="L608" s="81"/>
      <c r="M608" s="81"/>
      <c r="N608" s="49"/>
      <c r="Q608" s="86"/>
      <c r="R608" s="86"/>
    </row>
    <row r="609" spans="1:18" s="44" customFormat="1" ht="12.75" x14ac:dyDescent="0.2">
      <c r="A609" s="48"/>
      <c r="D609" s="49"/>
      <c r="E609" s="50"/>
      <c r="F609" s="51"/>
      <c r="H609" s="51"/>
      <c r="I609" s="81"/>
      <c r="K609" s="81"/>
      <c r="L609" s="81"/>
      <c r="M609" s="81"/>
      <c r="N609" s="49"/>
      <c r="Q609" s="86"/>
      <c r="R609" s="86"/>
    </row>
    <row r="610" spans="1:18" s="44" customFormat="1" ht="12.75" x14ac:dyDescent="0.2">
      <c r="A610" s="48"/>
      <c r="D610" s="49"/>
      <c r="E610" s="50"/>
      <c r="F610" s="51"/>
      <c r="H610" s="51"/>
      <c r="I610" s="81"/>
      <c r="K610" s="81"/>
      <c r="L610" s="81"/>
      <c r="M610" s="81"/>
      <c r="N610" s="49"/>
      <c r="Q610" s="86"/>
      <c r="R610" s="86"/>
    </row>
    <row r="611" spans="1:18" s="44" customFormat="1" ht="12.75" x14ac:dyDescent="0.2">
      <c r="A611" s="48"/>
      <c r="D611" s="49"/>
      <c r="E611" s="50"/>
      <c r="F611" s="51"/>
      <c r="H611" s="51"/>
      <c r="I611" s="81"/>
      <c r="K611" s="81"/>
      <c r="L611" s="81"/>
      <c r="M611" s="81"/>
      <c r="N611" s="49"/>
      <c r="Q611" s="86"/>
      <c r="R611" s="86"/>
    </row>
    <row r="612" spans="1:18" s="44" customFormat="1" ht="12.75" x14ac:dyDescent="0.2">
      <c r="A612" s="48"/>
      <c r="D612" s="49"/>
      <c r="E612" s="50"/>
      <c r="F612" s="51"/>
      <c r="H612" s="51"/>
      <c r="I612" s="81"/>
      <c r="K612" s="81"/>
      <c r="L612" s="81"/>
      <c r="M612" s="81"/>
      <c r="N612" s="49"/>
      <c r="Q612" s="86"/>
      <c r="R612" s="86"/>
    </row>
    <row r="613" spans="1:18" s="44" customFormat="1" ht="12.75" x14ac:dyDescent="0.2">
      <c r="A613" s="48"/>
      <c r="D613" s="49"/>
      <c r="E613" s="50"/>
      <c r="F613" s="51"/>
      <c r="H613" s="51"/>
      <c r="I613" s="81"/>
      <c r="K613" s="81"/>
      <c r="L613" s="81"/>
      <c r="M613" s="81"/>
      <c r="N613" s="49"/>
      <c r="Q613" s="86"/>
      <c r="R613" s="86"/>
    </row>
    <row r="614" spans="1:18" s="44" customFormat="1" ht="12.75" x14ac:dyDescent="0.2">
      <c r="A614" s="48"/>
      <c r="D614" s="49"/>
      <c r="E614" s="50"/>
      <c r="F614" s="51"/>
      <c r="H614" s="51"/>
      <c r="I614" s="81"/>
      <c r="K614" s="81"/>
      <c r="L614" s="81"/>
      <c r="M614" s="81"/>
      <c r="N614" s="49"/>
      <c r="Q614" s="86"/>
      <c r="R614" s="86"/>
    </row>
    <row r="615" spans="1:18" s="44" customFormat="1" ht="12.75" x14ac:dyDescent="0.2">
      <c r="A615" s="48"/>
      <c r="D615" s="49"/>
      <c r="E615" s="50"/>
      <c r="F615" s="51"/>
      <c r="H615" s="51"/>
      <c r="I615" s="81"/>
      <c r="K615" s="81"/>
      <c r="L615" s="81"/>
      <c r="M615" s="81"/>
      <c r="N615" s="49"/>
      <c r="Q615" s="86"/>
      <c r="R615" s="86"/>
    </row>
    <row r="616" spans="1:18" s="44" customFormat="1" ht="12.75" x14ac:dyDescent="0.2">
      <c r="A616" s="48"/>
      <c r="D616" s="49"/>
      <c r="E616" s="50"/>
      <c r="F616" s="51"/>
      <c r="H616" s="51"/>
      <c r="I616" s="81"/>
      <c r="K616" s="81"/>
      <c r="L616" s="81"/>
      <c r="M616" s="81"/>
      <c r="N616" s="49"/>
      <c r="Q616" s="86"/>
      <c r="R616" s="86"/>
    </row>
    <row r="617" spans="1:18" s="44" customFormat="1" ht="12.75" x14ac:dyDescent="0.2">
      <c r="A617" s="48"/>
      <c r="D617" s="49"/>
      <c r="E617" s="50"/>
      <c r="F617" s="51"/>
      <c r="H617" s="51"/>
      <c r="I617" s="81"/>
      <c r="K617" s="81"/>
      <c r="L617" s="81"/>
      <c r="M617" s="81"/>
      <c r="N617" s="49"/>
      <c r="Q617" s="86"/>
      <c r="R617" s="86"/>
    </row>
    <row r="618" spans="1:18" s="44" customFormat="1" ht="12.75" x14ac:dyDescent="0.2">
      <c r="A618" s="48"/>
      <c r="D618" s="49"/>
      <c r="E618" s="50"/>
      <c r="F618" s="51"/>
      <c r="H618" s="51"/>
      <c r="I618" s="81"/>
      <c r="K618" s="81"/>
      <c r="L618" s="81"/>
      <c r="M618" s="81"/>
      <c r="N618" s="49"/>
      <c r="Q618" s="86"/>
      <c r="R618" s="86"/>
    </row>
    <row r="619" spans="1:18" s="44" customFormat="1" ht="12.75" x14ac:dyDescent="0.2">
      <c r="A619" s="48"/>
      <c r="D619" s="49"/>
      <c r="E619" s="50"/>
      <c r="F619" s="51"/>
      <c r="H619" s="51"/>
      <c r="I619" s="81"/>
      <c r="K619" s="81"/>
      <c r="L619" s="81"/>
      <c r="M619" s="81"/>
      <c r="N619" s="49"/>
      <c r="Q619" s="86"/>
      <c r="R619" s="86"/>
    </row>
    <row r="620" spans="1:18" s="44" customFormat="1" ht="12.75" x14ac:dyDescent="0.2">
      <c r="A620" s="48"/>
      <c r="D620" s="49"/>
      <c r="E620" s="50"/>
      <c r="F620" s="51"/>
      <c r="H620" s="51"/>
      <c r="I620" s="81"/>
      <c r="K620" s="81"/>
      <c r="L620" s="81"/>
      <c r="M620" s="81"/>
      <c r="N620" s="49"/>
      <c r="Q620" s="86"/>
      <c r="R620" s="86"/>
    </row>
    <row r="621" spans="1:18" s="44" customFormat="1" ht="12.75" x14ac:dyDescent="0.2">
      <c r="A621" s="48"/>
      <c r="D621" s="49"/>
      <c r="E621" s="50"/>
      <c r="F621" s="51"/>
      <c r="H621" s="51"/>
      <c r="I621" s="81"/>
      <c r="K621" s="81"/>
      <c r="L621" s="81"/>
      <c r="M621" s="81"/>
      <c r="N621" s="49"/>
      <c r="Q621" s="86"/>
      <c r="R621" s="86"/>
    </row>
    <row r="622" spans="1:18" s="44" customFormat="1" ht="12.75" x14ac:dyDescent="0.2">
      <c r="A622" s="48"/>
      <c r="D622" s="49"/>
      <c r="E622" s="50"/>
      <c r="F622" s="51"/>
      <c r="H622" s="51"/>
      <c r="I622" s="81"/>
      <c r="K622" s="81"/>
      <c r="L622" s="81"/>
      <c r="M622" s="81"/>
      <c r="N622" s="49"/>
      <c r="Q622" s="86"/>
      <c r="R622" s="86"/>
    </row>
    <row r="623" spans="1:18" s="44" customFormat="1" ht="12.75" x14ac:dyDescent="0.2">
      <c r="A623" s="48"/>
      <c r="D623" s="49"/>
      <c r="E623" s="50"/>
      <c r="F623" s="51"/>
      <c r="H623" s="51"/>
      <c r="I623" s="81"/>
      <c r="K623" s="81"/>
      <c r="L623" s="81"/>
      <c r="M623" s="81"/>
      <c r="N623" s="49"/>
      <c r="Q623" s="86"/>
      <c r="R623" s="86"/>
    </row>
    <row r="624" spans="1:18" s="44" customFormat="1" ht="12.75" x14ac:dyDescent="0.2">
      <c r="A624" s="48"/>
      <c r="D624" s="49"/>
      <c r="E624" s="50"/>
      <c r="F624" s="51"/>
      <c r="H624" s="51"/>
      <c r="I624" s="81"/>
      <c r="K624" s="81"/>
      <c r="L624" s="81"/>
      <c r="M624" s="81"/>
      <c r="N624" s="49"/>
      <c r="Q624" s="86"/>
      <c r="R624" s="86"/>
    </row>
    <row r="625" spans="1:18" s="44" customFormat="1" ht="12.75" x14ac:dyDescent="0.2">
      <c r="A625" s="48"/>
      <c r="D625" s="49"/>
      <c r="E625" s="50"/>
      <c r="F625" s="51"/>
      <c r="H625" s="51"/>
      <c r="I625" s="81"/>
      <c r="K625" s="81"/>
      <c r="L625" s="81"/>
      <c r="M625" s="81"/>
      <c r="N625" s="49"/>
      <c r="Q625" s="86"/>
      <c r="R625" s="86"/>
    </row>
    <row r="626" spans="1:18" s="44" customFormat="1" ht="12.75" x14ac:dyDescent="0.2">
      <c r="A626" s="48"/>
      <c r="D626" s="49"/>
      <c r="E626" s="50"/>
      <c r="F626" s="51"/>
      <c r="H626" s="51"/>
      <c r="I626" s="81"/>
      <c r="K626" s="81"/>
      <c r="L626" s="81"/>
      <c r="M626" s="81"/>
      <c r="N626" s="49"/>
      <c r="Q626" s="86"/>
      <c r="R626" s="86"/>
    </row>
    <row r="627" spans="1:18" s="44" customFormat="1" ht="12.75" x14ac:dyDescent="0.2">
      <c r="A627" s="48"/>
      <c r="D627" s="49"/>
      <c r="E627" s="50"/>
      <c r="F627" s="51"/>
      <c r="H627" s="51"/>
      <c r="I627" s="81"/>
      <c r="K627" s="81"/>
      <c r="L627" s="81"/>
      <c r="M627" s="81"/>
      <c r="N627" s="49"/>
      <c r="Q627" s="86"/>
      <c r="R627" s="86"/>
    </row>
    <row r="628" spans="1:18" s="44" customFormat="1" ht="12.75" x14ac:dyDescent="0.2">
      <c r="A628" s="48"/>
      <c r="D628" s="49"/>
      <c r="E628" s="50"/>
      <c r="F628" s="51"/>
      <c r="H628" s="51"/>
      <c r="I628" s="81"/>
      <c r="K628" s="81"/>
      <c r="L628" s="81"/>
      <c r="M628" s="81"/>
      <c r="N628" s="49"/>
      <c r="Q628" s="86"/>
      <c r="R628" s="86"/>
    </row>
    <row r="629" spans="1:18" s="44" customFormat="1" ht="12.75" x14ac:dyDescent="0.2">
      <c r="A629" s="48"/>
      <c r="D629" s="49"/>
      <c r="E629" s="50"/>
      <c r="F629" s="51"/>
      <c r="H629" s="51"/>
      <c r="I629" s="81"/>
      <c r="K629" s="81"/>
      <c r="L629" s="81"/>
      <c r="M629" s="81"/>
      <c r="N629" s="49"/>
      <c r="Q629" s="86"/>
      <c r="R629" s="86"/>
    </row>
    <row r="630" spans="1:18" s="44" customFormat="1" ht="12.75" x14ac:dyDescent="0.2">
      <c r="A630" s="48"/>
      <c r="D630" s="49"/>
      <c r="E630" s="50"/>
      <c r="F630" s="51"/>
      <c r="H630" s="51"/>
      <c r="I630" s="81"/>
      <c r="K630" s="81"/>
      <c r="L630" s="81"/>
      <c r="M630" s="81"/>
      <c r="N630" s="49"/>
      <c r="Q630" s="86"/>
      <c r="R630" s="86"/>
    </row>
    <row r="631" spans="1:18" s="44" customFormat="1" ht="12.75" x14ac:dyDescent="0.2">
      <c r="A631" s="48"/>
      <c r="D631" s="49"/>
      <c r="E631" s="50"/>
      <c r="F631" s="51"/>
      <c r="H631" s="51"/>
      <c r="I631" s="81"/>
      <c r="K631" s="81"/>
      <c r="L631" s="81"/>
      <c r="M631" s="81"/>
      <c r="N631" s="49"/>
      <c r="Q631" s="86"/>
      <c r="R631" s="86"/>
    </row>
    <row r="632" spans="1:18" s="44" customFormat="1" ht="12.75" x14ac:dyDescent="0.2">
      <c r="A632" s="48"/>
      <c r="D632" s="49"/>
      <c r="E632" s="50"/>
      <c r="F632" s="51"/>
      <c r="H632" s="51"/>
      <c r="I632" s="81"/>
      <c r="K632" s="81"/>
      <c r="L632" s="81"/>
      <c r="M632" s="81"/>
      <c r="N632" s="49"/>
      <c r="Q632" s="86"/>
      <c r="R632" s="86"/>
    </row>
    <row r="633" spans="1:18" s="44" customFormat="1" ht="12.75" x14ac:dyDescent="0.2">
      <c r="A633" s="48"/>
      <c r="D633" s="49"/>
      <c r="E633" s="50"/>
      <c r="F633" s="51"/>
      <c r="H633" s="51"/>
      <c r="I633" s="81"/>
      <c r="K633" s="81"/>
      <c r="L633" s="81"/>
      <c r="M633" s="81"/>
      <c r="N633" s="49"/>
      <c r="Q633" s="86"/>
      <c r="R633" s="86"/>
    </row>
    <row r="634" spans="1:18" s="44" customFormat="1" ht="12.75" x14ac:dyDescent="0.2">
      <c r="A634" s="48"/>
      <c r="D634" s="49"/>
      <c r="E634" s="50"/>
      <c r="F634" s="51"/>
      <c r="H634" s="51"/>
      <c r="I634" s="81"/>
      <c r="K634" s="81"/>
      <c r="L634" s="81"/>
      <c r="M634" s="81"/>
      <c r="N634" s="49"/>
      <c r="Q634" s="86"/>
      <c r="R634" s="86"/>
    </row>
    <row r="635" spans="1:18" s="44" customFormat="1" ht="12.75" x14ac:dyDescent="0.2">
      <c r="A635" s="48"/>
      <c r="D635" s="49"/>
      <c r="E635" s="50"/>
      <c r="F635" s="51"/>
      <c r="H635" s="51"/>
      <c r="I635" s="81"/>
      <c r="K635" s="81"/>
      <c r="L635" s="81"/>
      <c r="M635" s="81"/>
      <c r="N635" s="49"/>
      <c r="Q635" s="86"/>
      <c r="R635" s="86"/>
    </row>
    <row r="636" spans="1:18" s="44" customFormat="1" ht="12.75" x14ac:dyDescent="0.2">
      <c r="A636" s="48"/>
      <c r="D636" s="49"/>
      <c r="E636" s="50"/>
      <c r="F636" s="51"/>
      <c r="H636" s="51"/>
      <c r="I636" s="81"/>
      <c r="K636" s="81"/>
      <c r="L636" s="81"/>
      <c r="M636" s="81"/>
      <c r="N636" s="49"/>
      <c r="Q636" s="86"/>
      <c r="R636" s="86"/>
    </row>
    <row r="637" spans="1:18" s="44" customFormat="1" ht="12.75" x14ac:dyDescent="0.2">
      <c r="A637" s="48"/>
      <c r="D637" s="49"/>
      <c r="E637" s="50"/>
      <c r="F637" s="51"/>
      <c r="H637" s="51"/>
      <c r="I637" s="81"/>
      <c r="K637" s="81"/>
      <c r="L637" s="81"/>
      <c r="M637" s="81"/>
      <c r="N637" s="49"/>
      <c r="Q637" s="86"/>
      <c r="R637" s="86"/>
    </row>
    <row r="638" spans="1:18" s="44" customFormat="1" ht="12.75" x14ac:dyDescent="0.2">
      <c r="A638" s="48"/>
      <c r="D638" s="49"/>
      <c r="E638" s="50"/>
      <c r="F638" s="51"/>
      <c r="H638" s="51"/>
      <c r="I638" s="81"/>
      <c r="K638" s="81"/>
      <c r="L638" s="81"/>
      <c r="M638" s="81"/>
      <c r="N638" s="49"/>
      <c r="Q638" s="86"/>
      <c r="R638" s="86"/>
    </row>
    <row r="639" spans="1:18" s="44" customFormat="1" ht="12.75" x14ac:dyDescent="0.2">
      <c r="A639" s="48"/>
      <c r="D639" s="49"/>
      <c r="E639" s="50"/>
      <c r="F639" s="51"/>
      <c r="H639" s="51"/>
      <c r="I639" s="81"/>
      <c r="K639" s="81"/>
      <c r="L639" s="81"/>
      <c r="M639" s="81"/>
      <c r="N639" s="49"/>
      <c r="Q639" s="86"/>
      <c r="R639" s="86"/>
    </row>
    <row r="640" spans="1:18" s="44" customFormat="1" ht="12.75" x14ac:dyDescent="0.2">
      <c r="A640" s="48"/>
      <c r="D640" s="49"/>
      <c r="E640" s="50"/>
      <c r="F640" s="51"/>
      <c r="H640" s="51"/>
      <c r="I640" s="81"/>
      <c r="K640" s="81"/>
      <c r="L640" s="81"/>
      <c r="M640" s="81"/>
      <c r="N640" s="49"/>
      <c r="Q640" s="86"/>
      <c r="R640" s="86"/>
    </row>
    <row r="641" spans="1:18" s="44" customFormat="1" ht="12.75" x14ac:dyDescent="0.2">
      <c r="A641" s="48"/>
      <c r="D641" s="49"/>
      <c r="E641" s="50"/>
      <c r="F641" s="51"/>
      <c r="H641" s="51"/>
      <c r="I641" s="81"/>
      <c r="K641" s="81"/>
      <c r="L641" s="81"/>
      <c r="M641" s="81"/>
      <c r="N641" s="49"/>
      <c r="Q641" s="86"/>
      <c r="R641" s="86"/>
    </row>
    <row r="642" spans="1:18" s="44" customFormat="1" ht="12.75" x14ac:dyDescent="0.2">
      <c r="A642" s="48"/>
      <c r="D642" s="49"/>
      <c r="E642" s="50"/>
      <c r="F642" s="51"/>
      <c r="H642" s="51"/>
      <c r="I642" s="81"/>
      <c r="K642" s="81"/>
      <c r="L642" s="81"/>
      <c r="M642" s="81"/>
      <c r="N642" s="49"/>
      <c r="Q642" s="86"/>
      <c r="R642" s="86"/>
    </row>
    <row r="643" spans="1:18" s="44" customFormat="1" ht="12.75" x14ac:dyDescent="0.2">
      <c r="A643" s="48"/>
      <c r="D643" s="49"/>
      <c r="E643" s="50"/>
      <c r="F643" s="51"/>
      <c r="H643" s="51"/>
      <c r="I643" s="81"/>
      <c r="K643" s="81"/>
      <c r="L643" s="81"/>
      <c r="M643" s="81"/>
      <c r="N643" s="49"/>
      <c r="Q643" s="86"/>
      <c r="R643" s="86"/>
    </row>
    <row r="644" spans="1:18" s="44" customFormat="1" ht="12.75" x14ac:dyDescent="0.2">
      <c r="A644" s="48"/>
      <c r="D644" s="49"/>
      <c r="E644" s="50"/>
      <c r="F644" s="51"/>
      <c r="H644" s="51"/>
      <c r="I644" s="81"/>
      <c r="K644" s="81"/>
      <c r="L644" s="81"/>
      <c r="M644" s="81"/>
      <c r="N644" s="49"/>
      <c r="Q644" s="86"/>
      <c r="R644" s="86"/>
    </row>
    <row r="645" spans="1:18" s="44" customFormat="1" ht="12.75" x14ac:dyDescent="0.2">
      <c r="A645" s="48"/>
      <c r="D645" s="49"/>
      <c r="E645" s="50"/>
      <c r="F645" s="51"/>
      <c r="H645" s="51"/>
      <c r="I645" s="81"/>
      <c r="K645" s="81"/>
      <c r="L645" s="81"/>
      <c r="M645" s="81"/>
      <c r="N645" s="49"/>
      <c r="Q645" s="86"/>
      <c r="R645" s="86"/>
    </row>
    <row r="646" spans="1:18" s="44" customFormat="1" ht="12.75" x14ac:dyDescent="0.2">
      <c r="A646" s="48"/>
      <c r="D646" s="49"/>
      <c r="E646" s="50"/>
      <c r="F646" s="51"/>
      <c r="H646" s="51"/>
      <c r="I646" s="81"/>
      <c r="K646" s="81"/>
      <c r="L646" s="81"/>
      <c r="M646" s="81"/>
      <c r="N646" s="49"/>
      <c r="Q646" s="86"/>
      <c r="R646" s="86"/>
    </row>
    <row r="647" spans="1:18" s="44" customFormat="1" ht="12.75" x14ac:dyDescent="0.2">
      <c r="A647" s="48"/>
      <c r="D647" s="49"/>
      <c r="E647" s="50"/>
      <c r="F647" s="51"/>
      <c r="H647" s="51"/>
      <c r="I647" s="81"/>
      <c r="K647" s="81"/>
      <c r="L647" s="81"/>
      <c r="M647" s="81"/>
      <c r="N647" s="49"/>
      <c r="Q647" s="86"/>
      <c r="R647" s="86"/>
    </row>
    <row r="648" spans="1:18" s="44" customFormat="1" ht="12.75" x14ac:dyDescent="0.2">
      <c r="A648" s="48"/>
      <c r="D648" s="49"/>
      <c r="E648" s="50"/>
      <c r="F648" s="51"/>
      <c r="H648" s="51"/>
      <c r="I648" s="81"/>
      <c r="K648" s="81"/>
      <c r="L648" s="81"/>
      <c r="M648" s="81"/>
      <c r="N648" s="49"/>
      <c r="Q648" s="86"/>
      <c r="R648" s="86"/>
    </row>
    <row r="649" spans="1:18" s="44" customFormat="1" ht="12.75" x14ac:dyDescent="0.2">
      <c r="A649" s="48"/>
      <c r="D649" s="49"/>
      <c r="E649" s="50"/>
      <c r="F649" s="51"/>
      <c r="H649" s="51"/>
      <c r="I649" s="81"/>
      <c r="K649" s="81"/>
      <c r="L649" s="81"/>
      <c r="M649" s="81"/>
      <c r="N649" s="49"/>
      <c r="Q649" s="86"/>
      <c r="R649" s="86"/>
    </row>
    <row r="650" spans="1:18" s="44" customFormat="1" ht="12.75" x14ac:dyDescent="0.2">
      <c r="A650" s="48"/>
      <c r="D650" s="49"/>
      <c r="E650" s="50"/>
      <c r="F650" s="51"/>
      <c r="H650" s="51"/>
      <c r="I650" s="81"/>
      <c r="K650" s="81"/>
      <c r="L650" s="81"/>
      <c r="M650" s="81"/>
      <c r="N650" s="49"/>
      <c r="Q650" s="86"/>
      <c r="R650" s="86"/>
    </row>
    <row r="651" spans="1:18" s="44" customFormat="1" ht="12.75" x14ac:dyDescent="0.2">
      <c r="A651" s="48"/>
      <c r="D651" s="49"/>
      <c r="E651" s="50"/>
      <c r="F651" s="51"/>
      <c r="H651" s="51"/>
      <c r="I651" s="81"/>
      <c r="K651" s="81"/>
      <c r="L651" s="81"/>
      <c r="M651" s="81"/>
      <c r="N651" s="49"/>
      <c r="Q651" s="86"/>
      <c r="R651" s="86"/>
    </row>
    <row r="652" spans="1:18" s="44" customFormat="1" ht="12.75" x14ac:dyDescent="0.2">
      <c r="A652" s="48"/>
      <c r="D652" s="49"/>
      <c r="E652" s="50"/>
      <c r="F652" s="51"/>
      <c r="H652" s="51"/>
      <c r="I652" s="81"/>
      <c r="K652" s="81"/>
      <c r="L652" s="81"/>
      <c r="M652" s="81"/>
      <c r="N652" s="49"/>
      <c r="Q652" s="86"/>
      <c r="R652" s="86"/>
    </row>
    <row r="653" spans="1:18" s="44" customFormat="1" ht="12.75" x14ac:dyDescent="0.2">
      <c r="A653" s="48"/>
      <c r="D653" s="49"/>
      <c r="E653" s="50"/>
      <c r="F653" s="51"/>
      <c r="H653" s="51"/>
      <c r="I653" s="81"/>
      <c r="K653" s="81"/>
      <c r="L653" s="81"/>
      <c r="M653" s="81"/>
      <c r="N653" s="49"/>
      <c r="Q653" s="86"/>
      <c r="R653" s="86"/>
    </row>
    <row r="654" spans="1:18" s="44" customFormat="1" ht="12.75" x14ac:dyDescent="0.2">
      <c r="A654" s="48"/>
      <c r="D654" s="49"/>
      <c r="E654" s="50"/>
      <c r="F654" s="51"/>
      <c r="H654" s="51"/>
      <c r="I654" s="81"/>
      <c r="K654" s="81"/>
      <c r="L654" s="81"/>
      <c r="M654" s="81"/>
      <c r="N654" s="49"/>
      <c r="Q654" s="86"/>
      <c r="R654" s="86"/>
    </row>
    <row r="655" spans="1:18" s="44" customFormat="1" ht="12.75" x14ac:dyDescent="0.2">
      <c r="A655" s="48"/>
      <c r="D655" s="49"/>
      <c r="E655" s="50"/>
      <c r="F655" s="51"/>
      <c r="H655" s="51"/>
      <c r="I655" s="81"/>
      <c r="K655" s="81"/>
      <c r="L655" s="81"/>
      <c r="M655" s="81"/>
      <c r="N655" s="49"/>
      <c r="Q655" s="86"/>
      <c r="R655" s="86"/>
    </row>
    <row r="656" spans="1:18" s="44" customFormat="1" ht="12.75" x14ac:dyDescent="0.2">
      <c r="A656" s="48"/>
      <c r="D656" s="49"/>
      <c r="E656" s="50"/>
      <c r="F656" s="51"/>
      <c r="H656" s="51"/>
      <c r="I656" s="81"/>
      <c r="K656" s="81"/>
      <c r="L656" s="81"/>
      <c r="M656" s="81"/>
      <c r="N656" s="49"/>
      <c r="Q656" s="86"/>
      <c r="R656" s="86"/>
    </row>
    <row r="657" spans="1:18" s="44" customFormat="1" ht="12.75" x14ac:dyDescent="0.2">
      <c r="A657" s="48"/>
      <c r="D657" s="49"/>
      <c r="E657" s="50"/>
      <c r="F657" s="51"/>
      <c r="H657" s="51"/>
      <c r="I657" s="81"/>
      <c r="K657" s="81"/>
      <c r="L657" s="81"/>
      <c r="M657" s="81"/>
      <c r="N657" s="49"/>
      <c r="Q657" s="86"/>
      <c r="R657" s="86"/>
    </row>
    <row r="658" spans="1:18" s="44" customFormat="1" ht="12.75" x14ac:dyDescent="0.2">
      <c r="A658" s="48"/>
      <c r="D658" s="49"/>
      <c r="E658" s="50"/>
      <c r="F658" s="51"/>
      <c r="H658" s="51"/>
      <c r="I658" s="81"/>
      <c r="K658" s="81"/>
      <c r="L658" s="81"/>
      <c r="M658" s="81"/>
      <c r="N658" s="49"/>
      <c r="Q658" s="86"/>
      <c r="R658" s="86"/>
    </row>
    <row r="659" spans="1:18" s="44" customFormat="1" ht="12.75" x14ac:dyDescent="0.2">
      <c r="A659" s="48"/>
      <c r="D659" s="49"/>
      <c r="E659" s="50"/>
      <c r="F659" s="51"/>
      <c r="H659" s="51"/>
      <c r="I659" s="81"/>
      <c r="K659" s="81"/>
      <c r="L659" s="81"/>
      <c r="M659" s="81"/>
      <c r="N659" s="49"/>
      <c r="Q659" s="86"/>
      <c r="R659" s="86"/>
    </row>
    <row r="660" spans="1:18" s="44" customFormat="1" ht="12.75" x14ac:dyDescent="0.2">
      <c r="A660" s="48"/>
      <c r="D660" s="49"/>
      <c r="E660" s="50"/>
      <c r="F660" s="51"/>
      <c r="H660" s="51"/>
      <c r="I660" s="81"/>
      <c r="K660" s="81"/>
      <c r="L660" s="81"/>
      <c r="M660" s="81"/>
      <c r="N660" s="49"/>
      <c r="Q660" s="86"/>
      <c r="R660" s="86"/>
    </row>
    <row r="661" spans="1:18" s="44" customFormat="1" ht="12.75" x14ac:dyDescent="0.2">
      <c r="A661" s="48"/>
      <c r="D661" s="49"/>
      <c r="E661" s="50"/>
      <c r="F661" s="51"/>
      <c r="H661" s="51"/>
      <c r="I661" s="81"/>
      <c r="K661" s="81"/>
      <c r="L661" s="81"/>
      <c r="M661" s="81"/>
      <c r="N661" s="49"/>
      <c r="Q661" s="86"/>
      <c r="R661" s="86"/>
    </row>
    <row r="662" spans="1:18" s="44" customFormat="1" ht="12.75" x14ac:dyDescent="0.2">
      <c r="A662" s="48"/>
      <c r="D662" s="49"/>
      <c r="E662" s="50"/>
      <c r="F662" s="51"/>
      <c r="H662" s="51"/>
      <c r="I662" s="81"/>
      <c r="K662" s="81"/>
      <c r="L662" s="81"/>
      <c r="M662" s="81"/>
      <c r="N662" s="49"/>
      <c r="Q662" s="86"/>
      <c r="R662" s="86"/>
    </row>
    <row r="663" spans="1:18" s="44" customFormat="1" ht="12.75" x14ac:dyDescent="0.2">
      <c r="A663" s="48"/>
      <c r="D663" s="49"/>
      <c r="E663" s="50"/>
      <c r="F663" s="51"/>
      <c r="H663" s="51"/>
      <c r="I663" s="81"/>
      <c r="K663" s="81"/>
      <c r="L663" s="81"/>
      <c r="M663" s="81"/>
      <c r="N663" s="49"/>
      <c r="Q663" s="86"/>
      <c r="R663" s="86"/>
    </row>
    <row r="664" spans="1:18" s="44" customFormat="1" ht="12.75" x14ac:dyDescent="0.2">
      <c r="A664" s="48"/>
      <c r="D664" s="49"/>
      <c r="E664" s="50"/>
      <c r="F664" s="51"/>
      <c r="H664" s="51"/>
      <c r="I664" s="81"/>
      <c r="K664" s="81"/>
      <c r="L664" s="81"/>
      <c r="M664" s="81"/>
      <c r="N664" s="49"/>
      <c r="Q664" s="86"/>
      <c r="R664" s="86"/>
    </row>
    <row r="665" spans="1:18" s="44" customFormat="1" ht="12.75" x14ac:dyDescent="0.2">
      <c r="A665" s="48"/>
      <c r="D665" s="49"/>
      <c r="E665" s="50"/>
      <c r="F665" s="51"/>
      <c r="H665" s="51"/>
      <c r="I665" s="81"/>
      <c r="K665" s="81"/>
      <c r="L665" s="81"/>
      <c r="M665" s="81"/>
      <c r="N665" s="49"/>
      <c r="Q665" s="86"/>
      <c r="R665" s="86"/>
    </row>
    <row r="666" spans="1:18" s="44" customFormat="1" ht="12.75" x14ac:dyDescent="0.2">
      <c r="A666" s="48"/>
      <c r="D666" s="49"/>
      <c r="E666" s="50"/>
      <c r="F666" s="51"/>
      <c r="H666" s="51"/>
      <c r="I666" s="81"/>
      <c r="K666" s="81"/>
      <c r="L666" s="81"/>
      <c r="M666" s="81"/>
      <c r="N666" s="49"/>
      <c r="Q666" s="86"/>
      <c r="R666" s="86"/>
    </row>
    <row r="667" spans="1:18" s="44" customFormat="1" ht="12.75" x14ac:dyDescent="0.2">
      <c r="A667" s="48"/>
      <c r="D667" s="49"/>
      <c r="E667" s="50"/>
      <c r="F667" s="51"/>
      <c r="H667" s="51"/>
      <c r="I667" s="81"/>
      <c r="K667" s="81"/>
      <c r="L667" s="81"/>
      <c r="M667" s="81"/>
      <c r="N667" s="49"/>
      <c r="Q667" s="86"/>
      <c r="R667" s="86"/>
    </row>
    <row r="668" spans="1:18" s="44" customFormat="1" ht="12.75" x14ac:dyDescent="0.2">
      <c r="A668" s="48"/>
      <c r="D668" s="49"/>
      <c r="E668" s="50"/>
      <c r="F668" s="51"/>
      <c r="H668" s="51"/>
      <c r="I668" s="81"/>
      <c r="K668" s="81"/>
      <c r="L668" s="81"/>
      <c r="M668" s="81"/>
      <c r="N668" s="49"/>
      <c r="Q668" s="86"/>
      <c r="R668" s="86"/>
    </row>
    <row r="669" spans="1:18" s="44" customFormat="1" ht="12.75" x14ac:dyDescent="0.2">
      <c r="A669" s="48"/>
      <c r="D669" s="49"/>
      <c r="E669" s="50"/>
      <c r="F669" s="51"/>
      <c r="H669" s="51"/>
      <c r="I669" s="81"/>
      <c r="K669" s="81"/>
      <c r="L669" s="81"/>
      <c r="M669" s="81"/>
      <c r="N669" s="49"/>
      <c r="Q669" s="86"/>
      <c r="R669" s="86"/>
    </row>
    <row r="670" spans="1:18" s="44" customFormat="1" ht="12.75" x14ac:dyDescent="0.2">
      <c r="A670" s="48"/>
      <c r="D670" s="49"/>
      <c r="E670" s="50"/>
      <c r="F670" s="51"/>
      <c r="H670" s="51"/>
      <c r="I670" s="81"/>
      <c r="K670" s="81"/>
      <c r="L670" s="81"/>
      <c r="M670" s="81"/>
      <c r="N670" s="49"/>
      <c r="Q670" s="86"/>
      <c r="R670" s="86"/>
    </row>
    <row r="671" spans="1:18" s="44" customFormat="1" ht="12.75" x14ac:dyDescent="0.2">
      <c r="A671" s="48"/>
      <c r="D671" s="49"/>
      <c r="E671" s="50"/>
      <c r="F671" s="51"/>
      <c r="H671" s="51"/>
      <c r="I671" s="81"/>
      <c r="K671" s="81"/>
      <c r="L671" s="81"/>
      <c r="M671" s="81"/>
      <c r="N671" s="49"/>
      <c r="Q671" s="86"/>
      <c r="R671" s="86"/>
    </row>
    <row r="672" spans="1:18" s="44" customFormat="1" ht="12.75" x14ac:dyDescent="0.2">
      <c r="A672" s="48"/>
      <c r="D672" s="49"/>
      <c r="E672" s="50"/>
      <c r="F672" s="51"/>
      <c r="H672" s="51"/>
      <c r="I672" s="81"/>
      <c r="K672" s="81"/>
      <c r="L672" s="81"/>
      <c r="M672" s="81"/>
      <c r="N672" s="49"/>
      <c r="Q672" s="86"/>
      <c r="R672" s="86"/>
    </row>
    <row r="673" spans="1:18" s="44" customFormat="1" ht="12.75" x14ac:dyDescent="0.2">
      <c r="A673" s="48"/>
      <c r="D673" s="49"/>
      <c r="E673" s="50"/>
      <c r="F673" s="51"/>
      <c r="H673" s="51"/>
      <c r="I673" s="81"/>
      <c r="K673" s="81"/>
      <c r="L673" s="81"/>
      <c r="M673" s="81"/>
      <c r="N673" s="49"/>
      <c r="Q673" s="86"/>
      <c r="R673" s="86"/>
    </row>
    <row r="674" spans="1:18" s="44" customFormat="1" ht="12.75" x14ac:dyDescent="0.2">
      <c r="A674" s="48"/>
      <c r="D674" s="49"/>
      <c r="E674" s="50"/>
      <c r="F674" s="51"/>
      <c r="H674" s="51"/>
      <c r="I674" s="81"/>
      <c r="K674" s="81"/>
      <c r="L674" s="81"/>
      <c r="M674" s="81"/>
      <c r="N674" s="49"/>
      <c r="Q674" s="86"/>
      <c r="R674" s="86"/>
    </row>
    <row r="675" spans="1:18" s="44" customFormat="1" ht="12.75" x14ac:dyDescent="0.2">
      <c r="A675" s="48"/>
      <c r="D675" s="49"/>
      <c r="E675" s="50"/>
      <c r="F675" s="51"/>
      <c r="H675" s="51"/>
      <c r="I675" s="81"/>
      <c r="K675" s="81"/>
      <c r="L675" s="81"/>
      <c r="M675" s="81"/>
      <c r="N675" s="49"/>
      <c r="Q675" s="86"/>
      <c r="R675" s="86"/>
    </row>
    <row r="676" spans="1:18" s="44" customFormat="1" ht="12.75" x14ac:dyDescent="0.2">
      <c r="A676" s="48"/>
      <c r="D676" s="49"/>
      <c r="E676" s="50"/>
      <c r="F676" s="51"/>
      <c r="H676" s="51"/>
      <c r="I676" s="81"/>
      <c r="K676" s="81"/>
      <c r="L676" s="81"/>
      <c r="M676" s="81"/>
      <c r="N676" s="49"/>
      <c r="Q676" s="86"/>
      <c r="R676" s="86"/>
    </row>
    <row r="677" spans="1:18" s="44" customFormat="1" ht="12.75" x14ac:dyDescent="0.2">
      <c r="A677" s="48"/>
      <c r="D677" s="49"/>
      <c r="E677" s="50"/>
      <c r="F677" s="51"/>
      <c r="H677" s="51"/>
      <c r="I677" s="81"/>
      <c r="K677" s="81"/>
      <c r="L677" s="81"/>
      <c r="M677" s="81"/>
      <c r="N677" s="49"/>
      <c r="Q677" s="86"/>
      <c r="R677" s="86"/>
    </row>
    <row r="678" spans="1:18" s="44" customFormat="1" ht="12.75" x14ac:dyDescent="0.2">
      <c r="A678" s="48"/>
      <c r="D678" s="49"/>
      <c r="E678" s="50"/>
      <c r="F678" s="51"/>
      <c r="H678" s="51"/>
      <c r="I678" s="81"/>
      <c r="K678" s="81"/>
      <c r="L678" s="81"/>
      <c r="M678" s="81"/>
      <c r="N678" s="49"/>
      <c r="Q678" s="86"/>
      <c r="R678" s="86"/>
    </row>
    <row r="679" spans="1:18" s="44" customFormat="1" ht="12.75" x14ac:dyDescent="0.2">
      <c r="A679" s="48"/>
      <c r="D679" s="49"/>
      <c r="E679" s="50"/>
      <c r="F679" s="51"/>
      <c r="H679" s="51"/>
      <c r="I679" s="81"/>
      <c r="K679" s="81"/>
      <c r="L679" s="81"/>
      <c r="M679" s="81"/>
      <c r="N679" s="49"/>
      <c r="Q679" s="86"/>
      <c r="R679" s="86"/>
    </row>
    <row r="680" spans="1:18" s="44" customFormat="1" ht="12.75" x14ac:dyDescent="0.2">
      <c r="A680" s="48"/>
      <c r="D680" s="49"/>
      <c r="E680" s="50"/>
      <c r="F680" s="51"/>
      <c r="H680" s="51"/>
      <c r="I680" s="81"/>
      <c r="K680" s="81"/>
      <c r="L680" s="81"/>
      <c r="M680" s="81"/>
      <c r="N680" s="49"/>
      <c r="Q680" s="86"/>
      <c r="R680" s="86"/>
    </row>
    <row r="681" spans="1:18" s="44" customFormat="1" ht="12.75" x14ac:dyDescent="0.2">
      <c r="A681" s="48"/>
      <c r="D681" s="49"/>
      <c r="E681" s="50"/>
      <c r="F681" s="51"/>
      <c r="H681" s="51"/>
      <c r="I681" s="81"/>
      <c r="K681" s="81"/>
      <c r="L681" s="81"/>
      <c r="M681" s="81"/>
      <c r="N681" s="49"/>
      <c r="Q681" s="86"/>
      <c r="R681" s="86"/>
    </row>
    <row r="682" spans="1:18" s="44" customFormat="1" ht="12.75" x14ac:dyDescent="0.2">
      <c r="A682" s="48"/>
      <c r="D682" s="49"/>
      <c r="E682" s="50"/>
      <c r="F682" s="51"/>
      <c r="H682" s="51"/>
      <c r="I682" s="81"/>
      <c r="K682" s="81"/>
      <c r="L682" s="81"/>
      <c r="M682" s="81"/>
      <c r="N682" s="49"/>
      <c r="Q682" s="86"/>
      <c r="R682" s="86"/>
    </row>
    <row r="683" spans="1:18" s="44" customFormat="1" ht="12.75" x14ac:dyDescent="0.2">
      <c r="A683" s="48"/>
      <c r="D683" s="49"/>
      <c r="E683" s="50"/>
      <c r="F683" s="51"/>
      <c r="H683" s="51"/>
      <c r="I683" s="81"/>
      <c r="K683" s="81"/>
      <c r="L683" s="81"/>
      <c r="M683" s="81"/>
      <c r="N683" s="49"/>
      <c r="Q683" s="86"/>
      <c r="R683" s="86"/>
    </row>
    <row r="684" spans="1:18" s="44" customFormat="1" ht="12.75" x14ac:dyDescent="0.2">
      <c r="A684" s="48"/>
      <c r="D684" s="49"/>
      <c r="E684" s="50"/>
      <c r="F684" s="51"/>
      <c r="H684" s="51"/>
      <c r="I684" s="81"/>
      <c r="K684" s="81"/>
      <c r="L684" s="81"/>
      <c r="M684" s="81"/>
      <c r="N684" s="49"/>
      <c r="Q684" s="86"/>
      <c r="R684" s="86"/>
    </row>
    <row r="685" spans="1:18" s="44" customFormat="1" ht="12.75" x14ac:dyDescent="0.2">
      <c r="A685" s="48"/>
      <c r="D685" s="49"/>
      <c r="E685" s="50"/>
      <c r="F685" s="51"/>
      <c r="H685" s="51"/>
      <c r="I685" s="81"/>
      <c r="K685" s="81"/>
      <c r="L685" s="81"/>
      <c r="M685" s="81"/>
      <c r="N685" s="49"/>
      <c r="Q685" s="86"/>
      <c r="R685" s="86"/>
    </row>
    <row r="686" spans="1:18" s="44" customFormat="1" ht="12.75" x14ac:dyDescent="0.2">
      <c r="A686" s="48"/>
      <c r="D686" s="49"/>
      <c r="E686" s="50"/>
      <c r="F686" s="51"/>
      <c r="H686" s="51"/>
      <c r="I686" s="81"/>
      <c r="K686" s="81"/>
      <c r="L686" s="81"/>
      <c r="M686" s="81"/>
      <c r="N686" s="49"/>
      <c r="Q686" s="86"/>
      <c r="R686" s="86"/>
    </row>
    <row r="687" spans="1:18" s="44" customFormat="1" ht="12.75" x14ac:dyDescent="0.2">
      <c r="A687" s="48"/>
      <c r="D687" s="49"/>
      <c r="E687" s="50"/>
      <c r="F687" s="51"/>
      <c r="H687" s="51"/>
      <c r="I687" s="81"/>
      <c r="K687" s="81"/>
      <c r="L687" s="81"/>
      <c r="M687" s="81"/>
      <c r="N687" s="49"/>
      <c r="Q687" s="86"/>
      <c r="R687" s="86"/>
    </row>
    <row r="688" spans="1:18" s="44" customFormat="1" ht="12.75" x14ac:dyDescent="0.2">
      <c r="A688" s="48"/>
      <c r="D688" s="49"/>
      <c r="E688" s="50"/>
      <c r="F688" s="51"/>
      <c r="H688" s="51"/>
      <c r="I688" s="81"/>
      <c r="K688" s="81"/>
      <c r="L688" s="81"/>
      <c r="M688" s="81"/>
      <c r="N688" s="49"/>
      <c r="Q688" s="86"/>
      <c r="R688" s="86"/>
    </row>
    <row r="689" spans="1:18" s="44" customFormat="1" ht="12.75" x14ac:dyDescent="0.2">
      <c r="A689" s="48"/>
      <c r="D689" s="49"/>
      <c r="E689" s="50"/>
      <c r="F689" s="51"/>
      <c r="H689" s="51"/>
      <c r="I689" s="81"/>
      <c r="K689" s="81"/>
      <c r="L689" s="81"/>
      <c r="M689" s="81"/>
      <c r="N689" s="49"/>
      <c r="Q689" s="86"/>
      <c r="R689" s="86"/>
    </row>
    <row r="690" spans="1:18" s="44" customFormat="1" ht="12.75" x14ac:dyDescent="0.2">
      <c r="A690" s="48"/>
      <c r="D690" s="49"/>
      <c r="E690" s="50"/>
      <c r="F690" s="51"/>
      <c r="H690" s="51"/>
      <c r="I690" s="81"/>
      <c r="K690" s="81"/>
      <c r="L690" s="81"/>
      <c r="M690" s="81"/>
      <c r="N690" s="49"/>
      <c r="Q690" s="86"/>
      <c r="R690" s="86"/>
    </row>
    <row r="691" spans="1:18" s="44" customFormat="1" ht="12.75" x14ac:dyDescent="0.2">
      <c r="A691" s="48"/>
      <c r="D691" s="49"/>
      <c r="E691" s="50"/>
      <c r="F691" s="51"/>
      <c r="H691" s="51"/>
      <c r="I691" s="81"/>
      <c r="K691" s="81"/>
      <c r="L691" s="81"/>
      <c r="M691" s="81"/>
      <c r="N691" s="49"/>
      <c r="Q691" s="86"/>
      <c r="R691" s="86"/>
    </row>
    <row r="692" spans="1:18" s="44" customFormat="1" ht="12.75" x14ac:dyDescent="0.2">
      <c r="A692" s="48"/>
      <c r="D692" s="49"/>
      <c r="E692" s="50"/>
      <c r="F692" s="51"/>
      <c r="H692" s="51"/>
      <c r="I692" s="81"/>
      <c r="K692" s="81"/>
      <c r="L692" s="81"/>
      <c r="M692" s="81"/>
      <c r="N692" s="49"/>
      <c r="Q692" s="86"/>
      <c r="R692" s="86"/>
    </row>
    <row r="693" spans="1:18" s="44" customFormat="1" ht="12.75" x14ac:dyDescent="0.2">
      <c r="A693" s="48"/>
      <c r="D693" s="49"/>
      <c r="E693" s="50"/>
      <c r="F693" s="51"/>
      <c r="H693" s="51"/>
      <c r="I693" s="81"/>
      <c r="K693" s="81"/>
      <c r="L693" s="81"/>
      <c r="M693" s="81"/>
      <c r="N693" s="49"/>
      <c r="Q693" s="86"/>
      <c r="R693" s="86"/>
    </row>
    <row r="694" spans="1:18" s="44" customFormat="1" ht="12.75" x14ac:dyDescent="0.2">
      <c r="A694" s="48"/>
      <c r="D694" s="49"/>
      <c r="E694" s="50"/>
      <c r="F694" s="51"/>
      <c r="H694" s="51"/>
      <c r="I694" s="81"/>
      <c r="K694" s="81"/>
      <c r="L694" s="81"/>
      <c r="M694" s="81"/>
      <c r="N694" s="49"/>
      <c r="Q694" s="86"/>
      <c r="R694" s="86"/>
    </row>
    <row r="695" spans="1:18" s="44" customFormat="1" ht="12.75" x14ac:dyDescent="0.2">
      <c r="A695" s="48"/>
      <c r="D695" s="49"/>
      <c r="E695" s="50"/>
      <c r="F695" s="51"/>
      <c r="H695" s="51"/>
      <c r="I695" s="81"/>
      <c r="K695" s="81"/>
      <c r="L695" s="81"/>
      <c r="M695" s="81"/>
      <c r="N695" s="49"/>
      <c r="Q695" s="86"/>
      <c r="R695" s="86"/>
    </row>
    <row r="696" spans="1:18" s="44" customFormat="1" ht="12.75" x14ac:dyDescent="0.2">
      <c r="A696" s="48"/>
      <c r="D696" s="49"/>
      <c r="E696" s="50"/>
      <c r="F696" s="51"/>
      <c r="H696" s="51"/>
      <c r="I696" s="81"/>
      <c r="K696" s="81"/>
      <c r="L696" s="81"/>
      <c r="M696" s="81"/>
      <c r="N696" s="49"/>
      <c r="Q696" s="86"/>
      <c r="R696" s="86"/>
    </row>
    <row r="697" spans="1:18" s="44" customFormat="1" ht="12.75" x14ac:dyDescent="0.2">
      <c r="A697" s="48"/>
      <c r="D697" s="49"/>
      <c r="E697" s="50"/>
      <c r="F697" s="51"/>
      <c r="H697" s="51"/>
      <c r="I697" s="81"/>
      <c r="K697" s="81"/>
      <c r="L697" s="81"/>
      <c r="M697" s="81"/>
      <c r="N697" s="49"/>
      <c r="Q697" s="86"/>
      <c r="R697" s="86"/>
    </row>
    <row r="698" spans="1:18" s="44" customFormat="1" ht="12.75" x14ac:dyDescent="0.2">
      <c r="A698" s="48"/>
      <c r="D698" s="49"/>
      <c r="E698" s="50"/>
      <c r="F698" s="51"/>
      <c r="H698" s="51"/>
      <c r="I698" s="81"/>
      <c r="K698" s="81"/>
      <c r="L698" s="81"/>
      <c r="M698" s="81"/>
      <c r="N698" s="49"/>
      <c r="Q698" s="86"/>
      <c r="R698" s="86"/>
    </row>
    <row r="699" spans="1:18" s="44" customFormat="1" ht="12.75" x14ac:dyDescent="0.2">
      <c r="A699" s="48"/>
      <c r="D699" s="49"/>
      <c r="E699" s="50"/>
      <c r="F699" s="51"/>
      <c r="H699" s="51"/>
      <c r="I699" s="81"/>
      <c r="K699" s="81"/>
      <c r="L699" s="81"/>
      <c r="M699" s="81"/>
      <c r="N699" s="49"/>
      <c r="Q699" s="86"/>
      <c r="R699" s="86"/>
    </row>
    <row r="700" spans="1:18" s="44" customFormat="1" ht="12.75" x14ac:dyDescent="0.2">
      <c r="A700" s="48"/>
      <c r="D700" s="49"/>
      <c r="E700" s="50"/>
      <c r="F700" s="51"/>
      <c r="H700" s="51"/>
      <c r="I700" s="81"/>
      <c r="K700" s="81"/>
      <c r="L700" s="81"/>
      <c r="M700" s="81"/>
      <c r="N700" s="49"/>
      <c r="Q700" s="86"/>
      <c r="R700" s="86"/>
    </row>
    <row r="701" spans="1:18" s="44" customFormat="1" ht="12.75" x14ac:dyDescent="0.2">
      <c r="A701" s="48"/>
      <c r="D701" s="49"/>
      <c r="E701" s="50"/>
      <c r="F701" s="51"/>
      <c r="H701" s="51"/>
      <c r="I701" s="81"/>
      <c r="K701" s="81"/>
      <c r="L701" s="81"/>
      <c r="M701" s="81"/>
      <c r="N701" s="49"/>
      <c r="Q701" s="86"/>
      <c r="R701" s="86"/>
    </row>
    <row r="702" spans="1:18" s="44" customFormat="1" ht="12.75" x14ac:dyDescent="0.2">
      <c r="A702" s="48"/>
      <c r="D702" s="49"/>
      <c r="E702" s="50"/>
      <c r="F702" s="51"/>
      <c r="H702" s="51"/>
      <c r="I702" s="81"/>
      <c r="K702" s="81"/>
      <c r="L702" s="81"/>
      <c r="M702" s="81"/>
      <c r="N702" s="49"/>
      <c r="Q702" s="86"/>
      <c r="R702" s="86"/>
    </row>
    <row r="703" spans="1:18" s="44" customFormat="1" ht="12.75" x14ac:dyDescent="0.2">
      <c r="A703" s="48"/>
      <c r="D703" s="49"/>
      <c r="E703" s="50"/>
      <c r="F703" s="51"/>
      <c r="H703" s="51"/>
      <c r="I703" s="81"/>
      <c r="K703" s="81"/>
      <c r="L703" s="81"/>
      <c r="M703" s="81"/>
      <c r="N703" s="49"/>
      <c r="Q703" s="86"/>
      <c r="R703" s="86"/>
    </row>
    <row r="704" spans="1:18" s="44" customFormat="1" ht="12.75" x14ac:dyDescent="0.2">
      <c r="A704" s="48"/>
      <c r="D704" s="49"/>
      <c r="E704" s="50"/>
      <c r="F704" s="51"/>
      <c r="H704" s="51"/>
      <c r="I704" s="81"/>
      <c r="K704" s="81"/>
      <c r="L704" s="81"/>
      <c r="M704" s="81"/>
      <c r="N704" s="49"/>
      <c r="Q704" s="86"/>
      <c r="R704" s="86"/>
    </row>
    <row r="705" spans="1:18" s="44" customFormat="1" ht="12.75" x14ac:dyDescent="0.2">
      <c r="A705" s="48"/>
      <c r="D705" s="49"/>
      <c r="E705" s="50"/>
      <c r="F705" s="51"/>
      <c r="H705" s="51"/>
      <c r="I705" s="81"/>
      <c r="K705" s="81"/>
      <c r="L705" s="81"/>
      <c r="M705" s="81"/>
      <c r="N705" s="49"/>
      <c r="Q705" s="86"/>
      <c r="R705" s="86"/>
    </row>
    <row r="706" spans="1:18" s="44" customFormat="1" ht="12.75" x14ac:dyDescent="0.2">
      <c r="A706" s="48"/>
      <c r="D706" s="49"/>
      <c r="E706" s="50"/>
      <c r="F706" s="51"/>
      <c r="H706" s="51"/>
      <c r="I706" s="81"/>
      <c r="K706" s="81"/>
      <c r="L706" s="81"/>
      <c r="M706" s="81"/>
      <c r="N706" s="49"/>
      <c r="Q706" s="86"/>
      <c r="R706" s="86"/>
    </row>
    <row r="707" spans="1:18" s="44" customFormat="1" ht="12.75" x14ac:dyDescent="0.2">
      <c r="A707" s="48"/>
      <c r="D707" s="49"/>
      <c r="E707" s="50"/>
      <c r="F707" s="51"/>
      <c r="H707" s="51"/>
      <c r="I707" s="81"/>
      <c r="K707" s="81"/>
      <c r="L707" s="81"/>
      <c r="M707" s="81"/>
      <c r="N707" s="49"/>
      <c r="Q707" s="86"/>
      <c r="R707" s="86"/>
    </row>
    <row r="708" spans="1:18" s="44" customFormat="1" ht="12.75" x14ac:dyDescent="0.2">
      <c r="A708" s="48"/>
      <c r="D708" s="49"/>
      <c r="E708" s="50"/>
      <c r="F708" s="51"/>
      <c r="H708" s="51"/>
      <c r="I708" s="81"/>
      <c r="K708" s="81"/>
      <c r="L708" s="81"/>
      <c r="M708" s="81"/>
      <c r="N708" s="49"/>
      <c r="Q708" s="86"/>
      <c r="R708" s="86"/>
    </row>
    <row r="709" spans="1:18" s="44" customFormat="1" ht="12.75" x14ac:dyDescent="0.2">
      <c r="A709" s="48"/>
      <c r="D709" s="49"/>
      <c r="E709" s="50"/>
      <c r="F709" s="51"/>
      <c r="H709" s="51"/>
      <c r="I709" s="81"/>
      <c r="K709" s="81"/>
      <c r="L709" s="81"/>
      <c r="M709" s="81"/>
      <c r="N709" s="49"/>
      <c r="Q709" s="86"/>
      <c r="R709" s="86"/>
    </row>
    <row r="710" spans="1:18" s="44" customFormat="1" ht="12.75" x14ac:dyDescent="0.2">
      <c r="A710" s="48"/>
      <c r="D710" s="49"/>
      <c r="E710" s="50"/>
      <c r="F710" s="51"/>
      <c r="H710" s="51"/>
      <c r="I710" s="81"/>
      <c r="K710" s="81"/>
      <c r="L710" s="81"/>
      <c r="M710" s="81"/>
      <c r="N710" s="49"/>
      <c r="Q710" s="86"/>
      <c r="R710" s="86"/>
    </row>
    <row r="711" spans="1:18" s="44" customFormat="1" ht="12.75" x14ac:dyDescent="0.2">
      <c r="A711" s="48"/>
      <c r="D711" s="49"/>
      <c r="E711" s="50"/>
      <c r="F711" s="51"/>
      <c r="H711" s="51"/>
      <c r="I711" s="81"/>
      <c r="K711" s="81"/>
      <c r="L711" s="81"/>
      <c r="M711" s="81"/>
      <c r="N711" s="49"/>
      <c r="Q711" s="86"/>
      <c r="R711" s="86"/>
    </row>
    <row r="712" spans="1:18" s="44" customFormat="1" ht="12.75" x14ac:dyDescent="0.2">
      <c r="A712" s="48"/>
      <c r="D712" s="49"/>
      <c r="E712" s="50"/>
      <c r="F712" s="51"/>
      <c r="H712" s="51"/>
      <c r="I712" s="81"/>
      <c r="K712" s="81"/>
      <c r="L712" s="81"/>
      <c r="M712" s="81"/>
      <c r="N712" s="49"/>
      <c r="Q712" s="86"/>
      <c r="R712" s="86"/>
    </row>
    <row r="713" spans="1:18" s="44" customFormat="1" ht="12.75" x14ac:dyDescent="0.2">
      <c r="A713" s="48"/>
      <c r="D713" s="49"/>
      <c r="E713" s="50"/>
      <c r="F713" s="51"/>
      <c r="H713" s="51"/>
      <c r="I713" s="81"/>
      <c r="K713" s="81"/>
      <c r="L713" s="81"/>
      <c r="M713" s="81"/>
      <c r="N713" s="49"/>
      <c r="Q713" s="86"/>
      <c r="R713" s="86"/>
    </row>
    <row r="714" spans="1:18" s="44" customFormat="1" ht="12.75" x14ac:dyDescent="0.2">
      <c r="A714" s="48"/>
      <c r="D714" s="49"/>
      <c r="E714" s="50"/>
      <c r="F714" s="51"/>
      <c r="H714" s="51"/>
      <c r="I714" s="81"/>
      <c r="K714" s="81"/>
      <c r="L714" s="81"/>
      <c r="M714" s="81"/>
      <c r="N714" s="49"/>
      <c r="Q714" s="86"/>
      <c r="R714" s="86"/>
    </row>
    <row r="715" spans="1:18" s="44" customFormat="1" ht="12.75" x14ac:dyDescent="0.2">
      <c r="A715" s="48"/>
      <c r="D715" s="49"/>
      <c r="E715" s="50"/>
      <c r="F715" s="51"/>
      <c r="H715" s="51"/>
      <c r="I715" s="81"/>
      <c r="K715" s="81"/>
      <c r="L715" s="81"/>
      <c r="M715" s="81"/>
      <c r="N715" s="49"/>
      <c r="Q715" s="86"/>
      <c r="R715" s="86"/>
    </row>
    <row r="716" spans="1:18" s="44" customFormat="1" ht="12.75" x14ac:dyDescent="0.2">
      <c r="A716" s="48"/>
      <c r="D716" s="49"/>
      <c r="E716" s="50"/>
      <c r="F716" s="51"/>
      <c r="H716" s="51"/>
      <c r="I716" s="81"/>
      <c r="K716" s="81"/>
      <c r="L716" s="81"/>
      <c r="M716" s="81"/>
      <c r="N716" s="49"/>
      <c r="Q716" s="86"/>
      <c r="R716" s="86"/>
    </row>
    <row r="717" spans="1:18" s="44" customFormat="1" ht="12.75" x14ac:dyDescent="0.2">
      <c r="A717" s="48"/>
      <c r="D717" s="49"/>
      <c r="E717" s="50"/>
      <c r="F717" s="51"/>
      <c r="H717" s="51"/>
      <c r="I717" s="81"/>
      <c r="K717" s="81"/>
      <c r="L717" s="81"/>
      <c r="M717" s="81"/>
      <c r="N717" s="49"/>
      <c r="Q717" s="86"/>
      <c r="R717" s="86"/>
    </row>
    <row r="718" spans="1:18" s="44" customFormat="1" ht="12.75" x14ac:dyDescent="0.2">
      <c r="A718" s="48"/>
      <c r="D718" s="49"/>
      <c r="E718" s="50"/>
      <c r="F718" s="51"/>
      <c r="H718" s="51"/>
      <c r="I718" s="81"/>
      <c r="K718" s="81"/>
      <c r="L718" s="81"/>
      <c r="M718" s="81"/>
      <c r="N718" s="49"/>
      <c r="Q718" s="86"/>
      <c r="R718" s="86"/>
    </row>
    <row r="719" spans="1:18" s="44" customFormat="1" ht="12.75" x14ac:dyDescent="0.2">
      <c r="A719" s="48"/>
      <c r="D719" s="49"/>
      <c r="E719" s="50"/>
      <c r="F719" s="51"/>
      <c r="H719" s="51"/>
      <c r="I719" s="81"/>
      <c r="K719" s="81"/>
      <c r="L719" s="81"/>
      <c r="M719" s="81"/>
      <c r="N719" s="49"/>
      <c r="Q719" s="86"/>
      <c r="R719" s="86"/>
    </row>
    <row r="720" spans="1:18" s="44" customFormat="1" ht="12.75" x14ac:dyDescent="0.2">
      <c r="A720" s="48"/>
      <c r="D720" s="49"/>
      <c r="E720" s="50"/>
      <c r="F720" s="51"/>
      <c r="H720" s="51"/>
      <c r="I720" s="81"/>
      <c r="K720" s="81"/>
      <c r="L720" s="81"/>
      <c r="M720" s="81"/>
      <c r="N720" s="49"/>
      <c r="Q720" s="86"/>
      <c r="R720" s="86"/>
    </row>
    <row r="721" spans="1:18" s="44" customFormat="1" ht="12.75" x14ac:dyDescent="0.2">
      <c r="A721" s="48"/>
      <c r="D721" s="49"/>
      <c r="E721" s="50"/>
      <c r="F721" s="51"/>
      <c r="H721" s="51"/>
      <c r="I721" s="81"/>
      <c r="K721" s="81"/>
      <c r="L721" s="81"/>
      <c r="M721" s="81"/>
      <c r="N721" s="49"/>
      <c r="Q721" s="86"/>
      <c r="R721" s="86"/>
    </row>
    <row r="722" spans="1:18" s="44" customFormat="1" ht="12.75" x14ac:dyDescent="0.2">
      <c r="A722" s="48"/>
      <c r="D722" s="49"/>
      <c r="E722" s="50"/>
      <c r="F722" s="51"/>
      <c r="H722" s="51"/>
      <c r="I722" s="81"/>
      <c r="K722" s="81"/>
      <c r="L722" s="81"/>
      <c r="M722" s="81"/>
      <c r="N722" s="49"/>
      <c r="Q722" s="86"/>
      <c r="R722" s="86"/>
    </row>
    <row r="723" spans="1:18" s="44" customFormat="1" ht="12.75" x14ac:dyDescent="0.2">
      <c r="A723" s="48"/>
      <c r="D723" s="49"/>
      <c r="E723" s="50"/>
      <c r="F723" s="51"/>
      <c r="H723" s="51"/>
      <c r="I723" s="81"/>
      <c r="K723" s="81"/>
      <c r="L723" s="81"/>
      <c r="M723" s="81"/>
      <c r="N723" s="49"/>
      <c r="Q723" s="86"/>
      <c r="R723" s="86"/>
    </row>
    <row r="724" spans="1:18" s="44" customFormat="1" ht="12.75" x14ac:dyDescent="0.2">
      <c r="A724" s="48"/>
      <c r="D724" s="49"/>
      <c r="E724" s="50"/>
      <c r="F724" s="51"/>
      <c r="H724" s="51"/>
      <c r="I724" s="81"/>
      <c r="K724" s="81"/>
      <c r="L724" s="81"/>
      <c r="M724" s="81"/>
      <c r="N724" s="49"/>
      <c r="Q724" s="86"/>
      <c r="R724" s="86"/>
    </row>
    <row r="725" spans="1:18" s="44" customFormat="1" ht="12.75" x14ac:dyDescent="0.2">
      <c r="A725" s="48"/>
      <c r="D725" s="49"/>
      <c r="E725" s="50"/>
      <c r="F725" s="51"/>
      <c r="H725" s="51"/>
      <c r="I725" s="81"/>
      <c r="K725" s="81"/>
      <c r="L725" s="81"/>
      <c r="M725" s="81"/>
      <c r="N725" s="49"/>
      <c r="Q725" s="86"/>
      <c r="R725" s="86"/>
    </row>
    <row r="726" spans="1:18" s="44" customFormat="1" ht="12.75" x14ac:dyDescent="0.2">
      <c r="A726" s="48"/>
      <c r="D726" s="49"/>
      <c r="E726" s="50"/>
      <c r="F726" s="51"/>
      <c r="H726" s="51"/>
      <c r="I726" s="81"/>
      <c r="K726" s="81"/>
      <c r="L726" s="81"/>
      <c r="M726" s="81"/>
      <c r="N726" s="49"/>
      <c r="Q726" s="86"/>
      <c r="R726" s="86"/>
    </row>
    <row r="727" spans="1:18" s="44" customFormat="1" ht="12.75" x14ac:dyDescent="0.2">
      <c r="A727" s="48"/>
      <c r="D727" s="49"/>
      <c r="E727" s="50"/>
      <c r="F727" s="51"/>
      <c r="H727" s="51"/>
      <c r="I727" s="81"/>
      <c r="K727" s="81"/>
      <c r="L727" s="81"/>
      <c r="M727" s="81"/>
      <c r="N727" s="49"/>
      <c r="Q727" s="86"/>
      <c r="R727" s="86"/>
    </row>
    <row r="728" spans="1:18" s="44" customFormat="1" ht="12.75" x14ac:dyDescent="0.2">
      <c r="A728" s="48"/>
      <c r="D728" s="49"/>
      <c r="E728" s="50"/>
      <c r="F728" s="51"/>
      <c r="H728" s="51"/>
      <c r="I728" s="81"/>
      <c r="K728" s="81"/>
      <c r="L728" s="81"/>
      <c r="M728" s="81"/>
      <c r="N728" s="49"/>
      <c r="Q728" s="86"/>
      <c r="R728" s="86"/>
    </row>
    <row r="729" spans="1:18" s="44" customFormat="1" ht="12.75" x14ac:dyDescent="0.2">
      <c r="A729" s="48"/>
      <c r="D729" s="49"/>
      <c r="E729" s="50"/>
      <c r="F729" s="51"/>
      <c r="H729" s="51"/>
      <c r="I729" s="81"/>
      <c r="K729" s="81"/>
      <c r="L729" s="81"/>
      <c r="M729" s="81"/>
      <c r="N729" s="49"/>
      <c r="Q729" s="86"/>
      <c r="R729" s="86"/>
    </row>
    <row r="730" spans="1:18" s="44" customFormat="1" ht="12.75" x14ac:dyDescent="0.2">
      <c r="A730" s="48"/>
      <c r="D730" s="49"/>
      <c r="E730" s="50"/>
      <c r="F730" s="51"/>
      <c r="H730" s="51"/>
      <c r="I730" s="81"/>
      <c r="K730" s="81"/>
      <c r="L730" s="81"/>
      <c r="M730" s="81"/>
      <c r="N730" s="49"/>
      <c r="Q730" s="86"/>
      <c r="R730" s="86"/>
    </row>
    <row r="731" spans="1:18" s="44" customFormat="1" ht="12.75" x14ac:dyDescent="0.2">
      <c r="A731" s="48"/>
      <c r="D731" s="49"/>
      <c r="E731" s="50"/>
      <c r="F731" s="51"/>
      <c r="H731" s="51"/>
      <c r="I731" s="81"/>
      <c r="K731" s="81"/>
      <c r="L731" s="81"/>
      <c r="M731" s="81"/>
      <c r="N731" s="49"/>
      <c r="Q731" s="86"/>
      <c r="R731" s="86"/>
    </row>
    <row r="732" spans="1:18" s="44" customFormat="1" ht="12.75" x14ac:dyDescent="0.2">
      <c r="A732" s="48"/>
      <c r="D732" s="49"/>
      <c r="E732" s="50"/>
      <c r="F732" s="51"/>
      <c r="H732" s="51"/>
      <c r="I732" s="81"/>
      <c r="K732" s="81"/>
      <c r="L732" s="81"/>
      <c r="M732" s="81"/>
      <c r="N732" s="49"/>
      <c r="Q732" s="86"/>
      <c r="R732" s="86"/>
    </row>
    <row r="733" spans="1:18" s="44" customFormat="1" ht="12.75" x14ac:dyDescent="0.2">
      <c r="A733" s="48"/>
      <c r="D733" s="49"/>
      <c r="E733" s="50"/>
      <c r="F733" s="51"/>
      <c r="H733" s="51"/>
      <c r="I733" s="81"/>
      <c r="K733" s="81"/>
      <c r="L733" s="81"/>
      <c r="M733" s="81"/>
      <c r="N733" s="49"/>
      <c r="Q733" s="86"/>
      <c r="R733" s="86"/>
    </row>
    <row r="734" spans="1:18" s="44" customFormat="1" ht="12.75" x14ac:dyDescent="0.2">
      <c r="A734" s="48"/>
      <c r="D734" s="49"/>
      <c r="E734" s="50"/>
      <c r="F734" s="51"/>
      <c r="H734" s="51"/>
      <c r="I734" s="81"/>
      <c r="K734" s="81"/>
      <c r="L734" s="81"/>
      <c r="M734" s="81"/>
      <c r="N734" s="49"/>
      <c r="Q734" s="86"/>
      <c r="R734" s="86"/>
    </row>
    <row r="735" spans="1:18" s="44" customFormat="1" ht="12.75" x14ac:dyDescent="0.2">
      <c r="A735" s="48"/>
      <c r="D735" s="49"/>
      <c r="E735" s="50"/>
      <c r="F735" s="51"/>
      <c r="H735" s="51"/>
      <c r="I735" s="81"/>
      <c r="K735" s="81"/>
      <c r="L735" s="81"/>
      <c r="M735" s="81"/>
      <c r="N735" s="49"/>
      <c r="Q735" s="86"/>
      <c r="R735" s="86"/>
    </row>
    <row r="736" spans="1:18" s="44" customFormat="1" ht="12.75" x14ac:dyDescent="0.2">
      <c r="A736" s="48"/>
      <c r="D736" s="49"/>
      <c r="E736" s="50"/>
      <c r="F736" s="51"/>
      <c r="H736" s="51"/>
      <c r="I736" s="81"/>
      <c r="K736" s="81"/>
      <c r="L736" s="81"/>
      <c r="M736" s="81"/>
      <c r="N736" s="49"/>
      <c r="Q736" s="86"/>
      <c r="R736" s="86"/>
    </row>
    <row r="737" spans="1:18" s="44" customFormat="1" ht="12.75" x14ac:dyDescent="0.2">
      <c r="A737" s="48"/>
      <c r="D737" s="49"/>
      <c r="E737" s="50"/>
      <c r="F737" s="51"/>
      <c r="H737" s="51"/>
      <c r="I737" s="81"/>
      <c r="K737" s="81"/>
      <c r="L737" s="81"/>
      <c r="M737" s="81"/>
      <c r="N737" s="49"/>
      <c r="Q737" s="86"/>
      <c r="R737" s="86"/>
    </row>
    <row r="738" spans="1:18" s="44" customFormat="1" ht="12.75" x14ac:dyDescent="0.2">
      <c r="A738" s="48"/>
      <c r="D738" s="49"/>
      <c r="E738" s="50"/>
      <c r="F738" s="51"/>
      <c r="H738" s="51"/>
      <c r="I738" s="81"/>
      <c r="K738" s="81"/>
      <c r="L738" s="81"/>
      <c r="M738" s="81"/>
      <c r="N738" s="49"/>
      <c r="Q738" s="86"/>
      <c r="R738" s="86"/>
    </row>
    <row r="739" spans="1:18" s="44" customFormat="1" ht="12.75" x14ac:dyDescent="0.2">
      <c r="A739" s="48"/>
      <c r="D739" s="49"/>
      <c r="E739" s="50"/>
      <c r="F739" s="51"/>
      <c r="H739" s="51"/>
      <c r="I739" s="81"/>
      <c r="K739" s="81"/>
      <c r="L739" s="81"/>
      <c r="M739" s="81"/>
      <c r="N739" s="49"/>
      <c r="Q739" s="86"/>
      <c r="R739" s="86"/>
    </row>
    <row r="740" spans="1:18" s="44" customFormat="1" ht="12.75" x14ac:dyDescent="0.2">
      <c r="A740" s="48"/>
      <c r="D740" s="49"/>
      <c r="E740" s="50"/>
      <c r="F740" s="51"/>
      <c r="H740" s="51"/>
      <c r="I740" s="81"/>
      <c r="K740" s="81"/>
      <c r="L740" s="81"/>
      <c r="M740" s="81"/>
      <c r="N740" s="49"/>
      <c r="Q740" s="86"/>
      <c r="R740" s="86"/>
    </row>
    <row r="741" spans="1:18" s="44" customFormat="1" ht="12.75" x14ac:dyDescent="0.2">
      <c r="A741" s="48"/>
      <c r="D741" s="49"/>
      <c r="E741" s="50"/>
      <c r="F741" s="51"/>
      <c r="H741" s="51"/>
      <c r="I741" s="81"/>
      <c r="K741" s="81"/>
      <c r="L741" s="81"/>
      <c r="M741" s="81"/>
      <c r="N741" s="49"/>
      <c r="Q741" s="86"/>
      <c r="R741" s="86"/>
    </row>
    <row r="742" spans="1:18" s="44" customFormat="1" ht="12.75" x14ac:dyDescent="0.2">
      <c r="A742" s="48"/>
      <c r="D742" s="49"/>
      <c r="E742" s="50"/>
      <c r="F742" s="51"/>
      <c r="H742" s="51"/>
      <c r="I742" s="81"/>
      <c r="K742" s="81"/>
      <c r="L742" s="81"/>
      <c r="M742" s="81"/>
      <c r="N742" s="49"/>
      <c r="Q742" s="86"/>
      <c r="R742" s="86"/>
    </row>
    <row r="743" spans="1:18" s="44" customFormat="1" ht="12.75" x14ac:dyDescent="0.2">
      <c r="A743" s="48"/>
      <c r="D743" s="49"/>
      <c r="E743" s="50"/>
      <c r="F743" s="51"/>
      <c r="H743" s="51"/>
      <c r="I743" s="81"/>
      <c r="K743" s="81"/>
      <c r="L743" s="81"/>
      <c r="M743" s="81"/>
      <c r="N743" s="49"/>
      <c r="Q743" s="86"/>
      <c r="R743" s="86"/>
    </row>
    <row r="744" spans="1:18" s="44" customFormat="1" ht="12.75" x14ac:dyDescent="0.2">
      <c r="A744" s="48"/>
      <c r="D744" s="49"/>
      <c r="E744" s="50"/>
      <c r="F744" s="51"/>
      <c r="H744" s="51"/>
      <c r="I744" s="81"/>
      <c r="K744" s="81"/>
      <c r="L744" s="81"/>
      <c r="M744" s="81"/>
      <c r="N744" s="49"/>
      <c r="Q744" s="86"/>
      <c r="R744" s="86"/>
    </row>
    <row r="745" spans="1:18" s="44" customFormat="1" ht="12.75" x14ac:dyDescent="0.2">
      <c r="A745" s="48"/>
      <c r="D745" s="49"/>
      <c r="E745" s="50"/>
      <c r="F745" s="51"/>
      <c r="H745" s="51"/>
      <c r="I745" s="81"/>
      <c r="K745" s="81"/>
      <c r="L745" s="81"/>
      <c r="M745" s="81"/>
      <c r="N745" s="49"/>
      <c r="Q745" s="86"/>
      <c r="R745" s="86"/>
    </row>
    <row r="746" spans="1:18" s="44" customFormat="1" ht="12.75" x14ac:dyDescent="0.2">
      <c r="A746" s="48"/>
      <c r="D746" s="49"/>
      <c r="E746" s="50"/>
      <c r="F746" s="51"/>
      <c r="H746" s="51"/>
      <c r="I746" s="81"/>
      <c r="K746" s="81"/>
      <c r="L746" s="81"/>
      <c r="M746" s="81"/>
      <c r="N746" s="49"/>
      <c r="Q746" s="86"/>
      <c r="R746" s="86"/>
    </row>
    <row r="747" spans="1:18" s="44" customFormat="1" ht="12.75" x14ac:dyDescent="0.2">
      <c r="A747" s="48"/>
      <c r="D747" s="49"/>
      <c r="E747" s="50"/>
      <c r="F747" s="51"/>
      <c r="H747" s="51"/>
      <c r="I747" s="81"/>
      <c r="K747" s="81"/>
      <c r="L747" s="81"/>
      <c r="M747" s="81"/>
      <c r="N747" s="49"/>
      <c r="Q747" s="86"/>
      <c r="R747" s="86"/>
    </row>
    <row r="748" spans="1:18" s="44" customFormat="1" ht="12.75" x14ac:dyDescent="0.2">
      <c r="A748" s="48"/>
      <c r="D748" s="49"/>
      <c r="E748" s="50"/>
      <c r="F748" s="51"/>
      <c r="H748" s="51"/>
      <c r="I748" s="81"/>
      <c r="K748" s="81"/>
      <c r="L748" s="81"/>
      <c r="M748" s="81"/>
      <c r="N748" s="49"/>
      <c r="Q748" s="86"/>
      <c r="R748" s="86"/>
    </row>
    <row r="749" spans="1:18" s="44" customFormat="1" ht="12.75" x14ac:dyDescent="0.2">
      <c r="A749" s="48"/>
      <c r="D749" s="49"/>
      <c r="E749" s="50"/>
      <c r="F749" s="51"/>
      <c r="H749" s="51"/>
      <c r="I749" s="81"/>
      <c r="K749" s="81"/>
      <c r="L749" s="81"/>
      <c r="M749" s="81"/>
      <c r="N749" s="49"/>
      <c r="Q749" s="86"/>
      <c r="R749" s="86"/>
    </row>
    <row r="750" spans="1:18" s="44" customFormat="1" ht="12.75" x14ac:dyDescent="0.2">
      <c r="A750" s="48"/>
      <c r="D750" s="49"/>
      <c r="E750" s="50"/>
      <c r="F750" s="51"/>
      <c r="H750" s="51"/>
      <c r="I750" s="81"/>
      <c r="K750" s="81"/>
      <c r="L750" s="81"/>
      <c r="M750" s="81"/>
      <c r="N750" s="49"/>
      <c r="Q750" s="86"/>
      <c r="R750" s="86"/>
    </row>
    <row r="751" spans="1:18" s="44" customFormat="1" ht="12.75" x14ac:dyDescent="0.2">
      <c r="A751" s="48"/>
      <c r="D751" s="49"/>
      <c r="E751" s="50"/>
      <c r="F751" s="51"/>
      <c r="H751" s="51"/>
      <c r="I751" s="81"/>
      <c r="K751" s="81"/>
      <c r="L751" s="81"/>
      <c r="M751" s="81"/>
      <c r="N751" s="49"/>
      <c r="Q751" s="86"/>
      <c r="R751" s="86"/>
    </row>
    <row r="752" spans="1:18" s="44" customFormat="1" ht="12.75" x14ac:dyDescent="0.2">
      <c r="A752" s="48"/>
      <c r="D752" s="49"/>
      <c r="E752" s="50"/>
      <c r="F752" s="51"/>
      <c r="H752" s="51"/>
      <c r="I752" s="81"/>
      <c r="K752" s="81"/>
      <c r="L752" s="81"/>
      <c r="M752" s="81"/>
      <c r="N752" s="49"/>
      <c r="Q752" s="86"/>
      <c r="R752" s="86"/>
    </row>
    <row r="753" spans="1:18" s="44" customFormat="1" ht="12.75" x14ac:dyDescent="0.2">
      <c r="A753" s="48"/>
      <c r="D753" s="49"/>
      <c r="E753" s="50"/>
      <c r="F753" s="51"/>
      <c r="H753" s="51"/>
      <c r="I753" s="81"/>
      <c r="K753" s="81"/>
      <c r="L753" s="81"/>
      <c r="M753" s="81"/>
      <c r="N753" s="49"/>
      <c r="Q753" s="86"/>
      <c r="R753" s="86"/>
    </row>
    <row r="754" spans="1:18" s="44" customFormat="1" ht="12.75" x14ac:dyDescent="0.2">
      <c r="A754" s="48"/>
      <c r="D754" s="49"/>
      <c r="E754" s="50"/>
      <c r="F754" s="51"/>
      <c r="H754" s="51"/>
      <c r="I754" s="81"/>
      <c r="K754" s="81"/>
      <c r="L754" s="81"/>
      <c r="M754" s="81"/>
      <c r="N754" s="49"/>
      <c r="Q754" s="86"/>
      <c r="R754" s="86"/>
    </row>
    <row r="755" spans="1:18" s="44" customFormat="1" ht="12.75" x14ac:dyDescent="0.2">
      <c r="A755" s="48"/>
      <c r="D755" s="49"/>
      <c r="E755" s="50"/>
      <c r="F755" s="51"/>
      <c r="H755" s="51"/>
      <c r="I755" s="81"/>
      <c r="K755" s="81"/>
      <c r="L755" s="81"/>
      <c r="M755" s="81"/>
      <c r="N755" s="49"/>
      <c r="Q755" s="86"/>
      <c r="R755" s="86"/>
    </row>
    <row r="756" spans="1:18" s="44" customFormat="1" ht="12.75" x14ac:dyDescent="0.2">
      <c r="A756" s="48"/>
      <c r="D756" s="49"/>
      <c r="E756" s="50"/>
      <c r="F756" s="51"/>
      <c r="H756" s="51"/>
      <c r="I756" s="81"/>
      <c r="K756" s="81"/>
      <c r="L756" s="81"/>
      <c r="M756" s="81"/>
      <c r="N756" s="49"/>
      <c r="Q756" s="86"/>
      <c r="R756" s="86"/>
    </row>
    <row r="757" spans="1:18" s="44" customFormat="1" ht="12.75" x14ac:dyDescent="0.2">
      <c r="A757" s="48"/>
      <c r="D757" s="49"/>
      <c r="E757" s="50"/>
      <c r="F757" s="51"/>
      <c r="H757" s="51"/>
      <c r="I757" s="81"/>
      <c r="K757" s="81"/>
      <c r="L757" s="81"/>
      <c r="M757" s="81"/>
      <c r="N757" s="49"/>
      <c r="Q757" s="86"/>
      <c r="R757" s="86"/>
    </row>
    <row r="758" spans="1:18" s="44" customFormat="1" ht="12.75" x14ac:dyDescent="0.2">
      <c r="A758" s="48"/>
      <c r="D758" s="49"/>
      <c r="E758" s="50"/>
      <c r="F758" s="51"/>
      <c r="H758" s="51"/>
      <c r="I758" s="81"/>
      <c r="K758" s="81"/>
      <c r="L758" s="81"/>
      <c r="M758" s="81"/>
      <c r="N758" s="49"/>
      <c r="Q758" s="86"/>
      <c r="R758" s="86"/>
    </row>
    <row r="759" spans="1:18" s="44" customFormat="1" ht="12.75" x14ac:dyDescent="0.2">
      <c r="A759" s="48"/>
      <c r="D759" s="49"/>
      <c r="E759" s="50"/>
      <c r="F759" s="51"/>
      <c r="H759" s="51"/>
      <c r="I759" s="81"/>
      <c r="K759" s="81"/>
      <c r="L759" s="81"/>
      <c r="M759" s="81"/>
      <c r="N759" s="49"/>
      <c r="Q759" s="86"/>
      <c r="R759" s="86"/>
    </row>
    <row r="760" spans="1:18" s="44" customFormat="1" ht="12.75" x14ac:dyDescent="0.2">
      <c r="A760" s="48"/>
      <c r="D760" s="49"/>
      <c r="E760" s="50"/>
      <c r="F760" s="51"/>
      <c r="H760" s="51"/>
      <c r="I760" s="81"/>
      <c r="K760" s="81"/>
      <c r="L760" s="81"/>
      <c r="M760" s="81"/>
      <c r="N760" s="49"/>
      <c r="Q760" s="86"/>
      <c r="R760" s="86"/>
    </row>
    <row r="761" spans="1:18" s="44" customFormat="1" ht="12.75" x14ac:dyDescent="0.2">
      <c r="A761" s="48"/>
      <c r="D761" s="49"/>
      <c r="E761" s="50"/>
      <c r="F761" s="51"/>
      <c r="H761" s="51"/>
      <c r="I761" s="81"/>
      <c r="K761" s="81"/>
      <c r="L761" s="81"/>
      <c r="M761" s="81"/>
      <c r="N761" s="49"/>
      <c r="Q761" s="86"/>
      <c r="R761" s="86"/>
    </row>
    <row r="762" spans="1:18" s="44" customFormat="1" ht="12.75" x14ac:dyDescent="0.2">
      <c r="A762" s="48"/>
      <c r="D762" s="49"/>
      <c r="E762" s="50"/>
      <c r="F762" s="51"/>
      <c r="H762" s="51"/>
      <c r="I762" s="81"/>
      <c r="K762" s="81"/>
      <c r="L762" s="81"/>
      <c r="M762" s="81"/>
      <c r="N762" s="49"/>
      <c r="Q762" s="86"/>
      <c r="R762" s="86"/>
    </row>
    <row r="763" spans="1:18" s="44" customFormat="1" ht="12.75" x14ac:dyDescent="0.2">
      <c r="A763" s="48"/>
      <c r="D763" s="49"/>
      <c r="E763" s="50"/>
      <c r="F763" s="51"/>
      <c r="H763" s="51"/>
      <c r="I763" s="81"/>
      <c r="K763" s="81"/>
      <c r="L763" s="81"/>
      <c r="M763" s="81"/>
      <c r="N763" s="49"/>
      <c r="Q763" s="86"/>
      <c r="R763" s="86"/>
    </row>
    <row r="764" spans="1:18" s="44" customFormat="1" ht="12.75" x14ac:dyDescent="0.2">
      <c r="A764" s="48"/>
      <c r="D764" s="49"/>
      <c r="E764" s="50"/>
      <c r="F764" s="51"/>
      <c r="H764" s="51"/>
      <c r="I764" s="81"/>
      <c r="K764" s="81"/>
      <c r="L764" s="81"/>
      <c r="M764" s="81"/>
      <c r="N764" s="49"/>
      <c r="Q764" s="86"/>
      <c r="R764" s="86"/>
    </row>
    <row r="765" spans="1:18" s="44" customFormat="1" ht="12.75" x14ac:dyDescent="0.2">
      <c r="A765" s="48"/>
      <c r="D765" s="49"/>
      <c r="E765" s="50"/>
      <c r="F765" s="51"/>
      <c r="H765" s="51"/>
      <c r="I765" s="81"/>
      <c r="K765" s="81"/>
      <c r="L765" s="81"/>
      <c r="M765" s="81"/>
      <c r="N765" s="49"/>
      <c r="Q765" s="86"/>
      <c r="R765" s="86"/>
    </row>
    <row r="766" spans="1:18" s="44" customFormat="1" ht="12.75" x14ac:dyDescent="0.2">
      <c r="A766" s="48"/>
      <c r="D766" s="49"/>
      <c r="E766" s="50"/>
      <c r="F766" s="51"/>
      <c r="H766" s="51"/>
      <c r="I766" s="81"/>
      <c r="K766" s="81"/>
      <c r="L766" s="81"/>
      <c r="M766" s="81"/>
      <c r="N766" s="49"/>
      <c r="Q766" s="86"/>
      <c r="R766" s="86"/>
    </row>
    <row r="767" spans="1:18" s="44" customFormat="1" ht="12.75" x14ac:dyDescent="0.2">
      <c r="A767" s="48"/>
      <c r="D767" s="49"/>
      <c r="E767" s="50"/>
      <c r="F767" s="51"/>
      <c r="H767" s="51"/>
      <c r="I767" s="81"/>
      <c r="K767" s="81"/>
      <c r="L767" s="81"/>
      <c r="M767" s="81"/>
      <c r="N767" s="49"/>
      <c r="Q767" s="86"/>
      <c r="R767" s="86"/>
    </row>
    <row r="768" spans="1:18" s="44" customFormat="1" ht="12.75" x14ac:dyDescent="0.2">
      <c r="A768" s="48"/>
      <c r="D768" s="49"/>
      <c r="E768" s="50"/>
      <c r="F768" s="51"/>
      <c r="H768" s="51"/>
      <c r="I768" s="81"/>
      <c r="K768" s="81"/>
      <c r="L768" s="81"/>
      <c r="M768" s="81"/>
      <c r="N768" s="49"/>
      <c r="Q768" s="86"/>
      <c r="R768" s="86"/>
    </row>
    <row r="769" spans="1:18" s="44" customFormat="1" ht="12.75" x14ac:dyDescent="0.2">
      <c r="A769" s="48"/>
      <c r="D769" s="49"/>
      <c r="E769" s="50"/>
      <c r="F769" s="51"/>
      <c r="H769" s="51"/>
      <c r="I769" s="81"/>
      <c r="K769" s="81"/>
      <c r="L769" s="81"/>
      <c r="M769" s="81"/>
      <c r="N769" s="49"/>
      <c r="Q769" s="86"/>
      <c r="R769" s="86"/>
    </row>
    <row r="770" spans="1:18" s="44" customFormat="1" ht="12.75" x14ac:dyDescent="0.2">
      <c r="A770" s="48"/>
      <c r="D770" s="49"/>
      <c r="E770" s="50"/>
      <c r="F770" s="51"/>
      <c r="H770" s="51"/>
      <c r="I770" s="81"/>
      <c r="K770" s="81"/>
      <c r="L770" s="81"/>
      <c r="M770" s="81"/>
      <c r="N770" s="49"/>
      <c r="Q770" s="86"/>
      <c r="R770" s="86"/>
    </row>
    <row r="771" spans="1:18" s="44" customFormat="1" ht="12.75" x14ac:dyDescent="0.2">
      <c r="A771" s="48"/>
      <c r="D771" s="49"/>
      <c r="E771" s="50"/>
      <c r="F771" s="51"/>
      <c r="H771" s="51"/>
      <c r="I771" s="81"/>
      <c r="K771" s="81"/>
      <c r="L771" s="81"/>
      <c r="M771" s="81"/>
      <c r="N771" s="49"/>
      <c r="Q771" s="86"/>
      <c r="R771" s="86"/>
    </row>
    <row r="772" spans="1:18" s="44" customFormat="1" ht="12.75" x14ac:dyDescent="0.2">
      <c r="A772" s="48"/>
      <c r="D772" s="49"/>
      <c r="E772" s="50"/>
      <c r="F772" s="51"/>
      <c r="H772" s="51"/>
      <c r="I772" s="81"/>
      <c r="K772" s="81"/>
      <c r="L772" s="81"/>
      <c r="M772" s="81"/>
      <c r="N772" s="49"/>
      <c r="Q772" s="86"/>
      <c r="R772" s="86"/>
    </row>
    <row r="773" spans="1:18" s="44" customFormat="1" ht="12.75" x14ac:dyDescent="0.2">
      <c r="A773" s="48"/>
      <c r="D773" s="49"/>
      <c r="E773" s="50"/>
      <c r="F773" s="51"/>
      <c r="H773" s="51"/>
      <c r="I773" s="81"/>
      <c r="K773" s="81"/>
      <c r="L773" s="81"/>
      <c r="M773" s="81"/>
      <c r="N773" s="49"/>
      <c r="Q773" s="86"/>
      <c r="R773" s="86"/>
    </row>
    <row r="774" spans="1:18" s="44" customFormat="1" ht="12.75" x14ac:dyDescent="0.2">
      <c r="A774" s="48"/>
      <c r="D774" s="49"/>
      <c r="E774" s="50"/>
      <c r="F774" s="51"/>
      <c r="H774" s="51"/>
      <c r="I774" s="81"/>
      <c r="K774" s="81"/>
      <c r="L774" s="81"/>
      <c r="M774" s="81"/>
      <c r="N774" s="49"/>
      <c r="Q774" s="86"/>
      <c r="R774" s="86"/>
    </row>
    <row r="775" spans="1:18" s="44" customFormat="1" ht="12.75" x14ac:dyDescent="0.2">
      <c r="A775" s="48"/>
      <c r="D775" s="49"/>
      <c r="E775" s="50"/>
      <c r="F775" s="51"/>
      <c r="H775" s="51"/>
      <c r="I775" s="81"/>
      <c r="K775" s="81"/>
      <c r="L775" s="81"/>
      <c r="M775" s="81"/>
      <c r="N775" s="49"/>
      <c r="Q775" s="86"/>
      <c r="R775" s="86"/>
    </row>
    <row r="776" spans="1:18" s="44" customFormat="1" ht="12.75" x14ac:dyDescent="0.2">
      <c r="A776" s="48"/>
      <c r="D776" s="49"/>
      <c r="E776" s="50"/>
      <c r="F776" s="51"/>
      <c r="H776" s="51"/>
      <c r="I776" s="81"/>
      <c r="K776" s="81"/>
      <c r="L776" s="81"/>
      <c r="M776" s="81"/>
      <c r="N776" s="49"/>
      <c r="Q776" s="86"/>
      <c r="R776" s="86"/>
    </row>
    <row r="777" spans="1:18" s="44" customFormat="1" ht="12.75" x14ac:dyDescent="0.2">
      <c r="A777" s="48"/>
      <c r="D777" s="49"/>
      <c r="E777" s="50"/>
      <c r="F777" s="51"/>
      <c r="H777" s="51"/>
      <c r="I777" s="81"/>
      <c r="K777" s="81"/>
      <c r="L777" s="81"/>
      <c r="M777" s="81"/>
      <c r="N777" s="49"/>
      <c r="Q777" s="86"/>
      <c r="R777" s="86"/>
    </row>
    <row r="778" spans="1:18" s="44" customFormat="1" ht="12.75" x14ac:dyDescent="0.2">
      <c r="A778" s="48"/>
      <c r="D778" s="49"/>
      <c r="E778" s="50"/>
      <c r="F778" s="51"/>
      <c r="H778" s="51"/>
      <c r="I778" s="81"/>
      <c r="K778" s="81"/>
      <c r="L778" s="81"/>
      <c r="M778" s="81"/>
      <c r="N778" s="49"/>
      <c r="Q778" s="86"/>
      <c r="R778" s="86"/>
    </row>
    <row r="779" spans="1:18" s="44" customFormat="1" ht="12.75" x14ac:dyDescent="0.2">
      <c r="A779" s="48"/>
      <c r="D779" s="49"/>
      <c r="E779" s="50"/>
      <c r="F779" s="51"/>
      <c r="H779" s="51"/>
      <c r="I779" s="81"/>
      <c r="K779" s="81"/>
      <c r="L779" s="81"/>
      <c r="M779" s="81"/>
      <c r="N779" s="49"/>
      <c r="Q779" s="86"/>
      <c r="R779" s="86"/>
    </row>
    <row r="780" spans="1:18" s="44" customFormat="1" ht="12.75" x14ac:dyDescent="0.2">
      <c r="A780" s="48"/>
      <c r="D780" s="49"/>
      <c r="E780" s="50"/>
      <c r="F780" s="51"/>
      <c r="H780" s="51"/>
      <c r="I780" s="81"/>
      <c r="K780" s="81"/>
      <c r="L780" s="81"/>
      <c r="M780" s="81"/>
      <c r="N780" s="49"/>
      <c r="Q780" s="86"/>
      <c r="R780" s="86"/>
    </row>
    <row r="781" spans="1:18" s="44" customFormat="1" ht="12.75" x14ac:dyDescent="0.2">
      <c r="A781" s="48"/>
      <c r="D781" s="49"/>
      <c r="E781" s="50"/>
      <c r="F781" s="51"/>
      <c r="H781" s="51"/>
      <c r="I781" s="81"/>
      <c r="K781" s="81"/>
      <c r="L781" s="81"/>
      <c r="M781" s="81"/>
      <c r="N781" s="49"/>
      <c r="Q781" s="86"/>
      <c r="R781" s="86"/>
    </row>
    <row r="782" spans="1:18" s="44" customFormat="1" ht="12.75" x14ac:dyDescent="0.2">
      <c r="A782" s="48"/>
      <c r="D782" s="49"/>
      <c r="E782" s="50"/>
      <c r="F782" s="51"/>
      <c r="H782" s="51"/>
      <c r="I782" s="81"/>
      <c r="K782" s="81"/>
      <c r="L782" s="81"/>
      <c r="M782" s="81"/>
      <c r="N782" s="49"/>
      <c r="Q782" s="86"/>
      <c r="R782" s="86"/>
    </row>
    <row r="783" spans="1:18" s="44" customFormat="1" ht="12.75" x14ac:dyDescent="0.2">
      <c r="A783" s="48"/>
      <c r="D783" s="49"/>
      <c r="E783" s="50"/>
      <c r="F783" s="51"/>
      <c r="H783" s="51"/>
      <c r="I783" s="81"/>
      <c r="K783" s="81"/>
      <c r="L783" s="81"/>
      <c r="M783" s="81"/>
      <c r="N783" s="49"/>
      <c r="Q783" s="86"/>
      <c r="R783" s="86"/>
    </row>
    <row r="784" spans="1:18" s="44" customFormat="1" ht="12.75" x14ac:dyDescent="0.2">
      <c r="A784" s="48"/>
      <c r="D784" s="49"/>
      <c r="E784" s="50"/>
      <c r="F784" s="51"/>
      <c r="H784" s="51"/>
      <c r="I784" s="81"/>
      <c r="K784" s="81"/>
      <c r="L784" s="81"/>
      <c r="M784" s="81"/>
      <c r="N784" s="49"/>
      <c r="Q784" s="86"/>
      <c r="R784" s="86"/>
    </row>
    <row r="785" spans="1:18" s="44" customFormat="1" ht="12.75" x14ac:dyDescent="0.2">
      <c r="A785" s="48"/>
      <c r="D785" s="49"/>
      <c r="E785" s="50"/>
      <c r="F785" s="51"/>
      <c r="H785" s="51"/>
      <c r="I785" s="81"/>
      <c r="K785" s="81"/>
      <c r="L785" s="81"/>
      <c r="M785" s="81"/>
      <c r="N785" s="49"/>
      <c r="Q785" s="86"/>
      <c r="R785" s="86"/>
    </row>
    <row r="786" spans="1:18" s="44" customFormat="1" ht="12.75" x14ac:dyDescent="0.2">
      <c r="A786" s="48"/>
      <c r="D786" s="49"/>
      <c r="E786" s="50"/>
      <c r="F786" s="51"/>
      <c r="H786" s="51"/>
      <c r="I786" s="81"/>
      <c r="K786" s="81"/>
      <c r="L786" s="81"/>
      <c r="M786" s="81"/>
      <c r="N786" s="49"/>
      <c r="Q786" s="86"/>
      <c r="R786" s="86"/>
    </row>
    <row r="787" spans="1:18" s="44" customFormat="1" ht="12.75" x14ac:dyDescent="0.2">
      <c r="A787" s="48"/>
      <c r="D787" s="49"/>
      <c r="E787" s="50"/>
      <c r="F787" s="51"/>
      <c r="H787" s="51"/>
      <c r="I787" s="81"/>
      <c r="K787" s="81"/>
      <c r="L787" s="81"/>
      <c r="M787" s="81"/>
      <c r="N787" s="49"/>
      <c r="Q787" s="86"/>
      <c r="R787" s="86"/>
    </row>
    <row r="788" spans="1:18" s="44" customFormat="1" ht="12.75" x14ac:dyDescent="0.2">
      <c r="A788" s="48"/>
      <c r="D788" s="49"/>
      <c r="E788" s="50"/>
      <c r="F788" s="51"/>
      <c r="H788" s="51"/>
      <c r="I788" s="81"/>
      <c r="K788" s="81"/>
      <c r="L788" s="81"/>
      <c r="M788" s="81"/>
      <c r="N788" s="49"/>
      <c r="Q788" s="86"/>
      <c r="R788" s="86"/>
    </row>
    <row r="789" spans="1:18" s="44" customFormat="1" ht="12.75" x14ac:dyDescent="0.2">
      <c r="A789" s="48"/>
      <c r="D789" s="49"/>
      <c r="E789" s="50"/>
      <c r="F789" s="51"/>
      <c r="H789" s="51"/>
      <c r="I789" s="81"/>
      <c r="K789" s="81"/>
      <c r="L789" s="81"/>
      <c r="M789" s="81"/>
      <c r="N789" s="49"/>
      <c r="Q789" s="86"/>
      <c r="R789" s="86"/>
    </row>
    <row r="790" spans="1:18" s="44" customFormat="1" ht="12.75" x14ac:dyDescent="0.2">
      <c r="A790" s="48"/>
      <c r="D790" s="49"/>
      <c r="E790" s="50"/>
      <c r="F790" s="51"/>
      <c r="H790" s="51"/>
      <c r="I790" s="81"/>
      <c r="K790" s="81"/>
      <c r="L790" s="81"/>
      <c r="M790" s="81"/>
      <c r="N790" s="49"/>
      <c r="Q790" s="86"/>
      <c r="R790" s="86"/>
    </row>
    <row r="791" spans="1:18" s="44" customFormat="1" ht="12.75" x14ac:dyDescent="0.2">
      <c r="A791" s="48"/>
      <c r="D791" s="49"/>
      <c r="E791" s="50"/>
      <c r="F791" s="51"/>
      <c r="H791" s="51"/>
      <c r="I791" s="81"/>
      <c r="K791" s="81"/>
      <c r="L791" s="81"/>
      <c r="M791" s="81"/>
      <c r="N791" s="49"/>
      <c r="Q791" s="86"/>
      <c r="R791" s="86"/>
    </row>
    <row r="792" spans="1:18" s="44" customFormat="1" ht="12.75" x14ac:dyDescent="0.2">
      <c r="A792" s="48"/>
      <c r="D792" s="49"/>
      <c r="E792" s="50"/>
      <c r="F792" s="51"/>
      <c r="H792" s="51"/>
      <c r="I792" s="81"/>
      <c r="K792" s="81"/>
      <c r="L792" s="81"/>
      <c r="M792" s="81"/>
      <c r="N792" s="49"/>
      <c r="Q792" s="86"/>
      <c r="R792" s="86"/>
    </row>
    <row r="793" spans="1:18" s="44" customFormat="1" ht="12.75" x14ac:dyDescent="0.2">
      <c r="A793" s="48"/>
      <c r="D793" s="49"/>
      <c r="E793" s="50"/>
      <c r="F793" s="51"/>
      <c r="H793" s="51"/>
      <c r="I793" s="81"/>
      <c r="K793" s="81"/>
      <c r="L793" s="81"/>
      <c r="M793" s="81"/>
      <c r="N793" s="49"/>
      <c r="Q793" s="86"/>
      <c r="R793" s="86"/>
    </row>
    <row r="794" spans="1:18" s="44" customFormat="1" ht="12.75" x14ac:dyDescent="0.2">
      <c r="A794" s="48"/>
      <c r="D794" s="49"/>
      <c r="E794" s="50"/>
      <c r="F794" s="51"/>
      <c r="H794" s="51"/>
      <c r="I794" s="81"/>
      <c r="K794" s="81"/>
      <c r="L794" s="81"/>
      <c r="M794" s="81"/>
      <c r="N794" s="49"/>
      <c r="Q794" s="86"/>
      <c r="R794" s="86"/>
    </row>
    <row r="795" spans="1:18" s="44" customFormat="1" ht="12.75" x14ac:dyDescent="0.2">
      <c r="A795" s="48"/>
      <c r="D795" s="49"/>
      <c r="E795" s="50"/>
      <c r="F795" s="51"/>
      <c r="H795" s="51"/>
      <c r="I795" s="81"/>
      <c r="K795" s="81"/>
      <c r="L795" s="81"/>
      <c r="M795" s="81"/>
      <c r="N795" s="49"/>
      <c r="Q795" s="86"/>
      <c r="R795" s="86"/>
    </row>
    <row r="796" spans="1:18" s="44" customFormat="1" ht="12.75" x14ac:dyDescent="0.2">
      <c r="A796" s="48"/>
      <c r="D796" s="49"/>
      <c r="E796" s="50"/>
      <c r="F796" s="51"/>
      <c r="H796" s="51"/>
      <c r="I796" s="81"/>
      <c r="K796" s="81"/>
      <c r="L796" s="81"/>
      <c r="M796" s="81"/>
      <c r="N796" s="49"/>
      <c r="Q796" s="86"/>
      <c r="R796" s="86"/>
    </row>
    <row r="797" spans="1:18" s="44" customFormat="1" ht="12.75" x14ac:dyDescent="0.2">
      <c r="A797" s="48"/>
      <c r="D797" s="49"/>
      <c r="E797" s="50"/>
      <c r="F797" s="51"/>
      <c r="H797" s="51"/>
      <c r="I797" s="81"/>
      <c r="K797" s="81"/>
      <c r="L797" s="81"/>
      <c r="M797" s="81"/>
      <c r="N797" s="49"/>
      <c r="Q797" s="86"/>
      <c r="R797" s="86"/>
    </row>
    <row r="798" spans="1:18" s="44" customFormat="1" ht="12.75" x14ac:dyDescent="0.2">
      <c r="A798" s="48"/>
      <c r="D798" s="49"/>
      <c r="E798" s="50"/>
      <c r="F798" s="51"/>
      <c r="H798" s="51"/>
      <c r="I798" s="81"/>
      <c r="K798" s="81"/>
      <c r="L798" s="81"/>
      <c r="M798" s="81"/>
      <c r="N798" s="49"/>
      <c r="Q798" s="86"/>
      <c r="R798" s="86"/>
    </row>
    <row r="799" spans="1:18" s="44" customFormat="1" ht="12.75" x14ac:dyDescent="0.2">
      <c r="A799" s="48"/>
      <c r="D799" s="49"/>
      <c r="E799" s="50"/>
      <c r="F799" s="51"/>
      <c r="H799" s="51"/>
      <c r="I799" s="81"/>
      <c r="K799" s="81"/>
      <c r="L799" s="81"/>
      <c r="M799" s="81"/>
      <c r="N799" s="49"/>
      <c r="Q799" s="86"/>
      <c r="R799" s="86"/>
    </row>
    <row r="800" spans="1:18" s="44" customFormat="1" ht="12.75" x14ac:dyDescent="0.2">
      <c r="A800" s="48"/>
      <c r="D800" s="49"/>
      <c r="E800" s="50"/>
      <c r="F800" s="51"/>
      <c r="H800" s="51"/>
      <c r="I800" s="81"/>
      <c r="K800" s="81"/>
      <c r="L800" s="81"/>
      <c r="M800" s="81"/>
      <c r="N800" s="49"/>
      <c r="Q800" s="86"/>
      <c r="R800" s="86"/>
    </row>
    <row r="801" spans="1:18" s="44" customFormat="1" ht="12.75" x14ac:dyDescent="0.2">
      <c r="A801" s="48"/>
      <c r="D801" s="49"/>
      <c r="E801" s="50"/>
      <c r="F801" s="51"/>
      <c r="H801" s="51"/>
      <c r="I801" s="81"/>
      <c r="K801" s="81"/>
      <c r="L801" s="81"/>
      <c r="M801" s="81"/>
      <c r="N801" s="49"/>
      <c r="Q801" s="86"/>
      <c r="R801" s="86"/>
    </row>
    <row r="802" spans="1:18" s="44" customFormat="1" ht="12.75" x14ac:dyDescent="0.2">
      <c r="A802" s="48"/>
      <c r="D802" s="49"/>
      <c r="E802" s="50"/>
      <c r="F802" s="51"/>
      <c r="H802" s="51"/>
      <c r="I802" s="81"/>
      <c r="K802" s="81"/>
      <c r="L802" s="81"/>
      <c r="M802" s="81"/>
      <c r="N802" s="49"/>
      <c r="Q802" s="86"/>
      <c r="R802" s="86"/>
    </row>
    <row r="803" spans="1:18" s="44" customFormat="1" ht="12.75" x14ac:dyDescent="0.2">
      <c r="A803" s="48"/>
      <c r="D803" s="49"/>
      <c r="E803" s="50"/>
      <c r="F803" s="51"/>
      <c r="H803" s="51"/>
      <c r="I803" s="81"/>
      <c r="K803" s="81"/>
      <c r="L803" s="81"/>
      <c r="M803" s="81"/>
      <c r="N803" s="49"/>
      <c r="Q803" s="86"/>
      <c r="R803" s="86"/>
    </row>
    <row r="804" spans="1:18" s="44" customFormat="1" ht="12.75" x14ac:dyDescent="0.2">
      <c r="A804" s="48"/>
      <c r="D804" s="49"/>
      <c r="E804" s="50"/>
      <c r="F804" s="51"/>
      <c r="H804" s="51"/>
      <c r="I804" s="81"/>
      <c r="K804" s="81"/>
      <c r="L804" s="81"/>
      <c r="M804" s="81"/>
      <c r="N804" s="49"/>
      <c r="Q804" s="86"/>
      <c r="R804" s="86"/>
    </row>
    <row r="805" spans="1:18" s="44" customFormat="1" ht="12.75" x14ac:dyDescent="0.2">
      <c r="A805" s="48"/>
      <c r="D805" s="49"/>
      <c r="E805" s="50"/>
      <c r="F805" s="51"/>
      <c r="H805" s="51"/>
      <c r="I805" s="81"/>
      <c r="K805" s="81"/>
      <c r="L805" s="81"/>
      <c r="M805" s="81"/>
      <c r="N805" s="49"/>
      <c r="Q805" s="86"/>
      <c r="R805" s="86"/>
    </row>
    <row r="806" spans="1:18" s="44" customFormat="1" ht="12.75" x14ac:dyDescent="0.2">
      <c r="A806" s="48"/>
      <c r="D806" s="49"/>
      <c r="E806" s="50"/>
      <c r="F806" s="51"/>
      <c r="H806" s="51"/>
      <c r="I806" s="81"/>
      <c r="K806" s="81"/>
      <c r="L806" s="81"/>
      <c r="M806" s="81"/>
      <c r="N806" s="49"/>
      <c r="Q806" s="86"/>
      <c r="R806" s="86"/>
    </row>
    <row r="807" spans="1:18" s="44" customFormat="1" ht="12.75" x14ac:dyDescent="0.2">
      <c r="A807" s="48"/>
      <c r="D807" s="49"/>
      <c r="E807" s="50"/>
      <c r="F807" s="51"/>
      <c r="H807" s="51"/>
      <c r="I807" s="81"/>
      <c r="K807" s="81"/>
      <c r="L807" s="81"/>
      <c r="M807" s="81"/>
      <c r="N807" s="49"/>
      <c r="Q807" s="86"/>
      <c r="R807" s="86"/>
    </row>
    <row r="808" spans="1:18" s="44" customFormat="1" ht="12.75" x14ac:dyDescent="0.2">
      <c r="A808" s="48"/>
      <c r="D808" s="49"/>
      <c r="E808" s="50"/>
      <c r="F808" s="51"/>
      <c r="H808" s="51"/>
      <c r="I808" s="81"/>
      <c r="K808" s="81"/>
      <c r="L808" s="81"/>
      <c r="M808" s="81"/>
      <c r="N808" s="49"/>
      <c r="Q808" s="86"/>
      <c r="R808" s="86"/>
    </row>
    <row r="809" spans="1:18" s="44" customFormat="1" ht="12.75" x14ac:dyDescent="0.2">
      <c r="A809" s="48"/>
      <c r="D809" s="49"/>
      <c r="E809" s="50"/>
      <c r="F809" s="51"/>
      <c r="H809" s="51"/>
      <c r="I809" s="81"/>
      <c r="K809" s="81"/>
      <c r="L809" s="81"/>
      <c r="M809" s="81"/>
      <c r="N809" s="49"/>
      <c r="Q809" s="86"/>
      <c r="R809" s="86"/>
    </row>
    <row r="810" spans="1:18" s="44" customFormat="1" ht="12.75" x14ac:dyDescent="0.2">
      <c r="A810" s="48"/>
      <c r="D810" s="49"/>
      <c r="E810" s="50"/>
      <c r="F810" s="51"/>
      <c r="H810" s="51"/>
      <c r="I810" s="81"/>
      <c r="K810" s="81"/>
      <c r="L810" s="81"/>
      <c r="M810" s="81"/>
      <c r="N810" s="49"/>
      <c r="Q810" s="86"/>
      <c r="R810" s="86"/>
    </row>
    <row r="811" spans="1:18" s="44" customFormat="1" ht="12.75" x14ac:dyDescent="0.2">
      <c r="A811" s="48"/>
      <c r="D811" s="49"/>
      <c r="E811" s="50"/>
      <c r="F811" s="51"/>
      <c r="H811" s="51"/>
      <c r="I811" s="81"/>
      <c r="K811" s="81"/>
      <c r="L811" s="81"/>
      <c r="M811" s="81"/>
      <c r="N811" s="49"/>
      <c r="Q811" s="86"/>
      <c r="R811" s="86"/>
    </row>
    <row r="812" spans="1:18" s="44" customFormat="1" ht="12.75" x14ac:dyDescent="0.2">
      <c r="A812" s="48"/>
      <c r="D812" s="49"/>
      <c r="E812" s="50"/>
      <c r="F812" s="51"/>
      <c r="H812" s="51"/>
      <c r="I812" s="81"/>
      <c r="K812" s="81"/>
      <c r="L812" s="81"/>
      <c r="M812" s="81"/>
      <c r="N812" s="49"/>
      <c r="Q812" s="86"/>
      <c r="R812" s="86"/>
    </row>
    <row r="813" spans="1:18" s="44" customFormat="1" ht="12.75" x14ac:dyDescent="0.2">
      <c r="A813" s="48"/>
      <c r="D813" s="49"/>
      <c r="E813" s="50"/>
      <c r="F813" s="51"/>
      <c r="H813" s="51"/>
      <c r="I813" s="81"/>
      <c r="K813" s="81"/>
      <c r="L813" s="81"/>
      <c r="M813" s="81"/>
      <c r="N813" s="49"/>
      <c r="Q813" s="86"/>
      <c r="R813" s="86"/>
    </row>
    <row r="814" spans="1:18" s="44" customFormat="1" ht="12.75" x14ac:dyDescent="0.2">
      <c r="A814" s="48"/>
      <c r="D814" s="49"/>
      <c r="E814" s="50"/>
      <c r="F814" s="51"/>
      <c r="H814" s="51"/>
      <c r="I814" s="81"/>
      <c r="K814" s="81"/>
      <c r="L814" s="81"/>
      <c r="M814" s="81"/>
      <c r="N814" s="49"/>
      <c r="Q814" s="86"/>
      <c r="R814" s="86"/>
    </row>
    <row r="815" spans="1:18" s="44" customFormat="1" ht="12.75" x14ac:dyDescent="0.2">
      <c r="A815" s="48"/>
      <c r="D815" s="49"/>
      <c r="E815" s="50"/>
      <c r="F815" s="51"/>
      <c r="H815" s="51"/>
      <c r="I815" s="81"/>
      <c r="K815" s="81"/>
      <c r="L815" s="81"/>
      <c r="M815" s="81"/>
      <c r="N815" s="49"/>
      <c r="Q815" s="86"/>
      <c r="R815" s="86"/>
    </row>
    <row r="816" spans="1:18" s="44" customFormat="1" ht="12.75" x14ac:dyDescent="0.2">
      <c r="A816" s="48"/>
      <c r="D816" s="49"/>
      <c r="E816" s="50"/>
      <c r="F816" s="51"/>
      <c r="H816" s="51"/>
      <c r="I816" s="81"/>
      <c r="K816" s="81"/>
      <c r="L816" s="81"/>
      <c r="M816" s="81"/>
      <c r="N816" s="49"/>
      <c r="Q816" s="86"/>
      <c r="R816" s="86"/>
    </row>
    <row r="817" spans="1:18" s="44" customFormat="1" ht="12.75" x14ac:dyDescent="0.2">
      <c r="A817" s="48"/>
      <c r="D817" s="49"/>
      <c r="E817" s="50"/>
      <c r="F817" s="51"/>
      <c r="H817" s="51"/>
      <c r="I817" s="81"/>
      <c r="K817" s="81"/>
      <c r="L817" s="81"/>
      <c r="M817" s="81"/>
      <c r="N817" s="49"/>
      <c r="Q817" s="86"/>
      <c r="R817" s="86"/>
    </row>
    <row r="818" spans="1:18" s="44" customFormat="1" ht="12.75" x14ac:dyDescent="0.2">
      <c r="A818" s="48"/>
      <c r="D818" s="49"/>
      <c r="E818" s="50"/>
      <c r="F818" s="51"/>
      <c r="H818" s="51"/>
      <c r="I818" s="81"/>
      <c r="K818" s="81"/>
      <c r="L818" s="81"/>
      <c r="M818" s="81"/>
      <c r="N818" s="49"/>
      <c r="Q818" s="86"/>
      <c r="R818" s="86"/>
    </row>
    <row r="819" spans="1:18" s="44" customFormat="1" ht="12.75" x14ac:dyDescent="0.2">
      <c r="A819" s="48"/>
      <c r="D819" s="49"/>
      <c r="E819" s="50"/>
      <c r="F819" s="51"/>
      <c r="H819" s="51"/>
      <c r="I819" s="81"/>
      <c r="K819" s="81"/>
      <c r="L819" s="81"/>
      <c r="M819" s="81"/>
      <c r="N819" s="49"/>
      <c r="Q819" s="86"/>
      <c r="R819" s="86"/>
    </row>
    <row r="820" spans="1:18" s="44" customFormat="1" ht="12.75" x14ac:dyDescent="0.2">
      <c r="A820" s="48"/>
      <c r="D820" s="49"/>
      <c r="E820" s="50"/>
      <c r="F820" s="51"/>
      <c r="H820" s="51"/>
      <c r="I820" s="81"/>
      <c r="K820" s="81"/>
      <c r="L820" s="81"/>
      <c r="M820" s="81"/>
      <c r="N820" s="49"/>
      <c r="Q820" s="86"/>
      <c r="R820" s="86"/>
    </row>
    <row r="821" spans="1:18" s="44" customFormat="1" ht="12.75" x14ac:dyDescent="0.2">
      <c r="A821" s="48"/>
      <c r="D821" s="49"/>
      <c r="E821" s="50"/>
      <c r="F821" s="51"/>
      <c r="H821" s="51"/>
      <c r="I821" s="81"/>
      <c r="K821" s="81"/>
      <c r="L821" s="81"/>
      <c r="M821" s="81"/>
      <c r="N821" s="49"/>
      <c r="Q821" s="86"/>
      <c r="R821" s="86"/>
    </row>
    <row r="822" spans="1:18" s="44" customFormat="1" ht="12.75" x14ac:dyDescent="0.2">
      <c r="A822" s="48"/>
      <c r="D822" s="49"/>
      <c r="E822" s="50"/>
      <c r="F822" s="51"/>
      <c r="H822" s="51"/>
      <c r="I822" s="81"/>
      <c r="K822" s="81"/>
      <c r="L822" s="81"/>
      <c r="M822" s="81"/>
      <c r="N822" s="49"/>
      <c r="Q822" s="86"/>
      <c r="R822" s="86"/>
    </row>
    <row r="823" spans="1:18" s="44" customFormat="1" ht="12.75" x14ac:dyDescent="0.2">
      <c r="A823" s="48"/>
      <c r="D823" s="49"/>
      <c r="E823" s="50"/>
      <c r="F823" s="51"/>
      <c r="H823" s="51"/>
      <c r="I823" s="81"/>
      <c r="K823" s="81"/>
      <c r="L823" s="81"/>
      <c r="M823" s="81"/>
      <c r="N823" s="49"/>
      <c r="Q823" s="86"/>
      <c r="R823" s="86"/>
    </row>
    <row r="824" spans="1:18" s="44" customFormat="1" ht="12.75" x14ac:dyDescent="0.2">
      <c r="A824" s="48"/>
      <c r="D824" s="49"/>
      <c r="E824" s="50"/>
      <c r="F824" s="51"/>
      <c r="H824" s="51"/>
      <c r="I824" s="81"/>
      <c r="K824" s="81"/>
      <c r="L824" s="81"/>
      <c r="M824" s="81"/>
      <c r="N824" s="49"/>
      <c r="Q824" s="86"/>
      <c r="R824" s="86"/>
    </row>
    <row r="825" spans="1:18" s="44" customFormat="1" ht="12.75" x14ac:dyDescent="0.2">
      <c r="A825" s="48"/>
      <c r="D825" s="49"/>
      <c r="E825" s="50"/>
      <c r="F825" s="51"/>
      <c r="H825" s="51"/>
      <c r="I825" s="81"/>
      <c r="K825" s="81"/>
      <c r="L825" s="81"/>
      <c r="M825" s="81"/>
      <c r="N825" s="49"/>
      <c r="Q825" s="86"/>
      <c r="R825" s="86"/>
    </row>
    <row r="826" spans="1:18" s="44" customFormat="1" ht="12.75" x14ac:dyDescent="0.2">
      <c r="A826" s="48"/>
      <c r="D826" s="49"/>
      <c r="E826" s="50"/>
      <c r="F826" s="51"/>
      <c r="H826" s="51"/>
      <c r="I826" s="81"/>
      <c r="K826" s="81"/>
      <c r="L826" s="81"/>
      <c r="M826" s="81"/>
      <c r="N826" s="49"/>
      <c r="Q826" s="86"/>
      <c r="R826" s="86"/>
    </row>
    <row r="827" spans="1:18" s="44" customFormat="1" ht="12.75" x14ac:dyDescent="0.2">
      <c r="A827" s="48"/>
      <c r="D827" s="49"/>
      <c r="E827" s="50"/>
      <c r="F827" s="51"/>
      <c r="H827" s="51"/>
      <c r="I827" s="81"/>
      <c r="K827" s="81"/>
      <c r="L827" s="81"/>
      <c r="M827" s="81"/>
      <c r="N827" s="49"/>
      <c r="Q827" s="86"/>
      <c r="R827" s="86"/>
    </row>
    <row r="828" spans="1:18" s="44" customFormat="1" ht="12.75" x14ac:dyDescent="0.2">
      <c r="A828" s="48"/>
      <c r="D828" s="49"/>
      <c r="E828" s="50"/>
      <c r="F828" s="51"/>
      <c r="H828" s="51"/>
      <c r="I828" s="81"/>
      <c r="K828" s="81"/>
      <c r="L828" s="81"/>
      <c r="M828" s="81"/>
      <c r="N828" s="49"/>
      <c r="Q828" s="86"/>
      <c r="R828" s="86"/>
    </row>
    <row r="829" spans="1:18" s="44" customFormat="1" ht="12.75" x14ac:dyDescent="0.2">
      <c r="A829" s="48"/>
      <c r="D829" s="49"/>
      <c r="E829" s="50"/>
      <c r="F829" s="51"/>
      <c r="H829" s="51"/>
      <c r="I829" s="81"/>
      <c r="K829" s="81"/>
      <c r="L829" s="81"/>
      <c r="M829" s="81"/>
      <c r="N829" s="49"/>
      <c r="Q829" s="86"/>
      <c r="R829" s="86"/>
    </row>
    <row r="830" spans="1:18" s="44" customFormat="1" ht="12.75" x14ac:dyDescent="0.2">
      <c r="A830" s="48"/>
      <c r="D830" s="49"/>
      <c r="E830" s="50"/>
      <c r="F830" s="51"/>
      <c r="H830" s="51"/>
      <c r="I830" s="81"/>
      <c r="K830" s="81"/>
      <c r="L830" s="81"/>
      <c r="M830" s="81"/>
      <c r="N830" s="49"/>
      <c r="Q830" s="86"/>
      <c r="R830" s="86"/>
    </row>
    <row r="831" spans="1:18" s="44" customFormat="1" ht="12.75" x14ac:dyDescent="0.2">
      <c r="A831" s="48"/>
      <c r="D831" s="49"/>
      <c r="E831" s="50"/>
      <c r="F831" s="51"/>
      <c r="H831" s="51"/>
      <c r="I831" s="81"/>
      <c r="K831" s="81"/>
      <c r="L831" s="81"/>
      <c r="M831" s="81"/>
      <c r="N831" s="49"/>
      <c r="Q831" s="86"/>
      <c r="R831" s="86"/>
    </row>
    <row r="832" spans="1:18" s="44" customFormat="1" ht="12.75" x14ac:dyDescent="0.2">
      <c r="A832" s="48"/>
      <c r="D832" s="49"/>
      <c r="E832" s="50"/>
      <c r="F832" s="51"/>
      <c r="H832" s="51"/>
      <c r="I832" s="81"/>
      <c r="K832" s="81"/>
      <c r="L832" s="81"/>
      <c r="M832" s="81"/>
      <c r="N832" s="49"/>
      <c r="Q832" s="86"/>
      <c r="R832" s="86"/>
    </row>
    <row r="833" spans="1:18" s="44" customFormat="1" ht="12.75" x14ac:dyDescent="0.2">
      <c r="A833" s="48"/>
      <c r="D833" s="49"/>
      <c r="E833" s="50"/>
      <c r="F833" s="51"/>
      <c r="H833" s="51"/>
      <c r="I833" s="81"/>
      <c r="K833" s="81"/>
      <c r="L833" s="81"/>
      <c r="M833" s="81"/>
      <c r="N833" s="49"/>
      <c r="Q833" s="86"/>
      <c r="R833" s="86"/>
    </row>
    <row r="834" spans="1:18" s="44" customFormat="1" ht="12.75" x14ac:dyDescent="0.2">
      <c r="A834" s="48"/>
      <c r="D834" s="49"/>
      <c r="E834" s="50"/>
      <c r="F834" s="51"/>
      <c r="H834" s="51"/>
      <c r="I834" s="81"/>
      <c r="K834" s="81"/>
      <c r="L834" s="81"/>
      <c r="M834" s="81"/>
      <c r="N834" s="49"/>
      <c r="Q834" s="86"/>
      <c r="R834" s="86"/>
    </row>
    <row r="835" spans="1:18" s="44" customFormat="1" ht="12.75" x14ac:dyDescent="0.2">
      <c r="A835" s="48"/>
      <c r="D835" s="49"/>
      <c r="E835" s="50"/>
      <c r="F835" s="51"/>
      <c r="H835" s="51"/>
      <c r="I835" s="81"/>
      <c r="K835" s="81"/>
      <c r="L835" s="81"/>
      <c r="M835" s="81"/>
      <c r="N835" s="49"/>
      <c r="Q835" s="86"/>
      <c r="R835" s="86"/>
    </row>
    <row r="836" spans="1:18" s="44" customFormat="1" ht="12.75" x14ac:dyDescent="0.2">
      <c r="A836" s="48"/>
      <c r="D836" s="49"/>
      <c r="E836" s="50"/>
      <c r="F836" s="51"/>
      <c r="H836" s="51"/>
      <c r="I836" s="81"/>
      <c r="K836" s="81"/>
      <c r="L836" s="81"/>
      <c r="M836" s="81"/>
      <c r="N836" s="49"/>
      <c r="Q836" s="86"/>
      <c r="R836" s="86"/>
    </row>
    <row r="837" spans="1:18" s="44" customFormat="1" ht="12.75" x14ac:dyDescent="0.2">
      <c r="A837" s="48"/>
      <c r="D837" s="49"/>
      <c r="E837" s="50"/>
      <c r="F837" s="51"/>
      <c r="H837" s="51"/>
      <c r="I837" s="81"/>
      <c r="K837" s="81"/>
      <c r="L837" s="81"/>
      <c r="M837" s="81"/>
      <c r="N837" s="49"/>
      <c r="Q837" s="86"/>
      <c r="R837" s="86"/>
    </row>
    <row r="838" spans="1:18" s="44" customFormat="1" ht="12.75" x14ac:dyDescent="0.2">
      <c r="A838" s="48"/>
      <c r="D838" s="49"/>
      <c r="E838" s="50"/>
      <c r="F838" s="51"/>
      <c r="H838" s="51"/>
      <c r="I838" s="81"/>
      <c r="K838" s="81"/>
      <c r="L838" s="81"/>
      <c r="M838" s="81"/>
      <c r="N838" s="49"/>
      <c r="Q838" s="86"/>
      <c r="R838" s="86"/>
    </row>
    <row r="839" spans="1:18" s="44" customFormat="1" ht="12.75" x14ac:dyDescent="0.2">
      <c r="A839" s="48"/>
      <c r="D839" s="49"/>
      <c r="E839" s="50"/>
      <c r="F839" s="51"/>
      <c r="H839" s="51"/>
      <c r="I839" s="81"/>
      <c r="K839" s="81"/>
      <c r="L839" s="81"/>
      <c r="M839" s="81"/>
      <c r="N839" s="49"/>
      <c r="Q839" s="86"/>
      <c r="R839" s="86"/>
    </row>
    <row r="840" spans="1:18" s="44" customFormat="1" ht="12.75" x14ac:dyDescent="0.2">
      <c r="A840" s="48"/>
      <c r="D840" s="49"/>
      <c r="E840" s="50"/>
      <c r="F840" s="51"/>
      <c r="H840" s="51"/>
      <c r="I840" s="81"/>
      <c r="K840" s="81"/>
      <c r="L840" s="81"/>
      <c r="M840" s="81"/>
      <c r="N840" s="49"/>
      <c r="Q840" s="86"/>
      <c r="R840" s="86"/>
    </row>
    <row r="841" spans="1:18" s="44" customFormat="1" ht="12.75" x14ac:dyDescent="0.2">
      <c r="A841" s="48"/>
      <c r="D841" s="49"/>
      <c r="E841" s="50"/>
      <c r="F841" s="51"/>
      <c r="H841" s="51"/>
      <c r="I841" s="81"/>
      <c r="K841" s="81"/>
      <c r="L841" s="81"/>
      <c r="M841" s="81"/>
      <c r="N841" s="49"/>
      <c r="Q841" s="86"/>
      <c r="R841" s="86"/>
    </row>
    <row r="842" spans="1:18" s="44" customFormat="1" ht="12.75" x14ac:dyDescent="0.2">
      <c r="A842" s="48"/>
      <c r="D842" s="49"/>
      <c r="E842" s="50"/>
      <c r="F842" s="51"/>
      <c r="H842" s="51"/>
      <c r="I842" s="81"/>
      <c r="K842" s="81"/>
      <c r="L842" s="81"/>
      <c r="M842" s="81"/>
      <c r="N842" s="49"/>
      <c r="Q842" s="86"/>
      <c r="R842" s="86"/>
    </row>
    <row r="843" spans="1:18" s="44" customFormat="1" ht="12.75" x14ac:dyDescent="0.2">
      <c r="A843" s="48"/>
      <c r="D843" s="49"/>
      <c r="E843" s="50"/>
      <c r="F843" s="51"/>
      <c r="H843" s="51"/>
      <c r="I843" s="81"/>
      <c r="K843" s="81"/>
      <c r="L843" s="81"/>
      <c r="M843" s="81"/>
      <c r="N843" s="49"/>
      <c r="Q843" s="86"/>
      <c r="R843" s="86"/>
    </row>
    <row r="844" spans="1:18" s="44" customFormat="1" ht="12.75" x14ac:dyDescent="0.2">
      <c r="A844" s="48"/>
      <c r="D844" s="49"/>
      <c r="E844" s="50"/>
      <c r="F844" s="51"/>
      <c r="H844" s="51"/>
      <c r="I844" s="81"/>
      <c r="K844" s="81"/>
      <c r="L844" s="81"/>
      <c r="M844" s="81"/>
      <c r="N844" s="49"/>
      <c r="Q844" s="86"/>
      <c r="R844" s="86"/>
    </row>
    <row r="845" spans="1:18" s="44" customFormat="1" ht="12.75" x14ac:dyDescent="0.2">
      <c r="A845" s="48"/>
      <c r="D845" s="49"/>
      <c r="E845" s="50"/>
      <c r="F845" s="51"/>
      <c r="H845" s="51"/>
      <c r="I845" s="81"/>
      <c r="K845" s="81"/>
      <c r="L845" s="81"/>
      <c r="M845" s="81"/>
      <c r="N845" s="49"/>
      <c r="Q845" s="86"/>
      <c r="R845" s="86"/>
    </row>
    <row r="846" spans="1:18" s="44" customFormat="1" ht="12.75" x14ac:dyDescent="0.2">
      <c r="A846" s="48"/>
      <c r="D846" s="49"/>
      <c r="E846" s="50"/>
      <c r="F846" s="51"/>
      <c r="H846" s="51"/>
      <c r="I846" s="81"/>
      <c r="K846" s="81"/>
      <c r="L846" s="81"/>
      <c r="M846" s="81"/>
      <c r="N846" s="49"/>
      <c r="Q846" s="86"/>
      <c r="R846" s="86"/>
    </row>
    <row r="847" spans="1:18" s="44" customFormat="1" ht="12.75" x14ac:dyDescent="0.2">
      <c r="A847" s="48"/>
      <c r="D847" s="49"/>
      <c r="E847" s="50"/>
      <c r="F847" s="51"/>
      <c r="H847" s="51"/>
      <c r="I847" s="81"/>
      <c r="K847" s="81"/>
      <c r="L847" s="81"/>
      <c r="M847" s="81"/>
      <c r="N847" s="49"/>
      <c r="Q847" s="86"/>
      <c r="R847" s="86"/>
    </row>
    <row r="848" spans="1:18" s="44" customFormat="1" ht="12.75" x14ac:dyDescent="0.2">
      <c r="A848" s="48"/>
      <c r="D848" s="49"/>
      <c r="E848" s="50"/>
      <c r="F848" s="51"/>
      <c r="H848" s="51"/>
      <c r="I848" s="81"/>
      <c r="K848" s="81"/>
      <c r="L848" s="81"/>
      <c r="M848" s="81"/>
      <c r="N848" s="49"/>
      <c r="Q848" s="86"/>
      <c r="R848" s="86"/>
    </row>
    <row r="849" spans="1:18" s="44" customFormat="1" ht="12.75" x14ac:dyDescent="0.2">
      <c r="A849" s="48"/>
      <c r="D849" s="49"/>
      <c r="E849" s="50"/>
      <c r="F849" s="51"/>
      <c r="H849" s="51"/>
      <c r="I849" s="81"/>
      <c r="K849" s="81"/>
      <c r="L849" s="81"/>
      <c r="M849" s="81"/>
      <c r="N849" s="49"/>
      <c r="Q849" s="86"/>
      <c r="R849" s="86"/>
    </row>
    <row r="850" spans="1:18" s="44" customFormat="1" ht="12.75" x14ac:dyDescent="0.2">
      <c r="A850" s="48"/>
      <c r="D850" s="49"/>
      <c r="E850" s="50"/>
      <c r="F850" s="51"/>
      <c r="H850" s="51"/>
      <c r="I850" s="81"/>
      <c r="K850" s="81"/>
      <c r="L850" s="81"/>
      <c r="M850" s="81"/>
      <c r="N850" s="49"/>
      <c r="Q850" s="86"/>
      <c r="R850" s="86"/>
    </row>
    <row r="851" spans="1:18" s="44" customFormat="1" ht="12.75" x14ac:dyDescent="0.2">
      <c r="A851" s="48"/>
      <c r="D851" s="49"/>
      <c r="E851" s="50"/>
      <c r="F851" s="51"/>
      <c r="H851" s="51"/>
      <c r="I851" s="81"/>
      <c r="K851" s="81"/>
      <c r="L851" s="81"/>
      <c r="M851" s="81"/>
      <c r="N851" s="49"/>
      <c r="Q851" s="86"/>
      <c r="R851" s="86"/>
    </row>
    <row r="852" spans="1:18" s="44" customFormat="1" ht="12.75" x14ac:dyDescent="0.2">
      <c r="A852" s="48"/>
      <c r="D852" s="49"/>
      <c r="E852" s="50"/>
      <c r="F852" s="51"/>
      <c r="H852" s="51"/>
      <c r="I852" s="81"/>
      <c r="K852" s="81"/>
      <c r="L852" s="81"/>
      <c r="M852" s="81"/>
      <c r="N852" s="49"/>
      <c r="Q852" s="86"/>
      <c r="R852" s="86"/>
    </row>
    <row r="853" spans="1:18" s="44" customFormat="1" ht="12.75" x14ac:dyDescent="0.2">
      <c r="A853" s="48"/>
      <c r="D853" s="49"/>
      <c r="E853" s="50"/>
      <c r="F853" s="51"/>
      <c r="H853" s="51"/>
      <c r="I853" s="81"/>
      <c r="K853" s="81"/>
      <c r="L853" s="81"/>
      <c r="M853" s="81"/>
      <c r="N853" s="49"/>
      <c r="Q853" s="86"/>
      <c r="R853" s="86"/>
    </row>
    <row r="854" spans="1:18" s="44" customFormat="1" ht="12.75" x14ac:dyDescent="0.2">
      <c r="A854" s="48"/>
      <c r="D854" s="49"/>
      <c r="E854" s="50"/>
      <c r="F854" s="51"/>
      <c r="H854" s="51"/>
      <c r="I854" s="81"/>
      <c r="K854" s="81"/>
      <c r="L854" s="81"/>
      <c r="M854" s="81"/>
      <c r="N854" s="49"/>
      <c r="Q854" s="86"/>
      <c r="R854" s="86"/>
    </row>
    <row r="855" spans="1:18" s="44" customFormat="1" ht="12.75" x14ac:dyDescent="0.2">
      <c r="A855" s="48"/>
      <c r="D855" s="49"/>
      <c r="E855" s="50"/>
      <c r="F855" s="51"/>
      <c r="H855" s="51"/>
      <c r="I855" s="81"/>
      <c r="K855" s="81"/>
      <c r="L855" s="81"/>
      <c r="M855" s="81"/>
      <c r="N855" s="49"/>
      <c r="Q855" s="86"/>
      <c r="R855" s="86"/>
    </row>
    <row r="856" spans="1:18" s="44" customFormat="1" ht="12.75" x14ac:dyDescent="0.2">
      <c r="A856" s="48"/>
      <c r="D856" s="49"/>
      <c r="E856" s="50"/>
      <c r="F856" s="51"/>
      <c r="H856" s="51"/>
      <c r="I856" s="81"/>
      <c r="K856" s="81"/>
      <c r="L856" s="81"/>
      <c r="M856" s="81"/>
      <c r="N856" s="49"/>
      <c r="Q856" s="86"/>
      <c r="R856" s="86"/>
    </row>
    <row r="857" spans="1:18" s="44" customFormat="1" ht="12.75" x14ac:dyDescent="0.2">
      <c r="A857" s="48"/>
      <c r="D857" s="49"/>
      <c r="E857" s="50"/>
      <c r="F857" s="51"/>
      <c r="H857" s="51"/>
      <c r="I857" s="81"/>
      <c r="K857" s="81"/>
      <c r="L857" s="81"/>
      <c r="M857" s="81"/>
      <c r="N857" s="49"/>
      <c r="Q857" s="86"/>
      <c r="R857" s="86"/>
    </row>
    <row r="858" spans="1:18" s="44" customFormat="1" ht="12.75" x14ac:dyDescent="0.2">
      <c r="A858" s="48"/>
      <c r="D858" s="49"/>
      <c r="E858" s="50"/>
      <c r="F858" s="51"/>
      <c r="H858" s="51"/>
      <c r="I858" s="81"/>
      <c r="K858" s="81"/>
      <c r="L858" s="81"/>
      <c r="M858" s="81"/>
      <c r="N858" s="49"/>
      <c r="Q858" s="86"/>
      <c r="R858" s="86"/>
    </row>
    <row r="859" spans="1:18" s="44" customFormat="1" ht="12.75" x14ac:dyDescent="0.2">
      <c r="A859" s="48"/>
      <c r="D859" s="49"/>
      <c r="E859" s="50"/>
      <c r="F859" s="51"/>
      <c r="H859" s="51"/>
      <c r="I859" s="81"/>
      <c r="K859" s="81"/>
      <c r="L859" s="81"/>
      <c r="M859" s="81"/>
      <c r="N859" s="49"/>
      <c r="Q859" s="86"/>
      <c r="R859" s="86"/>
    </row>
    <row r="860" spans="1:18" s="44" customFormat="1" ht="12.75" x14ac:dyDescent="0.2">
      <c r="A860" s="48"/>
      <c r="D860" s="49"/>
      <c r="E860" s="50"/>
      <c r="F860" s="51"/>
      <c r="H860" s="51"/>
      <c r="I860" s="81"/>
      <c r="K860" s="81"/>
      <c r="L860" s="81"/>
      <c r="M860" s="81"/>
      <c r="N860" s="49"/>
      <c r="Q860" s="86"/>
      <c r="R860" s="86"/>
    </row>
    <row r="861" spans="1:18" s="44" customFormat="1" ht="12.75" x14ac:dyDescent="0.2">
      <c r="A861" s="48"/>
      <c r="D861" s="49"/>
      <c r="E861" s="50"/>
      <c r="F861" s="51"/>
      <c r="H861" s="51"/>
      <c r="I861" s="81"/>
      <c r="K861" s="81"/>
      <c r="L861" s="81"/>
      <c r="M861" s="81"/>
      <c r="N861" s="49"/>
      <c r="Q861" s="86"/>
      <c r="R861" s="86"/>
    </row>
    <row r="862" spans="1:18" s="44" customFormat="1" ht="12.75" x14ac:dyDescent="0.2">
      <c r="A862" s="48"/>
      <c r="D862" s="49"/>
      <c r="E862" s="50"/>
      <c r="F862" s="51"/>
      <c r="H862" s="51"/>
      <c r="I862" s="81"/>
      <c r="K862" s="81"/>
      <c r="L862" s="81"/>
      <c r="M862" s="81"/>
      <c r="N862" s="49"/>
      <c r="Q862" s="86"/>
      <c r="R862" s="86"/>
    </row>
  </sheetData>
  <sheetProtection algorithmName="SHA-512" hashValue="Q8H6MfRL1EP0OQyNvCGk80MufSYCKywhffVmA2CZDHMWdGxJBH+9gefMbZ+XBMIzF4sNfPlbetqyz/haPULcPA==" saltValue="WmD2pCB9+VYVjyYcPnt6tA==" spinCount="100000" sheet="1" formatCells="0" formatColumns="0" insertColumns="0" insertRows="0"/>
  <phoneticPr fontId="0" type="noConversion"/>
  <dataValidations count="3">
    <dataValidation allowBlank="1" showErrorMessage="1" sqref="C7" xr:uid="{00000000-0002-0000-0900-000000000000}"/>
    <dataValidation allowBlank="1" showInputMessage="1" showErrorMessage="1" promptTitle="HINWEIS" prompt="Bitte hier die entsprechenden Auslandsdiäten eingeben" sqref="E28:H28" xr:uid="{00000000-0002-0000-0900-000001000000}"/>
    <dataValidation type="whole" operator="lessThan" allowBlank="1" showInputMessage="1" showErrorMessage="1" sqref="C28:D28" xr:uid="{3A63CB04-0191-4669-9F07-17A748A58A7C}">
      <formula1>-99999</formula1>
    </dataValidation>
  </dataValidations>
  <printOptions horizontalCentered="1"/>
  <pageMargins left="0.78740157480314965" right="0.59055118110236227" top="0.98425196850393704" bottom="0.78740157480314965" header="0.51181102362204722" footer="0.51181102362204722"/>
  <pageSetup paperSize="9" scale="77" fitToHeight="0" orientation="portrait" blackAndWhite="1" r:id="rId1"/>
  <headerFooter alignWithMargins="0">
    <oddHeader xml:space="preserve">&amp;L&amp;"Verdana,Standard"&amp;10ÖSTERREICHISCHES FILMINSTITUT&amp;R&amp;"Verdana,Standard"&amp;10&amp;F
</oddHeader>
    <oddFooter>&amp;L&amp;"Verdana,Standard"&amp;10Ausdruck vom &amp;D&amp;R&amp;"Verdana,Standard"&amp;10Seite &amp;P von &amp;N</oddFooter>
  </headerFooter>
  <ignoredErrors>
    <ignoredError sqref="B4:H6 B23 I23 B27:D27 H34:H36 B38:I38 B66:I69 I4 B25 B32:D33 B11:H14 B10 D10:H10 B16:H19 B15 F15 B28:B30 B21:D21 F21:H21 B34:B36 D34:D36 B43:I44 B39:H40 B63:F63 C65:H65 B46:I47 B62:F62 H62:I62 D15 H15 B42:H42 B49:I52 B48 D48 F48 H48:I48 D7:H8 B7:B8 C53:I53 H63:I63" unlockedFormula="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5">
    <tabColor indexed="42"/>
    <pageSetUpPr fitToPage="1"/>
  </sheetPr>
  <dimension ref="A1:BT991"/>
  <sheetViews>
    <sheetView topLeftCell="A3" workbookViewId="0">
      <selection activeCell="B5" sqref="B5"/>
    </sheetView>
  </sheetViews>
  <sheetFormatPr baseColWidth="10" defaultColWidth="11.5" defaultRowHeight="12.75" x14ac:dyDescent="0.2"/>
  <cols>
    <col min="1" max="1" width="37.375" style="13" customWidth="1"/>
    <col min="2" max="2" width="12" style="12" customWidth="1"/>
    <col min="3" max="3" width="6.75" style="1" bestFit="1" customWidth="1"/>
    <col min="4" max="4" width="18.625" style="11" bestFit="1" customWidth="1"/>
    <col min="5" max="5" width="13" style="12" customWidth="1"/>
    <col min="6" max="6" width="8.875" style="13" customWidth="1"/>
    <col min="7" max="16384" width="11.5" style="13"/>
  </cols>
  <sheetData>
    <row r="1" spans="1:72" s="10" customFormat="1" ht="24" customHeight="1" x14ac:dyDescent="0.2">
      <c r="A1" s="439" t="str">
        <f>Stammblatt!A1</f>
        <v>Test</v>
      </c>
      <c r="B1" s="419"/>
      <c r="C1" s="420"/>
      <c r="D1" s="419"/>
      <c r="E1" s="421"/>
      <c r="F1" s="422"/>
      <c r="G1" s="422"/>
      <c r="H1" s="422"/>
      <c r="I1" s="422"/>
      <c r="J1" s="422"/>
      <c r="K1" s="422"/>
      <c r="L1" s="422"/>
      <c r="M1" s="422"/>
      <c r="N1" s="422"/>
      <c r="O1" s="422"/>
      <c r="P1" s="422"/>
      <c r="Q1" s="422"/>
      <c r="R1" s="422"/>
      <c r="S1" s="422"/>
      <c r="T1" s="422"/>
      <c r="U1" s="422"/>
      <c r="V1" s="422"/>
      <c r="W1" s="422"/>
      <c r="X1" s="422"/>
      <c r="Y1" s="422"/>
      <c r="Z1" s="422"/>
      <c r="AA1" s="422"/>
      <c r="AB1" s="422"/>
      <c r="AC1" s="422"/>
      <c r="AD1" s="422"/>
      <c r="AE1" s="422"/>
      <c r="AF1" s="422"/>
      <c r="AG1" s="422"/>
      <c r="AH1" s="422"/>
      <c r="AI1" s="422"/>
      <c r="AJ1" s="422"/>
      <c r="AK1" s="422"/>
      <c r="AL1" s="422"/>
      <c r="AM1" s="422"/>
      <c r="AN1" s="422"/>
      <c r="AO1" s="422"/>
      <c r="AP1" s="422"/>
      <c r="AQ1" s="422"/>
      <c r="AR1" s="422"/>
      <c r="AS1" s="422"/>
      <c r="AT1" s="422"/>
      <c r="AU1" s="422"/>
      <c r="AV1" s="422"/>
      <c r="AW1" s="422"/>
      <c r="AX1" s="422"/>
      <c r="AY1" s="422"/>
      <c r="AZ1" s="422"/>
    </row>
    <row r="2" spans="1:72" s="10" customFormat="1" ht="18" x14ac:dyDescent="0.2">
      <c r="A2" s="423" t="s">
        <v>551</v>
      </c>
      <c r="B2" s="419"/>
      <c r="C2" s="420"/>
      <c r="D2" s="419"/>
      <c r="E2" s="421"/>
      <c r="F2" s="422"/>
      <c r="G2" s="422"/>
      <c r="H2" s="422"/>
      <c r="I2" s="422"/>
      <c r="J2" s="422"/>
      <c r="K2" s="422"/>
      <c r="L2" s="422"/>
      <c r="M2" s="422"/>
      <c r="N2" s="422"/>
      <c r="O2" s="422"/>
      <c r="P2" s="422"/>
      <c r="Q2" s="422"/>
      <c r="R2" s="422"/>
      <c r="S2" s="422"/>
      <c r="T2" s="422"/>
      <c r="U2" s="422"/>
      <c r="V2" s="422"/>
      <c r="W2" s="422"/>
      <c r="X2" s="422"/>
      <c r="Y2" s="422"/>
      <c r="Z2" s="422"/>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row>
    <row r="3" spans="1:72" s="10" customFormat="1" ht="12.75" customHeight="1" x14ac:dyDescent="0.2">
      <c r="A3" s="408"/>
      <c r="B3" s="419"/>
      <c r="C3" s="420"/>
      <c r="D3" s="419"/>
      <c r="E3" s="421"/>
      <c r="F3" s="422"/>
      <c r="G3" s="422"/>
      <c r="H3" s="422"/>
      <c r="I3" s="422"/>
      <c r="J3" s="422"/>
      <c r="K3" s="422"/>
      <c r="L3" s="422"/>
      <c r="M3" s="422"/>
      <c r="N3" s="422"/>
      <c r="O3" s="422"/>
      <c r="P3" s="422"/>
      <c r="Q3" s="422"/>
      <c r="R3" s="422"/>
      <c r="S3" s="422"/>
      <c r="T3" s="422"/>
      <c r="U3" s="422"/>
      <c r="V3" s="422"/>
      <c r="W3" s="422"/>
      <c r="X3" s="422"/>
      <c r="Y3" s="422"/>
      <c r="Z3" s="422"/>
      <c r="AA3" s="422"/>
      <c r="AB3" s="422"/>
      <c r="AC3" s="422"/>
      <c r="AD3" s="422"/>
      <c r="AE3" s="422"/>
      <c r="AF3" s="422"/>
      <c r="AG3" s="422"/>
      <c r="AH3" s="422"/>
      <c r="AI3" s="422"/>
      <c r="AJ3" s="422"/>
      <c r="AK3" s="422"/>
      <c r="AL3" s="422"/>
      <c r="AM3" s="422"/>
      <c r="AN3" s="422"/>
      <c r="AO3" s="422"/>
      <c r="AP3" s="422"/>
      <c r="AQ3" s="422"/>
      <c r="AR3" s="422"/>
      <c r="AS3" s="422"/>
      <c r="AT3" s="422"/>
      <c r="AU3" s="422"/>
      <c r="AV3" s="422"/>
      <c r="AW3" s="422"/>
      <c r="AX3" s="422"/>
      <c r="AY3" s="422"/>
      <c r="AZ3" s="422"/>
    </row>
    <row r="4" spans="1:72" ht="18" x14ac:dyDescent="0.2">
      <c r="A4" s="208" t="s">
        <v>166</v>
      </c>
      <c r="B4" s="1262">
        <v>0</v>
      </c>
      <c r="C4" s="424"/>
      <c r="D4" s="425"/>
      <c r="E4" s="426"/>
      <c r="F4" s="427"/>
      <c r="G4" s="427"/>
      <c r="H4" s="427"/>
      <c r="I4" s="427"/>
      <c r="J4" s="427"/>
      <c r="K4" s="427"/>
      <c r="L4" s="427"/>
      <c r="M4" s="427"/>
      <c r="N4" s="427"/>
      <c r="O4" s="427"/>
      <c r="P4" s="427"/>
      <c r="Q4" s="427"/>
      <c r="R4" s="427"/>
      <c r="S4" s="427"/>
      <c r="T4" s="427"/>
      <c r="U4" s="427"/>
      <c r="V4" s="427"/>
      <c r="W4" s="427"/>
      <c r="X4" s="427"/>
      <c r="Y4" s="427"/>
      <c r="Z4" s="427"/>
      <c r="AA4" s="427"/>
      <c r="AB4" s="427"/>
      <c r="AC4" s="427"/>
      <c r="AD4" s="427"/>
      <c r="AE4" s="427"/>
      <c r="AF4" s="427"/>
      <c r="AG4" s="427"/>
      <c r="AH4" s="427"/>
      <c r="AI4" s="427"/>
      <c r="AJ4" s="427"/>
      <c r="AK4" s="427"/>
      <c r="AL4" s="427"/>
      <c r="AM4" s="427"/>
      <c r="AN4" s="427"/>
      <c r="AO4" s="427"/>
      <c r="AP4" s="427"/>
      <c r="AQ4" s="427"/>
      <c r="AR4" s="427"/>
      <c r="AS4" s="427"/>
      <c r="AT4" s="427"/>
      <c r="AU4" s="427"/>
      <c r="AV4" s="427"/>
      <c r="AW4" s="427"/>
      <c r="AX4" s="427"/>
      <c r="AY4" s="427"/>
      <c r="AZ4" s="427"/>
      <c r="BA4" s="10"/>
      <c r="BB4" s="10"/>
      <c r="BC4" s="10"/>
      <c r="BD4" s="10"/>
      <c r="BE4" s="10"/>
      <c r="BF4" s="10"/>
      <c r="BG4" s="10"/>
      <c r="BH4" s="10"/>
      <c r="BI4" s="10"/>
      <c r="BJ4" s="10"/>
      <c r="BK4" s="10"/>
      <c r="BL4" s="10"/>
      <c r="BM4" s="10"/>
      <c r="BN4" s="10"/>
      <c r="BO4" s="10"/>
      <c r="BP4" s="10"/>
      <c r="BQ4" s="10"/>
      <c r="BR4" s="10"/>
      <c r="BS4" s="10"/>
      <c r="BT4" s="10"/>
    </row>
    <row r="5" spans="1:72" ht="18" x14ac:dyDescent="0.2">
      <c r="A5" s="208" t="s">
        <v>167</v>
      </c>
      <c r="B5" s="1262">
        <f ca="1">NFK</f>
        <v>0</v>
      </c>
      <c r="C5" s="424"/>
      <c r="D5" s="425"/>
      <c r="E5" s="426"/>
      <c r="F5" s="427"/>
      <c r="G5" s="427"/>
      <c r="H5" s="427"/>
      <c r="I5" s="427"/>
      <c r="J5" s="427"/>
      <c r="K5" s="427"/>
      <c r="L5" s="427"/>
      <c r="M5" s="427"/>
      <c r="N5" s="427"/>
      <c r="O5" s="427"/>
      <c r="P5" s="427"/>
      <c r="Q5" s="427"/>
      <c r="R5" s="427"/>
      <c r="S5" s="427"/>
      <c r="T5" s="427"/>
      <c r="U5" s="427"/>
      <c r="V5" s="427"/>
      <c r="W5" s="427"/>
      <c r="X5" s="427"/>
      <c r="Y5" s="427"/>
      <c r="Z5" s="427"/>
      <c r="AA5" s="427"/>
      <c r="AB5" s="427"/>
      <c r="AC5" s="427"/>
      <c r="AD5" s="427"/>
      <c r="AE5" s="427"/>
      <c r="AF5" s="427"/>
      <c r="AG5" s="427"/>
      <c r="AH5" s="427"/>
      <c r="AI5" s="427"/>
      <c r="AJ5" s="427"/>
      <c r="AK5" s="427"/>
      <c r="AL5" s="427"/>
      <c r="AM5" s="427"/>
      <c r="AN5" s="427"/>
      <c r="AO5" s="427"/>
      <c r="AP5" s="427"/>
      <c r="AQ5" s="427"/>
      <c r="AR5" s="427"/>
      <c r="AS5" s="427"/>
      <c r="AT5" s="427"/>
      <c r="AU5" s="427"/>
      <c r="AV5" s="427"/>
      <c r="AW5" s="427"/>
      <c r="AX5" s="427"/>
      <c r="AY5" s="427"/>
      <c r="AZ5" s="427"/>
      <c r="BA5" s="10"/>
      <c r="BB5" s="10"/>
      <c r="BC5" s="10"/>
      <c r="BD5" s="10"/>
      <c r="BE5" s="10"/>
      <c r="BF5" s="10"/>
      <c r="BG5" s="10"/>
      <c r="BH5" s="10"/>
      <c r="BI5" s="10"/>
      <c r="BJ5" s="10"/>
      <c r="BK5" s="10"/>
      <c r="BL5" s="10"/>
      <c r="BM5" s="10"/>
      <c r="BN5" s="10"/>
      <c r="BO5" s="10"/>
      <c r="BP5" s="10"/>
      <c r="BQ5" s="10"/>
      <c r="BR5" s="10"/>
      <c r="BS5" s="10"/>
      <c r="BT5" s="10"/>
    </row>
    <row r="6" spans="1:72" ht="12.75" customHeight="1" x14ac:dyDescent="0.2">
      <c r="A6" s="427"/>
      <c r="B6" s="426"/>
      <c r="C6" s="428"/>
      <c r="D6" s="425"/>
      <c r="E6" s="426"/>
      <c r="F6" s="427"/>
      <c r="G6" s="427"/>
      <c r="H6" s="427"/>
      <c r="I6" s="427"/>
      <c r="J6" s="427"/>
      <c r="K6" s="427"/>
      <c r="L6" s="427"/>
      <c r="M6" s="427"/>
      <c r="N6" s="427"/>
      <c r="O6" s="427"/>
      <c r="P6" s="427"/>
      <c r="Q6" s="427"/>
      <c r="R6" s="427"/>
      <c r="S6" s="427"/>
      <c r="T6" s="427"/>
      <c r="U6" s="427"/>
      <c r="V6" s="427"/>
      <c r="W6" s="427"/>
      <c r="X6" s="427"/>
      <c r="Y6" s="427"/>
      <c r="Z6" s="427"/>
      <c r="AA6" s="427"/>
      <c r="AB6" s="427"/>
      <c r="AC6" s="427"/>
      <c r="AD6" s="427"/>
      <c r="AE6" s="427"/>
      <c r="AF6" s="427"/>
      <c r="AG6" s="427"/>
      <c r="AH6" s="427"/>
      <c r="AI6" s="427"/>
      <c r="AJ6" s="427"/>
      <c r="AK6" s="427"/>
      <c r="AL6" s="427"/>
      <c r="AM6" s="427"/>
      <c r="AN6" s="427"/>
      <c r="AO6" s="427"/>
      <c r="AP6" s="427"/>
      <c r="AQ6" s="427"/>
      <c r="AR6" s="427"/>
      <c r="AS6" s="427"/>
      <c r="AT6" s="427"/>
      <c r="AU6" s="427"/>
      <c r="AV6" s="427"/>
      <c r="AW6" s="427"/>
      <c r="AX6" s="427"/>
      <c r="AY6" s="427"/>
      <c r="AZ6" s="427"/>
      <c r="BA6" s="10"/>
      <c r="BB6" s="10"/>
      <c r="BC6" s="10"/>
      <c r="BD6" s="10"/>
      <c r="BE6" s="10"/>
      <c r="BF6" s="10"/>
      <c r="BG6" s="10"/>
      <c r="BH6" s="10"/>
      <c r="BI6" s="10"/>
      <c r="BJ6" s="10"/>
      <c r="BK6" s="10"/>
      <c r="BL6" s="10"/>
      <c r="BM6" s="10"/>
      <c r="BN6" s="10"/>
      <c r="BO6" s="10"/>
      <c r="BP6" s="10"/>
      <c r="BQ6" s="10"/>
      <c r="BR6" s="10"/>
      <c r="BS6" s="10"/>
      <c r="BT6" s="10"/>
    </row>
    <row r="7" spans="1:72" ht="18" x14ac:dyDescent="0.2">
      <c r="A7" s="429" t="s">
        <v>214</v>
      </c>
      <c r="B7" s="416">
        <f ca="1">IF(B5&gt;5000000,250000,IF(B5&lt;=200000,B5*10%,IF(B5&lt;=1000000,20000+(B5-200000)*6.875%,IF(B5&lt;=1000000,B5*7.5%,IF(B5&lt;=1500000,75000+(B5-1000000)*5%,IF(B5&lt;=2500000,100000+(B5-1500000)*2.5%,B5*5%))))))</f>
        <v>0</v>
      </c>
      <c r="C7" s="442">
        <f ca="1">IF(B5=0,0,B7/B5)</f>
        <v>0</v>
      </c>
      <c r="D7" s="441"/>
      <c r="E7" s="416"/>
      <c r="F7" s="416"/>
      <c r="G7" s="416"/>
      <c r="H7" s="427"/>
      <c r="I7" s="427"/>
      <c r="J7" s="427"/>
      <c r="K7" s="427"/>
      <c r="L7" s="427"/>
      <c r="M7" s="427"/>
      <c r="N7" s="427"/>
      <c r="O7" s="427"/>
      <c r="P7" s="427"/>
      <c r="Q7" s="427"/>
      <c r="R7" s="427"/>
      <c r="S7" s="427"/>
      <c r="T7" s="427"/>
      <c r="U7" s="427"/>
      <c r="V7" s="427"/>
      <c r="W7" s="427"/>
      <c r="X7" s="427"/>
      <c r="Y7" s="427"/>
      <c r="Z7" s="427"/>
      <c r="AA7" s="427"/>
      <c r="AB7" s="427"/>
      <c r="AC7" s="427"/>
      <c r="AD7" s="427"/>
      <c r="AE7" s="427"/>
      <c r="AF7" s="427"/>
      <c r="AG7" s="427"/>
      <c r="AH7" s="427"/>
      <c r="AI7" s="427"/>
      <c r="AJ7" s="427"/>
      <c r="AK7" s="427"/>
      <c r="AL7" s="427"/>
      <c r="AM7" s="427"/>
      <c r="AN7" s="427"/>
      <c r="AO7" s="427"/>
      <c r="AP7" s="427"/>
      <c r="AQ7" s="427"/>
      <c r="AR7" s="427"/>
      <c r="AS7" s="427"/>
      <c r="AT7" s="427"/>
      <c r="AU7" s="427"/>
      <c r="AV7" s="427"/>
      <c r="AW7" s="427"/>
      <c r="AX7" s="427"/>
      <c r="AY7" s="427"/>
      <c r="AZ7" s="427"/>
      <c r="BA7" s="10"/>
      <c r="BB7" s="10"/>
      <c r="BC7" s="10"/>
      <c r="BD7" s="10"/>
      <c r="BE7" s="10"/>
      <c r="BF7" s="10"/>
      <c r="BG7" s="10"/>
      <c r="BH7" s="10"/>
      <c r="BI7" s="10"/>
      <c r="BJ7" s="10"/>
      <c r="BK7" s="10"/>
      <c r="BL7" s="10"/>
      <c r="BM7" s="10"/>
      <c r="BN7" s="10"/>
      <c r="BO7" s="10"/>
      <c r="BP7" s="10"/>
      <c r="BQ7" s="10"/>
      <c r="BR7" s="10"/>
      <c r="BS7" s="10"/>
      <c r="BT7" s="10"/>
    </row>
    <row r="8" spans="1:72" ht="18" x14ac:dyDescent="0.2">
      <c r="A8" s="429" t="s">
        <v>548</v>
      </c>
      <c r="B8" s="416">
        <f ca="1">ROUND(IF(B5&lt;=800000,B5*9%,IF(B5&lt;=1200000,72000+(B5-800000)*30000/400000,IF(B5&lt;=1600000,102000+(B5-1200000)*26000/400000,IF(B5&lt;=2500000,128000+(B5-1600000)*59500/900000,B5*7.5%)))),-1)</f>
        <v>0</v>
      </c>
      <c r="C8" s="442">
        <f ca="1">IF(B5=0,0,B8/B5)</f>
        <v>0</v>
      </c>
      <c r="D8" s="440"/>
      <c r="E8" s="416"/>
      <c r="F8" s="416"/>
      <c r="G8" s="416"/>
      <c r="H8" s="427"/>
      <c r="I8" s="427"/>
      <c r="J8" s="427"/>
      <c r="K8" s="427"/>
      <c r="L8" s="427"/>
      <c r="M8" s="427"/>
      <c r="N8" s="427"/>
      <c r="O8" s="427"/>
      <c r="P8" s="427"/>
      <c r="Q8" s="427"/>
      <c r="R8" s="427"/>
      <c r="S8" s="427"/>
      <c r="T8" s="427"/>
      <c r="U8" s="427"/>
      <c r="V8" s="427"/>
      <c r="W8" s="427"/>
      <c r="X8" s="427"/>
      <c r="Y8" s="427"/>
      <c r="Z8" s="427"/>
      <c r="AA8" s="427"/>
      <c r="AB8" s="427"/>
      <c r="AC8" s="427"/>
      <c r="AD8" s="427"/>
      <c r="AE8" s="427"/>
      <c r="AF8" s="427"/>
      <c r="AG8" s="427"/>
      <c r="AH8" s="427"/>
      <c r="AI8" s="427"/>
      <c r="AJ8" s="427"/>
      <c r="AK8" s="427"/>
      <c r="AL8" s="427"/>
      <c r="AM8" s="427"/>
      <c r="AN8" s="427"/>
      <c r="AO8" s="427"/>
      <c r="AP8" s="427"/>
      <c r="AQ8" s="427"/>
      <c r="AR8" s="427"/>
      <c r="AS8" s="427"/>
      <c r="AT8" s="427"/>
      <c r="AU8" s="427"/>
      <c r="AV8" s="427"/>
      <c r="AW8" s="427"/>
      <c r="AX8" s="427"/>
      <c r="AY8" s="427"/>
      <c r="AZ8" s="427"/>
      <c r="BA8" s="10"/>
      <c r="BB8" s="10"/>
      <c r="BC8" s="10"/>
      <c r="BD8" s="10"/>
      <c r="BE8" s="10"/>
      <c r="BF8" s="10"/>
      <c r="BG8" s="10"/>
      <c r="BH8" s="10"/>
      <c r="BI8" s="10"/>
      <c r="BJ8" s="10"/>
      <c r="BK8" s="10"/>
      <c r="BL8" s="10"/>
      <c r="BM8" s="10"/>
      <c r="BN8" s="10"/>
      <c r="BO8" s="10"/>
      <c r="BP8" s="10"/>
      <c r="BQ8" s="10"/>
      <c r="BR8" s="10"/>
      <c r="BS8" s="10"/>
      <c r="BT8" s="10"/>
    </row>
    <row r="9" spans="1:72" ht="12.75" customHeight="1" x14ac:dyDescent="0.2">
      <c r="A9" s="429"/>
      <c r="B9" s="430"/>
      <c r="C9" s="443"/>
      <c r="D9" s="425"/>
      <c r="E9" s="416"/>
      <c r="F9" s="416"/>
      <c r="G9" s="416"/>
      <c r="H9" s="427"/>
      <c r="I9" s="427"/>
      <c r="J9" s="427"/>
      <c r="K9" s="427"/>
      <c r="L9" s="427"/>
      <c r="M9" s="427"/>
      <c r="N9" s="427"/>
      <c r="O9" s="427"/>
      <c r="P9" s="427"/>
      <c r="Q9" s="427"/>
      <c r="R9" s="427"/>
      <c r="S9" s="427"/>
      <c r="T9" s="427"/>
      <c r="U9" s="427"/>
      <c r="V9" s="427"/>
      <c r="W9" s="427"/>
      <c r="X9" s="427"/>
      <c r="Y9" s="427"/>
      <c r="Z9" s="427"/>
      <c r="AA9" s="427"/>
      <c r="AB9" s="427"/>
      <c r="AC9" s="427"/>
      <c r="AD9" s="427"/>
      <c r="AE9" s="427"/>
      <c r="AF9" s="427"/>
      <c r="AG9" s="427"/>
      <c r="AH9" s="427"/>
      <c r="AI9" s="427"/>
      <c r="AJ9" s="427"/>
      <c r="AK9" s="427"/>
      <c r="AL9" s="427"/>
      <c r="AM9" s="427"/>
      <c r="AN9" s="427"/>
      <c r="AO9" s="427"/>
      <c r="AP9" s="427"/>
      <c r="AQ9" s="427"/>
      <c r="AR9" s="427"/>
      <c r="AS9" s="427"/>
      <c r="AT9" s="427"/>
      <c r="AU9" s="427"/>
      <c r="AV9" s="427"/>
      <c r="AW9" s="427"/>
      <c r="AX9" s="427"/>
      <c r="AY9" s="427"/>
      <c r="AZ9" s="427"/>
      <c r="BA9" s="10"/>
      <c r="BB9" s="10"/>
      <c r="BC9" s="10"/>
      <c r="BD9" s="10"/>
      <c r="BE9" s="10"/>
      <c r="BF9" s="10"/>
      <c r="BG9" s="10"/>
      <c r="BH9" s="10"/>
      <c r="BI9" s="10"/>
      <c r="BJ9" s="10"/>
      <c r="BK9" s="10"/>
      <c r="BL9" s="10"/>
      <c r="BM9" s="10"/>
      <c r="BN9" s="10"/>
      <c r="BO9" s="10"/>
      <c r="BP9" s="10"/>
      <c r="BQ9" s="10"/>
      <c r="BR9" s="10"/>
      <c r="BS9" s="10"/>
      <c r="BT9" s="10"/>
    </row>
    <row r="10" spans="1:72" ht="18" x14ac:dyDescent="0.2">
      <c r="A10" s="429" t="s">
        <v>539</v>
      </c>
      <c r="B10" s="416">
        <f>ROUND(IF(B4&lt;=200000,B4*12%,IF(B4&lt;=500000,24000+(B4-200000)*5%,IF(B4&lt;=800000,39000+(B4-500000)*3%,IF(B4&lt;=2800000,48000+(B4-800000)*2%,IF(B4&lt;=6000000,88000+(B4-2800000)*1%,B4*2%))))),-1)</f>
        <v>0</v>
      </c>
      <c r="C10" s="442">
        <f>IF(B4=0,0,B10/B4)</f>
        <v>0</v>
      </c>
      <c r="D10" s="425"/>
      <c r="E10" s="416"/>
      <c r="F10" s="416"/>
      <c r="G10" s="416"/>
      <c r="H10" s="427"/>
      <c r="I10" s="427"/>
      <c r="J10" s="427"/>
      <c r="K10" s="427"/>
      <c r="L10" s="427"/>
      <c r="M10" s="427"/>
      <c r="N10" s="427"/>
      <c r="O10" s="427"/>
      <c r="P10" s="427"/>
      <c r="Q10" s="427"/>
      <c r="R10" s="427"/>
      <c r="S10" s="427"/>
      <c r="T10" s="427"/>
      <c r="U10" s="427"/>
      <c r="V10" s="427"/>
      <c r="W10" s="427"/>
      <c r="X10" s="427"/>
      <c r="Y10" s="427"/>
      <c r="Z10" s="427"/>
      <c r="AA10" s="427"/>
      <c r="AB10" s="427"/>
      <c r="AC10" s="427"/>
      <c r="AD10" s="427"/>
      <c r="AE10" s="427"/>
      <c r="AF10" s="427"/>
      <c r="AG10" s="427"/>
      <c r="AH10" s="427"/>
      <c r="AI10" s="427"/>
      <c r="AJ10" s="427"/>
      <c r="AK10" s="427"/>
      <c r="AL10" s="427"/>
      <c r="AM10" s="427"/>
      <c r="AN10" s="427"/>
      <c r="AO10" s="427"/>
      <c r="AP10" s="427"/>
      <c r="AQ10" s="427"/>
      <c r="AR10" s="427"/>
      <c r="AS10" s="427"/>
      <c r="AT10" s="427"/>
      <c r="AU10" s="427"/>
      <c r="AV10" s="427"/>
      <c r="AW10" s="427"/>
      <c r="AX10" s="427"/>
      <c r="AY10" s="427"/>
      <c r="AZ10" s="427"/>
      <c r="BA10" s="10"/>
      <c r="BB10" s="10"/>
      <c r="BC10" s="10"/>
      <c r="BD10" s="10"/>
      <c r="BE10" s="10"/>
      <c r="BF10" s="10"/>
      <c r="BG10" s="10"/>
      <c r="BH10" s="10"/>
      <c r="BI10" s="10"/>
      <c r="BJ10" s="10"/>
      <c r="BK10" s="10"/>
      <c r="BL10" s="10"/>
      <c r="BM10" s="10"/>
      <c r="BN10" s="10"/>
      <c r="BO10" s="10"/>
      <c r="BP10" s="10"/>
      <c r="BQ10" s="10"/>
      <c r="BR10" s="10"/>
      <c r="BS10" s="10"/>
      <c r="BT10" s="10"/>
    </row>
    <row r="11" spans="1:72" ht="18" x14ac:dyDescent="0.2">
      <c r="A11" s="429" t="s">
        <v>714</v>
      </c>
      <c r="B11" s="416">
        <f>ROUND(IF(B4&lt;=200000,B4*18%,IF(B4&lt;=300000,36000+(B4-200000)*6%,IF(B4&lt;=600000,42000+(B4-300000)*4%,IF(B4&lt;=2400000,54000+(B4-600000)*3%,IF(B4&lt;=3000000,108000+(B4-2400000)*2%,IF(B4&lt;=4500000,120000+(B4-3000000)*1%,B4*3%)))))),-1)</f>
        <v>0</v>
      </c>
      <c r="C11" s="442">
        <f>IF(B4=0,0,B11/B4)</f>
        <v>0</v>
      </c>
      <c r="D11" s="425"/>
      <c r="E11" s="416"/>
      <c r="F11" s="416"/>
      <c r="G11" s="416"/>
      <c r="H11" s="427"/>
      <c r="I11" s="427"/>
      <c r="J11" s="427"/>
      <c r="K11" s="427"/>
      <c r="L11" s="427"/>
      <c r="M11" s="427"/>
      <c r="N11" s="427"/>
      <c r="O11" s="427"/>
      <c r="P11" s="427"/>
      <c r="Q11" s="427"/>
      <c r="R11" s="427"/>
      <c r="S11" s="427"/>
      <c r="T11" s="427"/>
      <c r="U11" s="427"/>
      <c r="V11" s="427"/>
      <c r="W11" s="427"/>
      <c r="X11" s="427"/>
      <c r="Y11" s="427"/>
      <c r="Z11" s="427"/>
      <c r="AA11" s="427"/>
      <c r="AB11" s="427"/>
      <c r="AC11" s="427"/>
      <c r="AD11" s="427"/>
      <c r="AE11" s="427"/>
      <c r="AF11" s="427"/>
      <c r="AG11" s="427"/>
      <c r="AH11" s="427"/>
      <c r="AI11" s="427"/>
      <c r="AJ11" s="427"/>
      <c r="AK11" s="427"/>
      <c r="AL11" s="427"/>
      <c r="AM11" s="427"/>
      <c r="AN11" s="427"/>
      <c r="AO11" s="427"/>
      <c r="AP11" s="427"/>
      <c r="AQ11" s="427"/>
      <c r="AR11" s="427"/>
      <c r="AS11" s="427"/>
      <c r="AT11" s="427"/>
      <c r="AU11" s="427"/>
      <c r="AV11" s="427"/>
      <c r="AW11" s="427"/>
      <c r="AX11" s="427"/>
      <c r="AY11" s="427"/>
      <c r="AZ11" s="427"/>
      <c r="BA11" s="10"/>
      <c r="BB11" s="10"/>
      <c r="BC11" s="10"/>
      <c r="BD11" s="10"/>
      <c r="BE11" s="10"/>
      <c r="BF11" s="10"/>
      <c r="BG11" s="10"/>
      <c r="BH11" s="10"/>
      <c r="BI11" s="10"/>
      <c r="BJ11" s="10"/>
      <c r="BK11" s="10"/>
      <c r="BL11" s="10"/>
      <c r="BM11" s="10"/>
      <c r="BN11" s="10"/>
      <c r="BO11" s="10"/>
      <c r="BP11" s="10"/>
      <c r="BQ11" s="10"/>
      <c r="BR11" s="10"/>
      <c r="BS11" s="10"/>
      <c r="BT11" s="10"/>
    </row>
    <row r="12" spans="1:72" ht="18" x14ac:dyDescent="0.2">
      <c r="A12" s="429"/>
      <c r="B12" s="416"/>
      <c r="C12" s="442"/>
      <c r="D12" s="425"/>
      <c r="E12" s="416"/>
      <c r="F12" s="416"/>
      <c r="G12" s="416"/>
      <c r="H12" s="427"/>
      <c r="I12" s="427"/>
      <c r="J12" s="427"/>
      <c r="K12" s="427"/>
      <c r="L12" s="427"/>
      <c r="M12" s="427"/>
      <c r="N12" s="427"/>
      <c r="O12" s="427"/>
      <c r="P12" s="427"/>
      <c r="Q12" s="427"/>
      <c r="R12" s="427"/>
      <c r="S12" s="427"/>
      <c r="T12" s="427"/>
      <c r="U12" s="427"/>
      <c r="V12" s="427"/>
      <c r="W12" s="427"/>
      <c r="X12" s="427"/>
      <c r="Y12" s="427"/>
      <c r="Z12" s="427"/>
      <c r="AA12" s="427"/>
      <c r="AB12" s="427"/>
      <c r="AC12" s="427"/>
      <c r="AD12" s="427"/>
      <c r="AE12" s="427"/>
      <c r="AF12" s="427"/>
      <c r="AG12" s="427"/>
      <c r="AH12" s="427"/>
      <c r="AI12" s="427"/>
      <c r="AJ12" s="427"/>
      <c r="AK12" s="427"/>
      <c r="AL12" s="427"/>
      <c r="AM12" s="427"/>
      <c r="AN12" s="427"/>
      <c r="AO12" s="427"/>
      <c r="AP12" s="427"/>
      <c r="AQ12" s="427"/>
      <c r="AR12" s="427"/>
      <c r="AS12" s="427"/>
      <c r="AT12" s="427"/>
      <c r="AU12" s="427"/>
      <c r="AV12" s="427"/>
      <c r="AW12" s="427"/>
      <c r="AX12" s="427"/>
      <c r="AY12" s="427"/>
      <c r="AZ12" s="427"/>
      <c r="BA12" s="10"/>
      <c r="BB12" s="10"/>
      <c r="BC12" s="10"/>
      <c r="BD12" s="10"/>
      <c r="BE12" s="10"/>
      <c r="BF12" s="10"/>
      <c r="BG12" s="10"/>
      <c r="BH12" s="10"/>
      <c r="BI12" s="10"/>
      <c r="BJ12" s="10"/>
      <c r="BK12" s="10"/>
      <c r="BL12" s="10"/>
      <c r="BM12" s="10"/>
      <c r="BN12" s="10"/>
      <c r="BO12" s="10"/>
      <c r="BP12" s="10"/>
      <c r="BQ12" s="10"/>
      <c r="BR12" s="10"/>
      <c r="BS12" s="10"/>
      <c r="BT12" s="10"/>
    </row>
    <row r="13" spans="1:72" ht="18" x14ac:dyDescent="0.2">
      <c r="A13" s="431"/>
      <c r="B13" s="432"/>
      <c r="C13" s="428"/>
      <c r="D13" s="425"/>
      <c r="E13" s="426"/>
      <c r="F13" s="427"/>
      <c r="G13" s="416"/>
      <c r="H13" s="427"/>
      <c r="I13" s="427"/>
      <c r="J13" s="427"/>
      <c r="K13" s="427"/>
      <c r="L13" s="427"/>
      <c r="M13" s="427"/>
      <c r="N13" s="427"/>
      <c r="O13" s="427"/>
      <c r="P13" s="427"/>
      <c r="Q13" s="427"/>
      <c r="R13" s="427"/>
      <c r="S13" s="427"/>
      <c r="T13" s="427"/>
      <c r="U13" s="427"/>
      <c r="V13" s="427"/>
      <c r="W13" s="427"/>
      <c r="X13" s="427"/>
      <c r="Y13" s="427"/>
      <c r="Z13" s="427"/>
      <c r="AA13" s="427"/>
      <c r="AB13" s="427"/>
      <c r="AC13" s="427"/>
      <c r="AD13" s="427"/>
      <c r="AE13" s="427"/>
      <c r="AF13" s="427"/>
      <c r="AG13" s="427"/>
      <c r="AH13" s="427"/>
      <c r="AI13" s="427"/>
      <c r="AJ13" s="427"/>
      <c r="AK13" s="427"/>
      <c r="AL13" s="427"/>
      <c r="AM13" s="427"/>
      <c r="AN13" s="427"/>
      <c r="AO13" s="427"/>
      <c r="AP13" s="427"/>
      <c r="AQ13" s="427"/>
      <c r="AR13" s="427"/>
      <c r="AS13" s="427"/>
      <c r="AT13" s="427"/>
      <c r="AU13" s="427"/>
      <c r="AV13" s="427"/>
      <c r="AW13" s="427"/>
      <c r="AX13" s="427"/>
      <c r="AY13" s="427"/>
      <c r="AZ13" s="427"/>
      <c r="BA13" s="10"/>
      <c r="BB13" s="10"/>
      <c r="BC13" s="10"/>
      <c r="BD13" s="10"/>
      <c r="BE13" s="10"/>
      <c r="BF13" s="10"/>
      <c r="BG13" s="10"/>
      <c r="BH13" s="10"/>
      <c r="BI13" s="10"/>
      <c r="BJ13" s="10"/>
      <c r="BK13" s="10"/>
      <c r="BL13" s="10"/>
      <c r="BM13" s="10"/>
      <c r="BN13" s="10"/>
      <c r="BO13" s="10"/>
      <c r="BP13" s="10"/>
      <c r="BQ13" s="10"/>
      <c r="BR13" s="10"/>
      <c r="BS13" s="10"/>
      <c r="BT13" s="10"/>
    </row>
    <row r="14" spans="1:72" ht="18" x14ac:dyDescent="0.2">
      <c r="A14" s="431"/>
      <c r="B14" s="432"/>
      <c r="C14" s="428"/>
      <c r="D14" s="425"/>
      <c r="E14" s="426"/>
      <c r="F14" s="427"/>
      <c r="G14" s="416"/>
      <c r="H14" s="427"/>
      <c r="I14" s="427"/>
      <c r="J14" s="427"/>
      <c r="K14" s="427"/>
      <c r="L14" s="427"/>
      <c r="M14" s="427"/>
      <c r="N14" s="427"/>
      <c r="O14" s="427"/>
      <c r="P14" s="427"/>
      <c r="Q14" s="427"/>
      <c r="R14" s="427"/>
      <c r="S14" s="427"/>
      <c r="T14" s="427"/>
      <c r="U14" s="427"/>
      <c r="V14" s="427"/>
      <c r="W14" s="427"/>
      <c r="X14" s="427"/>
      <c r="Y14" s="427"/>
      <c r="Z14" s="427"/>
      <c r="AA14" s="427"/>
      <c r="AB14" s="427"/>
      <c r="AC14" s="427"/>
      <c r="AD14" s="427"/>
      <c r="AE14" s="427"/>
      <c r="AF14" s="427"/>
      <c r="AG14" s="427"/>
      <c r="AH14" s="427"/>
      <c r="AI14" s="427"/>
      <c r="AJ14" s="427"/>
      <c r="AK14" s="427"/>
      <c r="AL14" s="427"/>
      <c r="AM14" s="427"/>
      <c r="AN14" s="427"/>
      <c r="AO14" s="427"/>
      <c r="AP14" s="427"/>
      <c r="AQ14" s="427"/>
      <c r="AR14" s="427"/>
      <c r="AS14" s="427"/>
      <c r="AT14" s="427"/>
      <c r="AU14" s="427"/>
      <c r="AV14" s="427"/>
      <c r="AW14" s="427"/>
      <c r="AX14" s="427"/>
      <c r="AY14" s="427"/>
      <c r="AZ14" s="427"/>
      <c r="BA14" s="10"/>
      <c r="BB14" s="10"/>
      <c r="BC14" s="10"/>
      <c r="BD14" s="10"/>
      <c r="BE14" s="10"/>
      <c r="BF14" s="10"/>
      <c r="BG14" s="10"/>
      <c r="BH14" s="10"/>
      <c r="BI14" s="10"/>
      <c r="BJ14" s="10"/>
      <c r="BK14" s="10"/>
      <c r="BL14" s="10"/>
      <c r="BM14" s="10"/>
      <c r="BN14" s="10"/>
      <c r="BO14" s="10"/>
      <c r="BP14" s="10"/>
      <c r="BQ14" s="10"/>
      <c r="BR14" s="10"/>
      <c r="BS14" s="10"/>
      <c r="BT14" s="10"/>
    </row>
    <row r="15" spans="1:72" ht="12.75" customHeight="1" x14ac:dyDescent="0.2">
      <c r="A15" s="427"/>
      <c r="B15" s="426"/>
      <c r="C15" s="428"/>
      <c r="D15" s="425"/>
      <c r="E15" s="426"/>
      <c r="F15" s="427"/>
      <c r="G15" s="427"/>
      <c r="H15" s="427"/>
      <c r="I15" s="427"/>
      <c r="J15" s="427"/>
      <c r="K15" s="427"/>
      <c r="L15" s="427"/>
      <c r="M15" s="427"/>
      <c r="N15" s="427"/>
      <c r="O15" s="427"/>
      <c r="P15" s="427"/>
      <c r="Q15" s="427"/>
      <c r="R15" s="427"/>
      <c r="S15" s="427"/>
      <c r="T15" s="427"/>
      <c r="U15" s="427"/>
      <c r="V15" s="427"/>
      <c r="W15" s="427"/>
      <c r="X15" s="427"/>
      <c r="Y15" s="427"/>
      <c r="Z15" s="427"/>
      <c r="AA15" s="427"/>
      <c r="AB15" s="427"/>
      <c r="AC15" s="427"/>
      <c r="AD15" s="427"/>
      <c r="AE15" s="427"/>
      <c r="AF15" s="427"/>
      <c r="AG15" s="427"/>
      <c r="AH15" s="427"/>
      <c r="AI15" s="427"/>
      <c r="AJ15" s="427"/>
      <c r="AK15" s="427"/>
      <c r="AL15" s="427"/>
      <c r="AM15" s="427"/>
      <c r="AN15" s="427"/>
      <c r="AO15" s="427"/>
      <c r="AP15" s="427"/>
      <c r="AQ15" s="427"/>
      <c r="AR15" s="427"/>
      <c r="AS15" s="427"/>
      <c r="AT15" s="427"/>
      <c r="AU15" s="427"/>
      <c r="AV15" s="427"/>
      <c r="AW15" s="427"/>
      <c r="AX15" s="427"/>
      <c r="AY15" s="427"/>
      <c r="AZ15" s="427"/>
      <c r="BA15" s="10"/>
      <c r="BB15" s="10"/>
      <c r="BC15" s="10"/>
      <c r="BD15" s="10"/>
      <c r="BE15" s="10"/>
      <c r="BF15" s="10"/>
      <c r="BG15" s="10"/>
      <c r="BH15" s="10"/>
      <c r="BI15" s="10"/>
      <c r="BJ15" s="10"/>
      <c r="BK15" s="10"/>
      <c r="BL15" s="10"/>
      <c r="BM15" s="10"/>
      <c r="BN15" s="10"/>
      <c r="BO15" s="10"/>
      <c r="BP15" s="10"/>
      <c r="BQ15" s="10"/>
      <c r="BR15" s="10"/>
      <c r="BS15" s="10"/>
      <c r="BT15" s="10"/>
    </row>
    <row r="16" spans="1:72" ht="12.75" customHeight="1" x14ac:dyDescent="0.2">
      <c r="A16" s="433"/>
      <c r="B16" s="434"/>
      <c r="C16" s="428"/>
      <c r="D16" s="425"/>
      <c r="E16" s="426"/>
      <c r="F16" s="427"/>
      <c r="G16" s="427"/>
      <c r="H16" s="427"/>
      <c r="I16" s="427"/>
      <c r="J16" s="427"/>
      <c r="K16" s="427"/>
      <c r="L16" s="427"/>
      <c r="M16" s="427"/>
      <c r="N16" s="427"/>
      <c r="O16" s="427"/>
      <c r="P16" s="427"/>
      <c r="Q16" s="427"/>
      <c r="R16" s="427"/>
      <c r="S16" s="427"/>
      <c r="T16" s="427"/>
      <c r="U16" s="427"/>
      <c r="V16" s="427"/>
      <c r="W16" s="427"/>
      <c r="X16" s="427"/>
      <c r="Y16" s="427"/>
      <c r="Z16" s="427"/>
      <c r="AA16" s="427"/>
      <c r="AB16" s="427"/>
      <c r="AC16" s="427"/>
      <c r="AD16" s="427"/>
      <c r="AE16" s="427"/>
      <c r="AF16" s="427"/>
      <c r="AG16" s="427"/>
      <c r="AH16" s="427"/>
      <c r="AI16" s="427"/>
      <c r="AJ16" s="427"/>
      <c r="AK16" s="427"/>
      <c r="AL16" s="427"/>
      <c r="AM16" s="427"/>
      <c r="AN16" s="427"/>
      <c r="AO16" s="427"/>
      <c r="AP16" s="427"/>
      <c r="AQ16" s="427"/>
      <c r="AR16" s="427"/>
      <c r="AS16" s="427"/>
      <c r="AT16" s="427"/>
      <c r="AU16" s="427"/>
      <c r="AV16" s="427"/>
      <c r="AW16" s="427"/>
      <c r="AX16" s="427"/>
      <c r="AY16" s="427"/>
      <c r="AZ16" s="427"/>
      <c r="BA16" s="10"/>
      <c r="BB16" s="10"/>
      <c r="BC16" s="10"/>
      <c r="BD16" s="10"/>
      <c r="BE16" s="10"/>
      <c r="BF16" s="10"/>
      <c r="BG16" s="10"/>
      <c r="BH16" s="10"/>
      <c r="BI16" s="10"/>
      <c r="BJ16" s="10"/>
      <c r="BK16" s="10"/>
      <c r="BL16" s="10"/>
      <c r="BM16" s="10"/>
      <c r="BN16" s="10"/>
      <c r="BO16" s="10"/>
      <c r="BP16" s="10"/>
      <c r="BQ16" s="10"/>
      <c r="BR16" s="10"/>
      <c r="BS16" s="10"/>
      <c r="BT16" s="10"/>
    </row>
    <row r="17" spans="1:72" ht="18" x14ac:dyDescent="0.2">
      <c r="A17" s="435"/>
      <c r="B17" s="436"/>
      <c r="C17" s="428"/>
      <c r="D17" s="425"/>
      <c r="E17" s="426"/>
      <c r="F17" s="427"/>
      <c r="G17" s="427"/>
      <c r="H17" s="427"/>
      <c r="I17" s="427"/>
      <c r="J17" s="427"/>
      <c r="K17" s="427"/>
      <c r="L17" s="427"/>
      <c r="M17" s="427"/>
      <c r="N17" s="427"/>
      <c r="O17" s="427"/>
      <c r="P17" s="427"/>
      <c r="Q17" s="427"/>
      <c r="R17" s="427"/>
      <c r="S17" s="427"/>
      <c r="T17" s="427"/>
      <c r="U17" s="427"/>
      <c r="V17" s="427"/>
      <c r="W17" s="427"/>
      <c r="X17" s="427"/>
      <c r="Y17" s="427"/>
      <c r="Z17" s="427"/>
      <c r="AA17" s="427"/>
      <c r="AB17" s="427"/>
      <c r="AC17" s="427"/>
      <c r="AD17" s="427"/>
      <c r="AE17" s="427"/>
      <c r="AF17" s="427"/>
      <c r="AG17" s="427"/>
      <c r="AH17" s="427"/>
      <c r="AI17" s="427"/>
      <c r="AJ17" s="427"/>
      <c r="AK17" s="427"/>
      <c r="AL17" s="427"/>
      <c r="AM17" s="427"/>
      <c r="AN17" s="427"/>
      <c r="AO17" s="427"/>
      <c r="AP17" s="427"/>
      <c r="AQ17" s="427"/>
      <c r="AR17" s="427"/>
      <c r="AS17" s="427"/>
      <c r="AT17" s="427"/>
      <c r="AU17" s="427"/>
      <c r="AV17" s="427"/>
      <c r="AW17" s="427"/>
      <c r="AX17" s="427"/>
      <c r="AY17" s="427"/>
      <c r="AZ17" s="427"/>
      <c r="BA17" s="10"/>
      <c r="BB17" s="10"/>
      <c r="BC17" s="10"/>
      <c r="BD17" s="10"/>
      <c r="BE17" s="10"/>
      <c r="BF17" s="10"/>
      <c r="BG17" s="10"/>
      <c r="BH17" s="10"/>
      <c r="BI17" s="10"/>
      <c r="BJ17" s="10"/>
      <c r="BK17" s="10"/>
      <c r="BL17" s="10"/>
      <c r="BM17" s="10"/>
      <c r="BN17" s="10"/>
      <c r="BO17" s="10"/>
      <c r="BP17" s="10"/>
      <c r="BQ17" s="10"/>
      <c r="BR17" s="10"/>
      <c r="BS17" s="10"/>
      <c r="BT17" s="10"/>
    </row>
    <row r="18" spans="1:72" ht="18" x14ac:dyDescent="0.2">
      <c r="A18" s="437"/>
      <c r="B18" s="426"/>
      <c r="C18" s="428"/>
      <c r="D18" s="425"/>
      <c r="E18" s="426"/>
      <c r="F18" s="427"/>
      <c r="G18" s="427"/>
      <c r="H18" s="427"/>
      <c r="I18" s="427"/>
      <c r="J18" s="427"/>
      <c r="K18" s="427"/>
      <c r="L18" s="427"/>
      <c r="M18" s="427"/>
      <c r="N18" s="427"/>
      <c r="O18" s="427"/>
      <c r="P18" s="427"/>
      <c r="Q18" s="427"/>
      <c r="R18" s="427"/>
      <c r="S18" s="427"/>
      <c r="T18" s="427"/>
      <c r="U18" s="427"/>
      <c r="V18" s="427"/>
      <c r="W18" s="427"/>
      <c r="X18" s="427"/>
      <c r="Y18" s="427"/>
      <c r="Z18" s="427"/>
      <c r="AA18" s="427"/>
      <c r="AB18" s="427"/>
      <c r="AC18" s="427"/>
      <c r="AD18" s="427"/>
      <c r="AE18" s="427"/>
      <c r="AF18" s="427"/>
      <c r="AG18" s="427"/>
      <c r="AH18" s="427"/>
      <c r="AI18" s="427"/>
      <c r="AJ18" s="427"/>
      <c r="AK18" s="427"/>
      <c r="AL18" s="427"/>
      <c r="AM18" s="427"/>
      <c r="AN18" s="427"/>
      <c r="AO18" s="427"/>
      <c r="AP18" s="427"/>
      <c r="AQ18" s="427"/>
      <c r="AR18" s="427"/>
      <c r="AS18" s="427"/>
      <c r="AT18" s="427"/>
      <c r="AU18" s="427"/>
      <c r="AV18" s="427"/>
      <c r="AW18" s="427"/>
      <c r="AX18" s="427"/>
      <c r="AY18" s="427"/>
      <c r="AZ18" s="427"/>
      <c r="BA18" s="10"/>
      <c r="BB18" s="10"/>
      <c r="BC18" s="10"/>
      <c r="BD18" s="10"/>
      <c r="BE18" s="10"/>
      <c r="BF18" s="10"/>
      <c r="BG18" s="10"/>
      <c r="BH18" s="10"/>
      <c r="BI18" s="10"/>
      <c r="BJ18" s="10"/>
      <c r="BK18" s="10"/>
      <c r="BL18" s="10"/>
      <c r="BM18" s="10"/>
      <c r="BN18" s="10"/>
      <c r="BO18" s="10"/>
      <c r="BP18" s="10"/>
      <c r="BQ18" s="10"/>
      <c r="BR18" s="10"/>
      <c r="BS18" s="10"/>
      <c r="BT18" s="10"/>
    </row>
    <row r="19" spans="1:72" ht="18" x14ac:dyDescent="0.2">
      <c r="A19" s="437"/>
      <c r="B19" s="426"/>
      <c r="C19" s="428"/>
      <c r="D19" s="425"/>
      <c r="E19" s="426"/>
      <c r="F19" s="427"/>
      <c r="G19" s="427"/>
      <c r="H19" s="427"/>
      <c r="I19" s="427"/>
      <c r="J19" s="427"/>
      <c r="K19" s="427"/>
      <c r="L19" s="427"/>
      <c r="M19" s="427"/>
      <c r="N19" s="427"/>
      <c r="O19" s="427"/>
      <c r="P19" s="427"/>
      <c r="Q19" s="427"/>
      <c r="R19" s="427"/>
      <c r="S19" s="427"/>
      <c r="T19" s="427"/>
      <c r="U19" s="427"/>
      <c r="V19" s="427"/>
      <c r="W19" s="427"/>
      <c r="X19" s="427"/>
      <c r="Y19" s="427"/>
      <c r="Z19" s="427"/>
      <c r="AA19" s="427"/>
      <c r="AB19" s="427"/>
      <c r="AC19" s="427"/>
      <c r="AD19" s="427"/>
      <c r="AE19" s="427"/>
      <c r="AF19" s="427"/>
      <c r="AG19" s="427"/>
      <c r="AH19" s="427"/>
      <c r="AI19" s="427"/>
      <c r="AJ19" s="427"/>
      <c r="AK19" s="427"/>
      <c r="AL19" s="427"/>
      <c r="AM19" s="427"/>
      <c r="AN19" s="427"/>
      <c r="AO19" s="427"/>
      <c r="AP19" s="427"/>
      <c r="AQ19" s="427"/>
      <c r="AR19" s="427"/>
      <c r="AS19" s="427"/>
      <c r="AT19" s="427"/>
      <c r="AU19" s="427"/>
      <c r="AV19" s="427"/>
      <c r="AW19" s="427"/>
      <c r="AX19" s="427"/>
      <c r="AY19" s="427"/>
      <c r="AZ19" s="427"/>
      <c r="BA19" s="10"/>
      <c r="BB19" s="10"/>
      <c r="BC19" s="10"/>
      <c r="BD19" s="10"/>
      <c r="BE19" s="10"/>
      <c r="BF19" s="10"/>
      <c r="BG19" s="10"/>
      <c r="BH19" s="10"/>
      <c r="BI19" s="10"/>
      <c r="BJ19" s="10"/>
      <c r="BK19" s="10"/>
      <c r="BL19" s="10"/>
      <c r="BM19" s="10"/>
      <c r="BN19" s="10"/>
      <c r="BO19" s="10"/>
      <c r="BP19" s="10"/>
      <c r="BQ19" s="10"/>
      <c r="BR19" s="10"/>
      <c r="BS19" s="10"/>
      <c r="BT19" s="10"/>
    </row>
    <row r="20" spans="1:72" ht="18" x14ac:dyDescent="0.2">
      <c r="A20" s="427"/>
      <c r="B20" s="426"/>
      <c r="C20" s="428"/>
      <c r="D20" s="425"/>
      <c r="E20" s="426"/>
      <c r="F20" s="427"/>
      <c r="G20" s="427"/>
      <c r="H20" s="427"/>
      <c r="I20" s="427"/>
      <c r="J20" s="427"/>
      <c r="K20" s="427"/>
      <c r="L20" s="427"/>
      <c r="M20" s="427"/>
      <c r="N20" s="427"/>
      <c r="O20" s="427"/>
      <c r="P20" s="427"/>
      <c r="Q20" s="427"/>
      <c r="R20" s="427"/>
      <c r="S20" s="427"/>
      <c r="T20" s="427"/>
      <c r="U20" s="427"/>
      <c r="V20" s="427"/>
      <c r="W20" s="427"/>
      <c r="X20" s="427"/>
      <c r="Y20" s="427"/>
      <c r="Z20" s="427"/>
      <c r="AA20" s="427"/>
      <c r="AB20" s="427"/>
      <c r="AC20" s="427"/>
      <c r="AD20" s="427"/>
      <c r="AE20" s="427"/>
      <c r="AF20" s="427"/>
      <c r="AG20" s="427"/>
      <c r="AH20" s="427"/>
      <c r="AI20" s="427"/>
      <c r="AJ20" s="427"/>
      <c r="AK20" s="427"/>
      <c r="AL20" s="427"/>
      <c r="AM20" s="427"/>
      <c r="AN20" s="427"/>
      <c r="AO20" s="427"/>
      <c r="AP20" s="427"/>
      <c r="AQ20" s="427"/>
      <c r="AR20" s="427"/>
      <c r="AS20" s="427"/>
      <c r="AT20" s="427"/>
      <c r="AU20" s="427"/>
      <c r="AV20" s="427"/>
      <c r="AW20" s="427"/>
      <c r="AX20" s="427"/>
      <c r="AY20" s="427"/>
      <c r="AZ20" s="427"/>
      <c r="BA20" s="10"/>
      <c r="BB20" s="10"/>
      <c r="BC20" s="10"/>
      <c r="BD20" s="10"/>
      <c r="BE20" s="10"/>
      <c r="BF20" s="10"/>
      <c r="BG20" s="10"/>
      <c r="BH20" s="10"/>
      <c r="BI20" s="10"/>
      <c r="BJ20" s="10"/>
      <c r="BK20" s="10"/>
      <c r="BL20" s="10"/>
      <c r="BM20" s="10"/>
      <c r="BN20" s="10"/>
      <c r="BO20" s="10"/>
      <c r="BP20" s="10"/>
      <c r="BQ20" s="10"/>
      <c r="BR20" s="10"/>
      <c r="BS20" s="10"/>
      <c r="BT20" s="10"/>
    </row>
    <row r="21" spans="1:72" ht="18" x14ac:dyDescent="0.2">
      <c r="A21" s="427"/>
      <c r="B21" s="426"/>
      <c r="C21" s="428"/>
      <c r="D21" s="425"/>
      <c r="E21" s="426"/>
      <c r="F21" s="427"/>
      <c r="G21" s="427"/>
      <c r="H21" s="427"/>
      <c r="I21" s="427"/>
      <c r="J21" s="427"/>
      <c r="K21" s="427"/>
      <c r="L21" s="427"/>
      <c r="M21" s="427"/>
      <c r="N21" s="427"/>
      <c r="O21" s="427"/>
      <c r="P21" s="427"/>
      <c r="Q21" s="427"/>
      <c r="R21" s="427"/>
      <c r="S21" s="427"/>
      <c r="T21" s="427"/>
      <c r="U21" s="427"/>
      <c r="V21" s="427"/>
      <c r="W21" s="427"/>
      <c r="X21" s="427"/>
      <c r="Y21" s="427"/>
      <c r="Z21" s="427"/>
      <c r="AA21" s="427"/>
      <c r="AB21" s="427"/>
      <c r="AC21" s="427"/>
      <c r="AD21" s="427"/>
      <c r="AE21" s="427"/>
      <c r="AF21" s="427"/>
      <c r="AG21" s="427"/>
      <c r="AH21" s="427"/>
      <c r="AI21" s="427"/>
      <c r="AJ21" s="427"/>
      <c r="AK21" s="427"/>
      <c r="AL21" s="427"/>
      <c r="AM21" s="427"/>
      <c r="AN21" s="427"/>
      <c r="AO21" s="427"/>
      <c r="AP21" s="427"/>
      <c r="AQ21" s="427"/>
      <c r="AR21" s="427"/>
      <c r="AS21" s="427"/>
      <c r="AT21" s="427"/>
      <c r="AU21" s="427"/>
      <c r="AV21" s="427"/>
      <c r="AW21" s="427"/>
      <c r="AX21" s="427"/>
      <c r="AY21" s="427"/>
      <c r="AZ21" s="427"/>
      <c r="BA21" s="10"/>
      <c r="BB21" s="10"/>
      <c r="BC21" s="10"/>
      <c r="BD21" s="10"/>
      <c r="BE21" s="10"/>
      <c r="BF21" s="10"/>
      <c r="BG21" s="10"/>
      <c r="BH21" s="10"/>
      <c r="BI21" s="10"/>
      <c r="BJ21" s="10"/>
      <c r="BK21" s="10"/>
      <c r="BL21" s="10"/>
      <c r="BM21" s="10"/>
      <c r="BN21" s="10"/>
      <c r="BO21" s="10"/>
      <c r="BP21" s="10"/>
      <c r="BQ21" s="10"/>
      <c r="BR21" s="10"/>
      <c r="BS21" s="10"/>
      <c r="BT21" s="10"/>
    </row>
    <row r="22" spans="1:72" ht="18" x14ac:dyDescent="0.2">
      <c r="A22" s="427"/>
      <c r="B22" s="426"/>
      <c r="C22" s="428"/>
      <c r="D22" s="425"/>
      <c r="E22" s="426"/>
      <c r="F22" s="427"/>
      <c r="G22" s="427"/>
      <c r="H22" s="427"/>
      <c r="I22" s="427"/>
      <c r="J22" s="427"/>
      <c r="K22" s="427"/>
      <c r="L22" s="427"/>
      <c r="M22" s="427"/>
      <c r="N22" s="427"/>
      <c r="O22" s="427"/>
      <c r="P22" s="427"/>
      <c r="Q22" s="427"/>
      <c r="R22" s="427"/>
      <c r="S22" s="427"/>
      <c r="T22" s="427"/>
      <c r="U22" s="427"/>
      <c r="V22" s="427"/>
      <c r="W22" s="427"/>
      <c r="X22" s="427"/>
      <c r="Y22" s="427"/>
      <c r="Z22" s="427"/>
      <c r="AA22" s="427"/>
      <c r="AB22" s="427"/>
      <c r="AC22" s="427"/>
      <c r="AD22" s="427"/>
      <c r="AE22" s="427"/>
      <c r="AF22" s="427"/>
      <c r="AG22" s="427"/>
      <c r="AH22" s="427"/>
      <c r="AI22" s="427"/>
      <c r="AJ22" s="427"/>
      <c r="AK22" s="427"/>
      <c r="AL22" s="427"/>
      <c r="AM22" s="427"/>
      <c r="AN22" s="427"/>
      <c r="AO22" s="427"/>
      <c r="AP22" s="427"/>
      <c r="AQ22" s="427"/>
      <c r="AR22" s="427"/>
      <c r="AS22" s="427"/>
      <c r="AT22" s="427"/>
      <c r="AU22" s="427"/>
      <c r="AV22" s="427"/>
      <c r="AW22" s="427"/>
      <c r="AX22" s="427"/>
      <c r="AY22" s="427"/>
      <c r="AZ22" s="427"/>
      <c r="BA22" s="10"/>
      <c r="BB22" s="10"/>
      <c r="BC22" s="10"/>
      <c r="BD22" s="10"/>
      <c r="BE22" s="10"/>
      <c r="BF22" s="10"/>
      <c r="BG22" s="10"/>
      <c r="BH22" s="10"/>
      <c r="BI22" s="10"/>
      <c r="BJ22" s="10"/>
      <c r="BK22" s="10"/>
      <c r="BL22" s="10"/>
      <c r="BM22" s="10"/>
      <c r="BN22" s="10"/>
      <c r="BO22" s="10"/>
      <c r="BP22" s="10"/>
      <c r="BQ22" s="10"/>
      <c r="BR22" s="10"/>
      <c r="BS22" s="10"/>
      <c r="BT22" s="10"/>
    </row>
    <row r="23" spans="1:72" ht="18" x14ac:dyDescent="0.2">
      <c r="A23" s="427"/>
      <c r="B23" s="426"/>
      <c r="C23" s="428"/>
      <c r="D23" s="425"/>
      <c r="E23" s="426"/>
      <c r="F23" s="427"/>
      <c r="G23" s="427"/>
      <c r="H23" s="427"/>
      <c r="I23" s="427"/>
      <c r="J23" s="427"/>
      <c r="K23" s="427"/>
      <c r="L23" s="427"/>
      <c r="M23" s="427"/>
      <c r="N23" s="427"/>
      <c r="O23" s="427"/>
      <c r="P23" s="427"/>
      <c r="Q23" s="427"/>
      <c r="R23" s="427"/>
      <c r="S23" s="427"/>
      <c r="T23" s="427"/>
      <c r="U23" s="427"/>
      <c r="V23" s="427"/>
      <c r="W23" s="427"/>
      <c r="X23" s="427"/>
      <c r="Y23" s="427"/>
      <c r="Z23" s="427"/>
      <c r="AA23" s="427"/>
      <c r="AB23" s="427"/>
      <c r="AC23" s="427"/>
      <c r="AD23" s="427"/>
      <c r="AE23" s="427"/>
      <c r="AF23" s="427"/>
      <c r="AG23" s="427"/>
      <c r="AH23" s="427"/>
      <c r="AI23" s="427"/>
      <c r="AJ23" s="427"/>
      <c r="AK23" s="427"/>
      <c r="AL23" s="427"/>
      <c r="AM23" s="427"/>
      <c r="AN23" s="427"/>
      <c r="AO23" s="427"/>
      <c r="AP23" s="427"/>
      <c r="AQ23" s="427"/>
      <c r="AR23" s="427"/>
      <c r="AS23" s="427"/>
      <c r="AT23" s="427"/>
      <c r="AU23" s="427"/>
      <c r="AV23" s="427"/>
      <c r="AW23" s="427"/>
      <c r="AX23" s="427"/>
      <c r="AY23" s="427"/>
      <c r="AZ23" s="427"/>
      <c r="BA23" s="10"/>
      <c r="BB23" s="10"/>
      <c r="BC23" s="10"/>
      <c r="BD23" s="10"/>
      <c r="BE23" s="10"/>
      <c r="BF23" s="10"/>
      <c r="BG23" s="10"/>
      <c r="BH23" s="10"/>
      <c r="BI23" s="10"/>
      <c r="BJ23" s="10"/>
      <c r="BK23" s="10"/>
      <c r="BL23" s="10"/>
      <c r="BM23" s="10"/>
      <c r="BN23" s="10"/>
      <c r="BO23" s="10"/>
      <c r="BP23" s="10"/>
      <c r="BQ23" s="10"/>
      <c r="BR23" s="10"/>
      <c r="BS23" s="10"/>
      <c r="BT23" s="10"/>
    </row>
    <row r="24" spans="1:72" ht="18" x14ac:dyDescent="0.2">
      <c r="A24" s="427"/>
      <c r="B24" s="426"/>
      <c r="C24" s="428"/>
      <c r="D24" s="425"/>
      <c r="E24" s="426"/>
      <c r="F24" s="427"/>
      <c r="G24" s="427"/>
      <c r="H24" s="427"/>
      <c r="I24" s="427"/>
      <c r="J24" s="427"/>
      <c r="K24" s="427"/>
      <c r="L24" s="427"/>
      <c r="M24" s="427"/>
      <c r="N24" s="427"/>
      <c r="O24" s="427"/>
      <c r="P24" s="427"/>
      <c r="Q24" s="427"/>
      <c r="R24" s="427"/>
      <c r="S24" s="427"/>
      <c r="T24" s="427"/>
      <c r="U24" s="427"/>
      <c r="V24" s="427"/>
      <c r="W24" s="427"/>
      <c r="X24" s="427"/>
      <c r="Y24" s="427"/>
      <c r="Z24" s="427"/>
      <c r="AA24" s="427"/>
      <c r="AB24" s="427"/>
      <c r="AC24" s="427"/>
      <c r="AD24" s="427"/>
      <c r="AE24" s="427"/>
      <c r="AF24" s="427"/>
      <c r="AG24" s="427"/>
      <c r="AH24" s="427"/>
      <c r="AI24" s="427"/>
      <c r="AJ24" s="427"/>
      <c r="AK24" s="427"/>
      <c r="AL24" s="427"/>
      <c r="AM24" s="427"/>
      <c r="AN24" s="427"/>
      <c r="AO24" s="427"/>
      <c r="AP24" s="427"/>
      <c r="AQ24" s="427"/>
      <c r="AR24" s="427"/>
      <c r="AS24" s="427"/>
      <c r="AT24" s="427"/>
      <c r="AU24" s="427"/>
      <c r="AV24" s="427"/>
      <c r="AW24" s="427"/>
      <c r="AX24" s="427"/>
      <c r="AY24" s="427"/>
      <c r="AZ24" s="427"/>
      <c r="BA24" s="10"/>
      <c r="BB24" s="10"/>
      <c r="BC24" s="10"/>
      <c r="BD24" s="10"/>
      <c r="BE24" s="10"/>
      <c r="BF24" s="10"/>
      <c r="BG24" s="10"/>
      <c r="BH24" s="10"/>
      <c r="BI24" s="10"/>
      <c r="BJ24" s="10"/>
      <c r="BK24" s="10"/>
      <c r="BL24" s="10"/>
      <c r="BM24" s="10"/>
      <c r="BN24" s="10"/>
      <c r="BO24" s="10"/>
      <c r="BP24" s="10"/>
      <c r="BQ24" s="10"/>
      <c r="BR24" s="10"/>
      <c r="BS24" s="10"/>
      <c r="BT24" s="10"/>
    </row>
    <row r="25" spans="1:72" ht="18" x14ac:dyDescent="0.2">
      <c r="A25" s="427"/>
      <c r="B25" s="426"/>
      <c r="C25" s="428"/>
      <c r="D25" s="425"/>
      <c r="E25" s="426"/>
      <c r="F25" s="427"/>
      <c r="G25" s="427"/>
      <c r="H25" s="427"/>
      <c r="I25" s="427"/>
      <c r="J25" s="427"/>
      <c r="K25" s="427"/>
      <c r="L25" s="427"/>
      <c r="M25" s="427"/>
      <c r="N25" s="427"/>
      <c r="O25" s="427"/>
      <c r="P25" s="427"/>
      <c r="Q25" s="427"/>
      <c r="R25" s="427"/>
      <c r="S25" s="427"/>
      <c r="T25" s="427"/>
      <c r="U25" s="427"/>
      <c r="V25" s="427"/>
      <c r="W25" s="427"/>
      <c r="X25" s="427"/>
      <c r="Y25" s="427"/>
      <c r="Z25" s="427"/>
      <c r="AA25" s="427"/>
      <c r="AB25" s="427"/>
      <c r="AC25" s="427"/>
      <c r="AD25" s="427"/>
      <c r="AE25" s="427"/>
      <c r="AF25" s="427"/>
      <c r="AG25" s="427"/>
      <c r="AH25" s="427"/>
      <c r="AI25" s="427"/>
      <c r="AJ25" s="427"/>
      <c r="AK25" s="427"/>
      <c r="AL25" s="427"/>
      <c r="AM25" s="427"/>
      <c r="AN25" s="427"/>
      <c r="AO25" s="427"/>
      <c r="AP25" s="427"/>
      <c r="AQ25" s="427"/>
      <c r="AR25" s="427"/>
      <c r="AS25" s="427"/>
      <c r="AT25" s="427"/>
      <c r="AU25" s="427"/>
      <c r="AV25" s="427"/>
      <c r="AW25" s="427"/>
      <c r="AX25" s="427"/>
      <c r="AY25" s="427"/>
      <c r="AZ25" s="427"/>
      <c r="BA25" s="10"/>
      <c r="BB25" s="10"/>
      <c r="BC25" s="10"/>
      <c r="BD25" s="10"/>
      <c r="BE25" s="10"/>
      <c r="BF25" s="10"/>
      <c r="BG25" s="10"/>
      <c r="BH25" s="10"/>
      <c r="BI25" s="10"/>
      <c r="BJ25" s="10"/>
      <c r="BK25" s="10"/>
      <c r="BL25" s="10"/>
      <c r="BM25" s="10"/>
      <c r="BN25" s="10"/>
      <c r="BO25" s="10"/>
      <c r="BP25" s="10"/>
      <c r="BQ25" s="10"/>
      <c r="BR25" s="10"/>
      <c r="BS25" s="10"/>
      <c r="BT25" s="10"/>
    </row>
    <row r="26" spans="1:72" ht="18" x14ac:dyDescent="0.2">
      <c r="A26" s="427"/>
      <c r="B26" s="426"/>
      <c r="C26" s="428"/>
      <c r="D26" s="425"/>
      <c r="E26" s="426"/>
      <c r="F26" s="427"/>
      <c r="G26" s="427"/>
      <c r="H26" s="427"/>
      <c r="I26" s="427"/>
      <c r="J26" s="427"/>
      <c r="K26" s="427"/>
      <c r="L26" s="427"/>
      <c r="M26" s="427"/>
      <c r="N26" s="427"/>
      <c r="O26" s="427"/>
      <c r="P26" s="427"/>
      <c r="Q26" s="427"/>
      <c r="R26" s="427"/>
      <c r="S26" s="427"/>
      <c r="T26" s="427"/>
      <c r="U26" s="427"/>
      <c r="V26" s="427"/>
      <c r="W26" s="427"/>
      <c r="X26" s="427"/>
      <c r="Y26" s="427"/>
      <c r="Z26" s="427"/>
      <c r="AA26" s="427"/>
      <c r="AB26" s="427"/>
      <c r="AC26" s="427"/>
      <c r="AD26" s="427"/>
      <c r="AE26" s="427"/>
      <c r="AF26" s="427"/>
      <c r="AG26" s="427"/>
      <c r="AH26" s="427"/>
      <c r="AI26" s="427"/>
      <c r="AJ26" s="427"/>
      <c r="AK26" s="427"/>
      <c r="AL26" s="427"/>
      <c r="AM26" s="427"/>
      <c r="AN26" s="427"/>
      <c r="AO26" s="427"/>
      <c r="AP26" s="427"/>
      <c r="AQ26" s="427"/>
      <c r="AR26" s="427"/>
      <c r="AS26" s="427"/>
      <c r="AT26" s="427"/>
      <c r="AU26" s="427"/>
      <c r="AV26" s="427"/>
      <c r="AW26" s="427"/>
      <c r="AX26" s="427"/>
      <c r="AY26" s="427"/>
      <c r="AZ26" s="427"/>
      <c r="BA26" s="10"/>
      <c r="BB26" s="10"/>
      <c r="BC26" s="10"/>
      <c r="BD26" s="10"/>
      <c r="BE26" s="10"/>
      <c r="BF26" s="10"/>
      <c r="BG26" s="10"/>
      <c r="BH26" s="10"/>
      <c r="BI26" s="10"/>
      <c r="BJ26" s="10"/>
      <c r="BK26" s="10"/>
      <c r="BL26" s="10"/>
      <c r="BM26" s="10"/>
      <c r="BN26" s="10"/>
      <c r="BO26" s="10"/>
      <c r="BP26" s="10"/>
      <c r="BQ26" s="10"/>
      <c r="BR26" s="10"/>
      <c r="BS26" s="10"/>
      <c r="BT26" s="10"/>
    </row>
    <row r="27" spans="1:72" ht="18" x14ac:dyDescent="0.2">
      <c r="A27" s="427"/>
      <c r="B27" s="426"/>
      <c r="C27" s="428"/>
      <c r="D27" s="425"/>
      <c r="E27" s="426"/>
      <c r="F27" s="427"/>
      <c r="G27" s="427"/>
      <c r="H27" s="427"/>
      <c r="I27" s="427"/>
      <c r="J27" s="427"/>
      <c r="K27" s="427"/>
      <c r="L27" s="427"/>
      <c r="M27" s="427"/>
      <c r="N27" s="427"/>
      <c r="O27" s="427"/>
      <c r="P27" s="427"/>
      <c r="Q27" s="427"/>
      <c r="R27" s="427"/>
      <c r="S27" s="427"/>
      <c r="T27" s="427"/>
      <c r="U27" s="427"/>
      <c r="V27" s="427"/>
      <c r="W27" s="427"/>
      <c r="X27" s="427"/>
      <c r="Y27" s="427"/>
      <c r="Z27" s="427"/>
      <c r="AA27" s="427"/>
      <c r="AB27" s="427"/>
      <c r="AC27" s="427"/>
      <c r="AD27" s="427"/>
      <c r="AE27" s="427"/>
      <c r="AF27" s="427"/>
      <c r="AG27" s="427"/>
      <c r="AH27" s="427"/>
      <c r="AI27" s="427"/>
      <c r="AJ27" s="427"/>
      <c r="AK27" s="427"/>
      <c r="AL27" s="427"/>
      <c r="AM27" s="427"/>
      <c r="AN27" s="427"/>
      <c r="AO27" s="427"/>
      <c r="AP27" s="427"/>
      <c r="AQ27" s="427"/>
      <c r="AR27" s="427"/>
      <c r="AS27" s="427"/>
      <c r="AT27" s="427"/>
      <c r="AU27" s="427"/>
      <c r="AV27" s="427"/>
      <c r="AW27" s="427"/>
      <c r="AX27" s="427"/>
      <c r="AY27" s="427"/>
      <c r="AZ27" s="427"/>
      <c r="BA27" s="10"/>
      <c r="BB27" s="10"/>
      <c r="BC27" s="10"/>
      <c r="BD27" s="10"/>
      <c r="BE27" s="10"/>
      <c r="BF27" s="10"/>
      <c r="BG27" s="10"/>
      <c r="BH27" s="10"/>
      <c r="BI27" s="10"/>
      <c r="BJ27" s="10"/>
      <c r="BK27" s="10"/>
      <c r="BL27" s="10"/>
      <c r="BM27" s="10"/>
      <c r="BN27" s="10"/>
      <c r="BO27" s="10"/>
      <c r="BP27" s="10"/>
      <c r="BQ27" s="10"/>
      <c r="BR27" s="10"/>
      <c r="BS27" s="10"/>
      <c r="BT27" s="10"/>
    </row>
    <row r="28" spans="1:72" ht="18" x14ac:dyDescent="0.2">
      <c r="A28" s="427"/>
      <c r="B28" s="426"/>
      <c r="C28" s="428"/>
      <c r="D28" s="425"/>
      <c r="E28" s="426"/>
      <c r="F28" s="427"/>
      <c r="G28" s="427"/>
      <c r="H28" s="427"/>
      <c r="I28" s="427"/>
      <c r="J28" s="427"/>
      <c r="K28" s="427"/>
      <c r="L28" s="427"/>
      <c r="M28" s="427"/>
      <c r="N28" s="427"/>
      <c r="O28" s="427"/>
      <c r="P28" s="427"/>
      <c r="Q28" s="427"/>
      <c r="R28" s="427"/>
      <c r="S28" s="427"/>
      <c r="T28" s="427"/>
      <c r="U28" s="427"/>
      <c r="V28" s="427"/>
      <c r="W28" s="427"/>
      <c r="X28" s="427"/>
      <c r="Y28" s="427"/>
      <c r="Z28" s="427"/>
      <c r="AA28" s="427"/>
      <c r="AB28" s="427"/>
      <c r="AC28" s="427"/>
      <c r="AD28" s="427"/>
      <c r="AE28" s="427"/>
      <c r="AF28" s="427"/>
      <c r="AG28" s="427"/>
      <c r="AH28" s="427"/>
      <c r="AI28" s="427"/>
      <c r="AJ28" s="427"/>
      <c r="AK28" s="427"/>
      <c r="AL28" s="427"/>
      <c r="AM28" s="427"/>
      <c r="AN28" s="427"/>
      <c r="AO28" s="427"/>
      <c r="AP28" s="427"/>
      <c r="AQ28" s="427"/>
      <c r="AR28" s="427"/>
      <c r="AS28" s="427"/>
      <c r="AT28" s="427"/>
      <c r="AU28" s="427"/>
      <c r="AV28" s="427"/>
      <c r="AW28" s="427"/>
      <c r="AX28" s="427"/>
      <c r="AY28" s="427"/>
      <c r="AZ28" s="427"/>
      <c r="BA28" s="10"/>
      <c r="BB28" s="10"/>
      <c r="BC28" s="10"/>
      <c r="BD28" s="10"/>
      <c r="BE28" s="10"/>
      <c r="BF28" s="10"/>
      <c r="BG28" s="10"/>
      <c r="BH28" s="10"/>
      <c r="BI28" s="10"/>
      <c r="BJ28" s="10"/>
      <c r="BK28" s="10"/>
      <c r="BL28" s="10"/>
      <c r="BM28" s="10"/>
      <c r="BN28" s="10"/>
      <c r="BO28" s="10"/>
      <c r="BP28" s="10"/>
      <c r="BQ28" s="10"/>
      <c r="BR28" s="10"/>
      <c r="BS28" s="10"/>
      <c r="BT28" s="10"/>
    </row>
    <row r="29" spans="1:72" ht="18" x14ac:dyDescent="0.2">
      <c r="A29" s="427"/>
      <c r="B29" s="426"/>
      <c r="C29" s="428"/>
      <c r="D29" s="425"/>
      <c r="E29" s="426"/>
      <c r="F29" s="427"/>
      <c r="G29" s="427"/>
      <c r="H29" s="427"/>
      <c r="I29" s="427"/>
      <c r="J29" s="427"/>
      <c r="K29" s="427"/>
      <c r="L29" s="427"/>
      <c r="M29" s="427"/>
      <c r="N29" s="427"/>
      <c r="O29" s="427"/>
      <c r="P29" s="427"/>
      <c r="Q29" s="427"/>
      <c r="R29" s="427"/>
      <c r="S29" s="427"/>
      <c r="T29" s="427"/>
      <c r="U29" s="427"/>
      <c r="V29" s="427"/>
      <c r="W29" s="427"/>
      <c r="X29" s="427"/>
      <c r="Y29" s="427"/>
      <c r="Z29" s="427"/>
      <c r="AA29" s="427"/>
      <c r="AB29" s="427"/>
      <c r="AC29" s="427"/>
      <c r="AD29" s="427"/>
      <c r="AE29" s="427"/>
      <c r="AF29" s="427"/>
      <c r="AG29" s="427"/>
      <c r="AH29" s="427"/>
      <c r="AI29" s="427"/>
      <c r="AJ29" s="427"/>
      <c r="AK29" s="427"/>
      <c r="AL29" s="427"/>
      <c r="AM29" s="427"/>
      <c r="AN29" s="427"/>
      <c r="AO29" s="427"/>
      <c r="AP29" s="427"/>
      <c r="AQ29" s="427"/>
      <c r="AR29" s="427"/>
      <c r="AS29" s="427"/>
      <c r="AT29" s="427"/>
      <c r="AU29" s="427"/>
      <c r="AV29" s="427"/>
      <c r="AW29" s="427"/>
      <c r="AX29" s="427"/>
      <c r="AY29" s="427"/>
      <c r="AZ29" s="427"/>
      <c r="BA29" s="10"/>
      <c r="BB29" s="10"/>
      <c r="BC29" s="10"/>
      <c r="BD29" s="10"/>
      <c r="BE29" s="10"/>
      <c r="BF29" s="10"/>
      <c r="BG29" s="10"/>
      <c r="BH29" s="10"/>
      <c r="BI29" s="10"/>
      <c r="BJ29" s="10"/>
      <c r="BK29" s="10"/>
      <c r="BL29" s="10"/>
      <c r="BM29" s="10"/>
      <c r="BN29" s="10"/>
      <c r="BO29" s="10"/>
      <c r="BP29" s="10"/>
      <c r="BQ29" s="10"/>
      <c r="BR29" s="10"/>
      <c r="BS29" s="10"/>
      <c r="BT29" s="10"/>
    </row>
    <row r="30" spans="1:72" ht="18" x14ac:dyDescent="0.2">
      <c r="A30" s="427"/>
      <c r="B30" s="426"/>
      <c r="C30" s="428"/>
      <c r="D30" s="425"/>
      <c r="E30" s="426"/>
      <c r="F30" s="427"/>
      <c r="G30" s="427"/>
      <c r="H30" s="427"/>
      <c r="I30" s="427"/>
      <c r="J30" s="427"/>
      <c r="K30" s="427"/>
      <c r="L30" s="427"/>
      <c r="M30" s="427"/>
      <c r="N30" s="427"/>
      <c r="O30" s="427"/>
      <c r="P30" s="427"/>
      <c r="Q30" s="427"/>
      <c r="R30" s="427"/>
      <c r="S30" s="427"/>
      <c r="T30" s="427"/>
      <c r="U30" s="427"/>
      <c r="V30" s="427"/>
      <c r="W30" s="427"/>
      <c r="X30" s="427"/>
      <c r="Y30" s="427"/>
      <c r="Z30" s="427"/>
      <c r="AA30" s="427"/>
      <c r="AB30" s="427"/>
      <c r="AC30" s="427"/>
      <c r="AD30" s="427"/>
      <c r="AE30" s="427"/>
      <c r="AF30" s="427"/>
      <c r="AG30" s="427"/>
      <c r="AH30" s="427"/>
      <c r="AI30" s="427"/>
      <c r="AJ30" s="427"/>
      <c r="AK30" s="427"/>
      <c r="AL30" s="427"/>
      <c r="AM30" s="427"/>
      <c r="AN30" s="427"/>
      <c r="AO30" s="427"/>
      <c r="AP30" s="427"/>
      <c r="AQ30" s="427"/>
      <c r="AR30" s="427"/>
      <c r="AS30" s="427"/>
      <c r="AT30" s="427"/>
      <c r="AU30" s="427"/>
      <c r="AV30" s="427"/>
      <c r="AW30" s="427"/>
      <c r="AX30" s="427"/>
      <c r="AY30" s="427"/>
      <c r="AZ30" s="427"/>
      <c r="BA30" s="10"/>
      <c r="BB30" s="10"/>
      <c r="BC30" s="10"/>
      <c r="BD30" s="10"/>
      <c r="BE30" s="10"/>
      <c r="BF30" s="10"/>
      <c r="BG30" s="10"/>
      <c r="BH30" s="10"/>
      <c r="BI30" s="10"/>
      <c r="BJ30" s="10"/>
      <c r="BK30" s="10"/>
      <c r="BL30" s="10"/>
      <c r="BM30" s="10"/>
      <c r="BN30" s="10"/>
      <c r="BO30" s="10"/>
      <c r="BP30" s="10"/>
      <c r="BQ30" s="10"/>
      <c r="BR30" s="10"/>
      <c r="BS30" s="10"/>
      <c r="BT30" s="10"/>
    </row>
    <row r="31" spans="1:72" ht="18" x14ac:dyDescent="0.2">
      <c r="A31" s="427"/>
      <c r="B31" s="426"/>
      <c r="C31" s="428"/>
      <c r="D31" s="425"/>
      <c r="E31" s="426"/>
      <c r="F31" s="427"/>
      <c r="G31" s="427"/>
      <c r="H31" s="427"/>
      <c r="I31" s="427"/>
      <c r="J31" s="427"/>
      <c r="K31" s="427"/>
      <c r="L31" s="427"/>
      <c r="M31" s="427"/>
      <c r="N31" s="427"/>
      <c r="O31" s="427"/>
      <c r="P31" s="427"/>
      <c r="Q31" s="427"/>
      <c r="R31" s="427"/>
      <c r="S31" s="427"/>
      <c r="T31" s="427"/>
      <c r="U31" s="427"/>
      <c r="V31" s="427"/>
      <c r="W31" s="427"/>
      <c r="X31" s="427"/>
      <c r="Y31" s="427"/>
      <c r="Z31" s="427"/>
      <c r="AA31" s="427"/>
      <c r="AB31" s="427"/>
      <c r="AC31" s="427"/>
      <c r="AD31" s="427"/>
      <c r="AE31" s="427"/>
      <c r="AF31" s="427"/>
      <c r="AG31" s="427"/>
      <c r="AH31" s="427"/>
      <c r="AI31" s="427"/>
      <c r="AJ31" s="427"/>
      <c r="AK31" s="427"/>
      <c r="AL31" s="427"/>
      <c r="AM31" s="427"/>
      <c r="AN31" s="427"/>
      <c r="AO31" s="427"/>
      <c r="AP31" s="427"/>
      <c r="AQ31" s="427"/>
      <c r="AR31" s="427"/>
      <c r="AS31" s="427"/>
      <c r="AT31" s="427"/>
      <c r="AU31" s="427"/>
      <c r="AV31" s="427"/>
      <c r="AW31" s="427"/>
      <c r="AX31" s="427"/>
      <c r="AY31" s="427"/>
      <c r="AZ31" s="427"/>
      <c r="BA31" s="10"/>
      <c r="BB31" s="10"/>
      <c r="BC31" s="10"/>
      <c r="BD31" s="10"/>
      <c r="BE31" s="10"/>
      <c r="BF31" s="10"/>
      <c r="BG31" s="10"/>
      <c r="BH31" s="10"/>
      <c r="BI31" s="10"/>
      <c r="BJ31" s="10"/>
      <c r="BK31" s="10"/>
      <c r="BL31" s="10"/>
      <c r="BM31" s="10"/>
      <c r="BN31" s="10"/>
      <c r="BO31" s="10"/>
      <c r="BP31" s="10"/>
      <c r="BQ31" s="10"/>
      <c r="BR31" s="10"/>
      <c r="BS31" s="10"/>
      <c r="BT31" s="10"/>
    </row>
    <row r="32" spans="1:72" ht="18" x14ac:dyDescent="0.2">
      <c r="A32" s="427"/>
      <c r="B32" s="426"/>
      <c r="C32" s="428"/>
      <c r="D32" s="425"/>
      <c r="E32" s="426"/>
      <c r="F32" s="427"/>
      <c r="G32" s="427"/>
      <c r="H32" s="427"/>
      <c r="I32" s="427"/>
      <c r="J32" s="427"/>
      <c r="K32" s="427"/>
      <c r="L32" s="427"/>
      <c r="M32" s="427"/>
      <c r="N32" s="427"/>
      <c r="O32" s="427"/>
      <c r="P32" s="427"/>
      <c r="Q32" s="427"/>
      <c r="R32" s="427"/>
      <c r="S32" s="427"/>
      <c r="T32" s="427"/>
      <c r="U32" s="427"/>
      <c r="V32" s="427"/>
      <c r="W32" s="427"/>
      <c r="X32" s="427"/>
      <c r="Y32" s="427"/>
      <c r="Z32" s="427"/>
      <c r="AA32" s="427"/>
      <c r="AB32" s="427"/>
      <c r="AC32" s="427"/>
      <c r="AD32" s="427"/>
      <c r="AE32" s="427"/>
      <c r="AF32" s="427"/>
      <c r="AG32" s="427"/>
      <c r="AH32" s="427"/>
      <c r="AI32" s="427"/>
      <c r="AJ32" s="427"/>
      <c r="AK32" s="427"/>
      <c r="AL32" s="427"/>
      <c r="AM32" s="427"/>
      <c r="AN32" s="427"/>
      <c r="AO32" s="427"/>
      <c r="AP32" s="427"/>
      <c r="AQ32" s="427"/>
      <c r="AR32" s="427"/>
      <c r="AS32" s="427"/>
      <c r="AT32" s="427"/>
      <c r="AU32" s="427"/>
      <c r="AV32" s="427"/>
      <c r="AW32" s="427"/>
      <c r="AX32" s="427"/>
      <c r="AY32" s="427"/>
      <c r="AZ32" s="427"/>
      <c r="BA32" s="10"/>
      <c r="BB32" s="10"/>
      <c r="BC32" s="10"/>
      <c r="BD32" s="10"/>
      <c r="BE32" s="10"/>
      <c r="BF32" s="10"/>
      <c r="BG32" s="10"/>
      <c r="BH32" s="10"/>
      <c r="BI32" s="10"/>
      <c r="BJ32" s="10"/>
      <c r="BK32" s="10"/>
      <c r="BL32" s="10"/>
      <c r="BM32" s="10"/>
      <c r="BN32" s="10"/>
      <c r="BO32" s="10"/>
      <c r="BP32" s="10"/>
      <c r="BQ32" s="10"/>
      <c r="BR32" s="10"/>
      <c r="BS32" s="10"/>
      <c r="BT32" s="10"/>
    </row>
    <row r="33" spans="1:72" ht="18" x14ac:dyDescent="0.2">
      <c r="A33" s="427"/>
      <c r="B33" s="426"/>
      <c r="C33" s="428"/>
      <c r="D33" s="425"/>
      <c r="E33" s="426"/>
      <c r="F33" s="427"/>
      <c r="G33" s="427"/>
      <c r="H33" s="427"/>
      <c r="I33" s="427"/>
      <c r="J33" s="427"/>
      <c r="K33" s="427"/>
      <c r="L33" s="427"/>
      <c r="M33" s="427"/>
      <c r="N33" s="427"/>
      <c r="O33" s="427"/>
      <c r="P33" s="427"/>
      <c r="Q33" s="427"/>
      <c r="R33" s="427"/>
      <c r="S33" s="427"/>
      <c r="T33" s="427"/>
      <c r="U33" s="427"/>
      <c r="V33" s="427"/>
      <c r="W33" s="427"/>
      <c r="X33" s="427"/>
      <c r="Y33" s="427"/>
      <c r="Z33" s="427"/>
      <c r="AA33" s="427"/>
      <c r="AB33" s="427"/>
      <c r="AC33" s="427"/>
      <c r="AD33" s="427"/>
      <c r="AE33" s="427"/>
      <c r="AF33" s="427"/>
      <c r="AG33" s="427"/>
      <c r="AH33" s="427"/>
      <c r="AI33" s="427"/>
      <c r="AJ33" s="427"/>
      <c r="AK33" s="427"/>
      <c r="AL33" s="427"/>
      <c r="AM33" s="427"/>
      <c r="AN33" s="427"/>
      <c r="AO33" s="427"/>
      <c r="AP33" s="427"/>
      <c r="AQ33" s="427"/>
      <c r="AR33" s="427"/>
      <c r="AS33" s="427"/>
      <c r="AT33" s="427"/>
      <c r="AU33" s="427"/>
      <c r="AV33" s="427"/>
      <c r="AW33" s="427"/>
      <c r="AX33" s="427"/>
      <c r="AY33" s="427"/>
      <c r="AZ33" s="427"/>
      <c r="BA33" s="10"/>
      <c r="BB33" s="10"/>
      <c r="BC33" s="10"/>
      <c r="BD33" s="10"/>
      <c r="BE33" s="10"/>
      <c r="BF33" s="10"/>
      <c r="BG33" s="10"/>
      <c r="BH33" s="10"/>
      <c r="BI33" s="10"/>
      <c r="BJ33" s="10"/>
      <c r="BK33" s="10"/>
      <c r="BL33" s="10"/>
      <c r="BM33" s="10"/>
      <c r="BN33" s="10"/>
      <c r="BO33" s="10"/>
      <c r="BP33" s="10"/>
      <c r="BQ33" s="10"/>
      <c r="BR33" s="10"/>
      <c r="BS33" s="10"/>
      <c r="BT33" s="10"/>
    </row>
    <row r="34" spans="1:72" ht="18" x14ac:dyDescent="0.2">
      <c r="A34" s="427"/>
      <c r="B34" s="426"/>
      <c r="C34" s="428"/>
      <c r="D34" s="425"/>
      <c r="E34" s="426"/>
      <c r="F34" s="427"/>
      <c r="G34" s="427"/>
      <c r="H34" s="427"/>
      <c r="I34" s="427"/>
      <c r="J34" s="427"/>
      <c r="K34" s="427"/>
      <c r="L34" s="427"/>
      <c r="M34" s="427"/>
      <c r="N34" s="427"/>
      <c r="O34" s="427"/>
      <c r="P34" s="427"/>
      <c r="Q34" s="427"/>
      <c r="R34" s="427"/>
      <c r="S34" s="427"/>
      <c r="T34" s="427"/>
      <c r="U34" s="427"/>
      <c r="V34" s="427"/>
      <c r="W34" s="427"/>
      <c r="X34" s="427"/>
      <c r="Y34" s="427"/>
      <c r="Z34" s="427"/>
      <c r="AA34" s="427"/>
      <c r="AB34" s="427"/>
      <c r="AC34" s="427"/>
      <c r="AD34" s="427"/>
      <c r="AE34" s="427"/>
      <c r="AF34" s="427"/>
      <c r="AG34" s="427"/>
      <c r="AH34" s="427"/>
      <c r="AI34" s="427"/>
      <c r="AJ34" s="427"/>
      <c r="AK34" s="427"/>
      <c r="AL34" s="427"/>
      <c r="AM34" s="427"/>
      <c r="AN34" s="427"/>
      <c r="AO34" s="427"/>
      <c r="AP34" s="427"/>
      <c r="AQ34" s="427"/>
      <c r="AR34" s="427"/>
      <c r="AS34" s="427"/>
      <c r="AT34" s="427"/>
      <c r="AU34" s="427"/>
      <c r="AV34" s="427"/>
      <c r="AW34" s="427"/>
      <c r="AX34" s="427"/>
      <c r="AY34" s="427"/>
      <c r="AZ34" s="427"/>
      <c r="BA34" s="10"/>
      <c r="BB34" s="10"/>
      <c r="BC34" s="10"/>
      <c r="BD34" s="10"/>
      <c r="BE34" s="10"/>
      <c r="BF34" s="10"/>
      <c r="BG34" s="10"/>
      <c r="BH34" s="10"/>
      <c r="BI34" s="10"/>
      <c r="BJ34" s="10"/>
      <c r="BK34" s="10"/>
      <c r="BL34" s="10"/>
      <c r="BM34" s="10"/>
      <c r="BN34" s="10"/>
      <c r="BO34" s="10"/>
      <c r="BP34" s="10"/>
      <c r="BQ34" s="10"/>
      <c r="BR34" s="10"/>
      <c r="BS34" s="10"/>
      <c r="BT34" s="10"/>
    </row>
    <row r="35" spans="1:72" ht="18" x14ac:dyDescent="0.2">
      <c r="A35" s="427"/>
      <c r="B35" s="426"/>
      <c r="C35" s="428"/>
      <c r="D35" s="438"/>
      <c r="E35" s="426"/>
      <c r="F35" s="427"/>
      <c r="G35" s="427"/>
      <c r="H35" s="427"/>
      <c r="I35" s="427"/>
      <c r="J35" s="427"/>
      <c r="K35" s="427"/>
      <c r="L35" s="427"/>
      <c r="M35" s="427"/>
      <c r="N35" s="427"/>
      <c r="O35" s="427"/>
      <c r="P35" s="427"/>
      <c r="Q35" s="427"/>
      <c r="R35" s="427"/>
      <c r="S35" s="427"/>
      <c r="T35" s="427"/>
      <c r="U35" s="427"/>
      <c r="V35" s="427"/>
      <c r="W35" s="427"/>
      <c r="X35" s="427"/>
      <c r="Y35" s="427"/>
      <c r="Z35" s="427"/>
      <c r="AA35" s="427"/>
      <c r="AB35" s="427"/>
      <c r="AC35" s="427"/>
      <c r="AD35" s="427"/>
      <c r="AE35" s="427"/>
      <c r="AF35" s="427"/>
      <c r="AG35" s="427"/>
      <c r="AH35" s="427"/>
      <c r="AI35" s="427"/>
      <c r="AJ35" s="427"/>
      <c r="AK35" s="427"/>
      <c r="AL35" s="427"/>
      <c r="AM35" s="427"/>
      <c r="AN35" s="427"/>
      <c r="AO35" s="427"/>
      <c r="AP35" s="427"/>
      <c r="AQ35" s="427"/>
      <c r="AR35" s="427"/>
      <c r="AS35" s="427"/>
      <c r="AT35" s="427"/>
      <c r="AU35" s="427"/>
      <c r="AV35" s="427"/>
      <c r="AW35" s="427"/>
      <c r="AX35" s="427"/>
      <c r="AY35" s="427"/>
      <c r="AZ35" s="427"/>
      <c r="BA35" s="10"/>
      <c r="BB35" s="10"/>
      <c r="BC35" s="10"/>
      <c r="BD35" s="10"/>
      <c r="BE35" s="10"/>
      <c r="BF35" s="10"/>
      <c r="BG35" s="10"/>
      <c r="BH35" s="10"/>
      <c r="BI35" s="10"/>
      <c r="BJ35" s="10"/>
      <c r="BK35" s="10"/>
      <c r="BL35" s="10"/>
      <c r="BM35" s="10"/>
      <c r="BN35" s="10"/>
      <c r="BO35" s="10"/>
      <c r="BP35" s="10"/>
      <c r="BQ35" s="10"/>
      <c r="BR35" s="10"/>
      <c r="BS35" s="10"/>
      <c r="BT35" s="10"/>
    </row>
    <row r="36" spans="1:72" ht="18" x14ac:dyDescent="0.2">
      <c r="A36" s="427"/>
      <c r="B36" s="426"/>
      <c r="C36" s="428"/>
      <c r="D36" s="438"/>
      <c r="E36" s="426"/>
      <c r="F36" s="427"/>
      <c r="G36" s="427"/>
      <c r="H36" s="427"/>
      <c r="I36" s="427"/>
      <c r="J36" s="427"/>
      <c r="K36" s="427"/>
      <c r="L36" s="427"/>
      <c r="M36" s="427"/>
      <c r="N36" s="427"/>
      <c r="O36" s="427"/>
      <c r="P36" s="427"/>
      <c r="Q36" s="427"/>
      <c r="R36" s="427"/>
      <c r="S36" s="427"/>
      <c r="T36" s="427"/>
      <c r="U36" s="427"/>
      <c r="V36" s="427"/>
      <c r="W36" s="427"/>
      <c r="X36" s="427"/>
      <c r="Y36" s="427"/>
      <c r="Z36" s="427"/>
      <c r="AA36" s="427"/>
      <c r="AB36" s="427"/>
      <c r="AC36" s="427"/>
      <c r="AD36" s="427"/>
      <c r="AE36" s="427"/>
      <c r="AF36" s="427"/>
      <c r="AG36" s="427"/>
      <c r="AH36" s="427"/>
      <c r="AI36" s="427"/>
      <c r="AJ36" s="427"/>
      <c r="AK36" s="427"/>
      <c r="AL36" s="427"/>
      <c r="AM36" s="427"/>
      <c r="AN36" s="427"/>
      <c r="AO36" s="427"/>
      <c r="AP36" s="427"/>
      <c r="AQ36" s="427"/>
      <c r="AR36" s="427"/>
      <c r="AS36" s="427"/>
      <c r="AT36" s="427"/>
      <c r="AU36" s="427"/>
      <c r="AV36" s="427"/>
      <c r="AW36" s="427"/>
      <c r="AX36" s="427"/>
      <c r="AY36" s="427"/>
      <c r="AZ36" s="427"/>
      <c r="BA36" s="10"/>
      <c r="BB36" s="10"/>
      <c r="BC36" s="10"/>
      <c r="BD36" s="10"/>
      <c r="BE36" s="10"/>
      <c r="BF36" s="10"/>
      <c r="BG36" s="10"/>
      <c r="BH36" s="10"/>
      <c r="BI36" s="10"/>
      <c r="BJ36" s="10"/>
      <c r="BK36" s="10"/>
      <c r="BL36" s="10"/>
      <c r="BM36" s="10"/>
      <c r="BN36" s="10"/>
      <c r="BO36" s="10"/>
      <c r="BP36" s="10"/>
      <c r="BQ36" s="10"/>
      <c r="BR36" s="10"/>
      <c r="BS36" s="10"/>
      <c r="BT36" s="10"/>
    </row>
    <row r="37" spans="1:72" ht="18" x14ac:dyDescent="0.2">
      <c r="A37" s="427"/>
      <c r="B37" s="426"/>
      <c r="C37" s="428"/>
      <c r="D37" s="438"/>
      <c r="E37" s="426"/>
      <c r="F37" s="427"/>
      <c r="G37" s="427"/>
      <c r="H37" s="427"/>
      <c r="I37" s="427"/>
      <c r="J37" s="427"/>
      <c r="K37" s="427"/>
      <c r="L37" s="427"/>
      <c r="M37" s="427"/>
      <c r="N37" s="427"/>
      <c r="O37" s="427"/>
      <c r="P37" s="427"/>
      <c r="Q37" s="427"/>
      <c r="R37" s="427"/>
      <c r="S37" s="427"/>
      <c r="T37" s="427"/>
      <c r="U37" s="427"/>
      <c r="V37" s="427"/>
      <c r="W37" s="427"/>
      <c r="X37" s="427"/>
      <c r="Y37" s="427"/>
      <c r="Z37" s="427"/>
      <c r="AA37" s="427"/>
      <c r="AB37" s="427"/>
      <c r="AC37" s="427"/>
      <c r="AD37" s="427"/>
      <c r="AE37" s="427"/>
      <c r="AF37" s="427"/>
      <c r="AG37" s="427"/>
      <c r="AH37" s="427"/>
      <c r="AI37" s="427"/>
      <c r="AJ37" s="427"/>
      <c r="AK37" s="427"/>
      <c r="AL37" s="427"/>
      <c r="AM37" s="427"/>
      <c r="AN37" s="427"/>
      <c r="AO37" s="427"/>
      <c r="AP37" s="427"/>
      <c r="AQ37" s="427"/>
      <c r="AR37" s="427"/>
      <c r="AS37" s="427"/>
      <c r="AT37" s="427"/>
      <c r="AU37" s="427"/>
      <c r="AV37" s="427"/>
      <c r="AW37" s="427"/>
      <c r="AX37" s="427"/>
      <c r="AY37" s="427"/>
      <c r="AZ37" s="427"/>
      <c r="BA37" s="10"/>
      <c r="BB37" s="10"/>
      <c r="BC37" s="10"/>
      <c r="BD37" s="10"/>
      <c r="BE37" s="10"/>
      <c r="BF37" s="10"/>
      <c r="BG37" s="10"/>
      <c r="BH37" s="10"/>
      <c r="BI37" s="10"/>
      <c r="BJ37" s="10"/>
      <c r="BK37" s="10"/>
      <c r="BL37" s="10"/>
      <c r="BM37" s="10"/>
      <c r="BN37" s="10"/>
      <c r="BO37" s="10"/>
      <c r="BP37" s="10"/>
      <c r="BQ37" s="10"/>
      <c r="BR37" s="10"/>
      <c r="BS37" s="10"/>
      <c r="BT37" s="10"/>
    </row>
    <row r="38" spans="1:72" ht="18" x14ac:dyDescent="0.2">
      <c r="A38" s="427"/>
      <c r="B38" s="426"/>
      <c r="C38" s="428"/>
      <c r="D38" s="438"/>
      <c r="E38" s="426"/>
      <c r="F38" s="427"/>
      <c r="G38" s="427"/>
      <c r="H38" s="427"/>
      <c r="I38" s="427"/>
      <c r="J38" s="427"/>
      <c r="K38" s="427"/>
      <c r="L38" s="427"/>
      <c r="M38" s="427"/>
      <c r="N38" s="427"/>
      <c r="O38" s="427"/>
      <c r="P38" s="427"/>
      <c r="Q38" s="427"/>
      <c r="R38" s="427"/>
      <c r="S38" s="427"/>
      <c r="T38" s="427"/>
      <c r="U38" s="427"/>
      <c r="V38" s="427"/>
      <c r="W38" s="427"/>
      <c r="X38" s="427"/>
      <c r="Y38" s="427"/>
      <c r="Z38" s="427"/>
      <c r="AA38" s="427"/>
      <c r="AB38" s="427"/>
      <c r="AC38" s="427"/>
      <c r="AD38" s="427"/>
      <c r="AE38" s="427"/>
      <c r="AF38" s="427"/>
      <c r="AG38" s="427"/>
      <c r="AH38" s="427"/>
      <c r="AI38" s="427"/>
      <c r="AJ38" s="427"/>
      <c r="AK38" s="427"/>
      <c r="AL38" s="427"/>
      <c r="AM38" s="427"/>
      <c r="AN38" s="427"/>
      <c r="AO38" s="427"/>
      <c r="AP38" s="427"/>
      <c r="AQ38" s="427"/>
      <c r="AR38" s="427"/>
      <c r="AS38" s="427"/>
      <c r="AT38" s="427"/>
      <c r="AU38" s="427"/>
      <c r="AV38" s="427"/>
      <c r="AW38" s="427"/>
      <c r="AX38" s="427"/>
      <c r="AY38" s="427"/>
      <c r="AZ38" s="427"/>
      <c r="BA38" s="10"/>
      <c r="BB38" s="10"/>
      <c r="BC38" s="10"/>
      <c r="BD38" s="10"/>
      <c r="BE38" s="10"/>
      <c r="BF38" s="10"/>
      <c r="BG38" s="10"/>
      <c r="BH38" s="10"/>
      <c r="BI38" s="10"/>
      <c r="BJ38" s="10"/>
      <c r="BK38" s="10"/>
      <c r="BL38" s="10"/>
      <c r="BM38" s="10"/>
      <c r="BN38" s="10"/>
      <c r="BO38" s="10"/>
      <c r="BP38" s="10"/>
      <c r="BQ38" s="10"/>
      <c r="BR38" s="10"/>
      <c r="BS38" s="10"/>
      <c r="BT38" s="10"/>
    </row>
    <row r="39" spans="1:72" ht="18" x14ac:dyDescent="0.2">
      <c r="A39" s="427"/>
      <c r="B39" s="426"/>
      <c r="C39" s="428"/>
      <c r="D39" s="438"/>
      <c r="E39" s="426"/>
      <c r="F39" s="427"/>
      <c r="G39" s="427"/>
      <c r="H39" s="427"/>
      <c r="I39" s="427"/>
      <c r="J39" s="427"/>
      <c r="K39" s="427"/>
      <c r="L39" s="427"/>
      <c r="M39" s="427"/>
      <c r="N39" s="427"/>
      <c r="O39" s="427"/>
      <c r="P39" s="427"/>
      <c r="Q39" s="427"/>
      <c r="R39" s="427"/>
      <c r="S39" s="427"/>
      <c r="T39" s="427"/>
      <c r="U39" s="427"/>
      <c r="V39" s="427"/>
      <c r="W39" s="427"/>
      <c r="X39" s="427"/>
      <c r="Y39" s="427"/>
      <c r="Z39" s="427"/>
      <c r="AA39" s="427"/>
      <c r="AB39" s="427"/>
      <c r="AC39" s="427"/>
      <c r="AD39" s="427"/>
      <c r="AE39" s="427"/>
      <c r="AF39" s="427"/>
      <c r="AG39" s="427"/>
      <c r="AH39" s="427"/>
      <c r="AI39" s="427"/>
      <c r="AJ39" s="427"/>
      <c r="AK39" s="427"/>
      <c r="AL39" s="427"/>
      <c r="AM39" s="427"/>
      <c r="AN39" s="427"/>
      <c r="AO39" s="427"/>
      <c r="AP39" s="427"/>
      <c r="AQ39" s="427"/>
      <c r="AR39" s="427"/>
      <c r="AS39" s="427"/>
      <c r="AT39" s="427"/>
      <c r="AU39" s="427"/>
      <c r="AV39" s="427"/>
      <c r="AW39" s="427"/>
      <c r="AX39" s="427"/>
      <c r="AY39" s="427"/>
      <c r="AZ39" s="427"/>
      <c r="BA39" s="10"/>
      <c r="BB39" s="10"/>
      <c r="BC39" s="10"/>
      <c r="BD39" s="10"/>
      <c r="BE39" s="10"/>
      <c r="BF39" s="10"/>
      <c r="BG39" s="10"/>
      <c r="BH39" s="10"/>
      <c r="BI39" s="10"/>
      <c r="BJ39" s="10"/>
      <c r="BK39" s="10"/>
      <c r="BL39" s="10"/>
      <c r="BM39" s="10"/>
      <c r="BN39" s="10"/>
      <c r="BO39" s="10"/>
      <c r="BP39" s="10"/>
      <c r="BQ39" s="10"/>
      <c r="BR39" s="10"/>
      <c r="BS39" s="10"/>
      <c r="BT39" s="10"/>
    </row>
    <row r="40" spans="1:72" ht="18" x14ac:dyDescent="0.2">
      <c r="A40" s="427"/>
      <c r="B40" s="426"/>
      <c r="C40" s="428"/>
      <c r="D40" s="438"/>
      <c r="E40" s="426"/>
      <c r="F40" s="427"/>
      <c r="G40" s="427"/>
      <c r="H40" s="427"/>
      <c r="I40" s="427"/>
      <c r="J40" s="427"/>
      <c r="K40" s="427"/>
      <c r="L40" s="427"/>
      <c r="M40" s="427"/>
      <c r="N40" s="427"/>
      <c r="O40" s="427"/>
      <c r="P40" s="427"/>
      <c r="Q40" s="427"/>
      <c r="R40" s="427"/>
      <c r="S40" s="427"/>
      <c r="T40" s="427"/>
      <c r="U40" s="427"/>
      <c r="V40" s="427"/>
      <c r="W40" s="427"/>
      <c r="X40" s="427"/>
      <c r="Y40" s="427"/>
      <c r="Z40" s="427"/>
      <c r="AA40" s="427"/>
      <c r="AB40" s="427"/>
      <c r="AC40" s="427"/>
      <c r="AD40" s="427"/>
      <c r="AE40" s="427"/>
      <c r="AF40" s="427"/>
      <c r="AG40" s="427"/>
      <c r="AH40" s="427"/>
      <c r="AI40" s="427"/>
      <c r="AJ40" s="427"/>
      <c r="AK40" s="427"/>
      <c r="AL40" s="427"/>
      <c r="AM40" s="427"/>
      <c r="AN40" s="427"/>
      <c r="AO40" s="427"/>
      <c r="AP40" s="427"/>
      <c r="AQ40" s="427"/>
      <c r="AR40" s="427"/>
      <c r="AS40" s="427"/>
      <c r="AT40" s="427"/>
      <c r="AU40" s="427"/>
      <c r="AV40" s="427"/>
      <c r="AW40" s="427"/>
      <c r="AX40" s="427"/>
      <c r="AY40" s="427"/>
      <c r="AZ40" s="427"/>
      <c r="BA40" s="10"/>
      <c r="BB40" s="10"/>
      <c r="BC40" s="10"/>
      <c r="BD40" s="10"/>
      <c r="BE40" s="10"/>
      <c r="BF40" s="10"/>
      <c r="BG40" s="10"/>
      <c r="BH40" s="10"/>
      <c r="BI40" s="10"/>
      <c r="BJ40" s="10"/>
      <c r="BK40" s="10"/>
      <c r="BL40" s="10"/>
      <c r="BM40" s="10"/>
      <c r="BN40" s="10"/>
      <c r="BO40" s="10"/>
      <c r="BP40" s="10"/>
      <c r="BQ40" s="10"/>
      <c r="BR40" s="10"/>
      <c r="BS40" s="10"/>
      <c r="BT40" s="10"/>
    </row>
    <row r="41" spans="1:72" ht="18" x14ac:dyDescent="0.2">
      <c r="A41" s="427"/>
      <c r="B41" s="426"/>
      <c r="C41" s="428"/>
      <c r="D41" s="438"/>
      <c r="E41" s="426"/>
      <c r="F41" s="427"/>
      <c r="G41" s="427"/>
      <c r="H41" s="427"/>
      <c r="I41" s="427"/>
      <c r="J41" s="427"/>
      <c r="K41" s="427"/>
      <c r="L41" s="427"/>
      <c r="M41" s="427"/>
      <c r="N41" s="427"/>
      <c r="O41" s="427"/>
      <c r="P41" s="427"/>
      <c r="Q41" s="427"/>
      <c r="R41" s="427"/>
      <c r="S41" s="427"/>
      <c r="T41" s="427"/>
      <c r="U41" s="427"/>
      <c r="V41" s="427"/>
      <c r="W41" s="427"/>
      <c r="X41" s="427"/>
      <c r="Y41" s="427"/>
      <c r="Z41" s="427"/>
      <c r="AA41" s="427"/>
      <c r="AB41" s="427"/>
      <c r="AC41" s="427"/>
      <c r="AD41" s="427"/>
      <c r="AE41" s="427"/>
      <c r="AF41" s="427"/>
      <c r="AG41" s="427"/>
      <c r="AH41" s="427"/>
      <c r="AI41" s="427"/>
      <c r="AJ41" s="427"/>
      <c r="AK41" s="427"/>
      <c r="AL41" s="427"/>
      <c r="AM41" s="427"/>
      <c r="AN41" s="427"/>
      <c r="AO41" s="427"/>
      <c r="AP41" s="427"/>
      <c r="AQ41" s="427"/>
      <c r="AR41" s="427"/>
      <c r="AS41" s="427"/>
      <c r="AT41" s="427"/>
      <c r="AU41" s="427"/>
      <c r="AV41" s="427"/>
      <c r="AW41" s="427"/>
      <c r="AX41" s="427"/>
      <c r="AY41" s="427"/>
      <c r="AZ41" s="427"/>
      <c r="BA41" s="10"/>
      <c r="BB41" s="10"/>
      <c r="BC41" s="10"/>
      <c r="BD41" s="10"/>
      <c r="BE41" s="10"/>
      <c r="BF41" s="10"/>
      <c r="BG41" s="10"/>
      <c r="BH41" s="10"/>
      <c r="BI41" s="10"/>
      <c r="BJ41" s="10"/>
      <c r="BK41" s="10"/>
      <c r="BL41" s="10"/>
      <c r="BM41" s="10"/>
      <c r="BN41" s="10"/>
      <c r="BO41" s="10"/>
      <c r="BP41" s="10"/>
      <c r="BQ41" s="10"/>
      <c r="BR41" s="10"/>
      <c r="BS41" s="10"/>
      <c r="BT41" s="10"/>
    </row>
    <row r="42" spans="1:72" ht="18" x14ac:dyDescent="0.2">
      <c r="A42" s="427"/>
      <c r="B42" s="426"/>
      <c r="C42" s="428"/>
      <c r="D42" s="438"/>
      <c r="E42" s="426"/>
      <c r="F42" s="427"/>
      <c r="G42" s="427"/>
      <c r="H42" s="427"/>
      <c r="I42" s="427"/>
      <c r="J42" s="427"/>
      <c r="K42" s="427"/>
      <c r="L42" s="427"/>
      <c r="M42" s="427"/>
      <c r="N42" s="427"/>
      <c r="O42" s="427"/>
      <c r="P42" s="427"/>
      <c r="Q42" s="427"/>
      <c r="R42" s="427"/>
      <c r="S42" s="427"/>
      <c r="T42" s="427"/>
      <c r="U42" s="427"/>
      <c r="V42" s="427"/>
      <c r="W42" s="427"/>
      <c r="X42" s="427"/>
      <c r="Y42" s="427"/>
      <c r="Z42" s="427"/>
      <c r="AA42" s="427"/>
      <c r="AB42" s="427"/>
      <c r="AC42" s="427"/>
      <c r="AD42" s="427"/>
      <c r="AE42" s="427"/>
      <c r="AF42" s="427"/>
      <c r="AG42" s="427"/>
      <c r="AH42" s="427"/>
      <c r="AI42" s="427"/>
      <c r="AJ42" s="427"/>
      <c r="AK42" s="427"/>
      <c r="AL42" s="427"/>
      <c r="AM42" s="427"/>
      <c r="AN42" s="427"/>
      <c r="AO42" s="427"/>
      <c r="AP42" s="427"/>
      <c r="AQ42" s="427"/>
      <c r="AR42" s="427"/>
      <c r="AS42" s="427"/>
      <c r="AT42" s="427"/>
      <c r="AU42" s="427"/>
      <c r="AV42" s="427"/>
      <c r="AW42" s="427"/>
      <c r="AX42" s="427"/>
      <c r="AY42" s="427"/>
      <c r="AZ42" s="427"/>
      <c r="BA42" s="10"/>
      <c r="BB42" s="10"/>
      <c r="BC42" s="10"/>
      <c r="BD42" s="10"/>
      <c r="BE42" s="10"/>
      <c r="BF42" s="10"/>
      <c r="BG42" s="10"/>
      <c r="BH42" s="10"/>
      <c r="BI42" s="10"/>
      <c r="BJ42" s="10"/>
      <c r="BK42" s="10"/>
      <c r="BL42" s="10"/>
      <c r="BM42" s="10"/>
      <c r="BN42" s="10"/>
      <c r="BO42" s="10"/>
      <c r="BP42" s="10"/>
      <c r="BQ42" s="10"/>
      <c r="BR42" s="10"/>
      <c r="BS42" s="10"/>
      <c r="BT42" s="10"/>
    </row>
    <row r="43" spans="1:72" ht="18" x14ac:dyDescent="0.2">
      <c r="A43" s="427"/>
      <c r="B43" s="426"/>
      <c r="C43" s="428"/>
      <c r="D43" s="438"/>
      <c r="E43" s="426"/>
      <c r="F43" s="427"/>
      <c r="G43" s="427"/>
      <c r="H43" s="427"/>
      <c r="I43" s="427"/>
      <c r="J43" s="427"/>
      <c r="K43" s="427"/>
      <c r="L43" s="427"/>
      <c r="M43" s="427"/>
      <c r="N43" s="427"/>
      <c r="O43" s="427"/>
      <c r="P43" s="427"/>
      <c r="Q43" s="427"/>
      <c r="R43" s="427"/>
      <c r="S43" s="427"/>
      <c r="T43" s="427"/>
      <c r="U43" s="427"/>
      <c r="V43" s="427"/>
      <c r="W43" s="427"/>
      <c r="X43" s="427"/>
      <c r="Y43" s="427"/>
      <c r="Z43" s="427"/>
      <c r="AA43" s="427"/>
      <c r="AB43" s="427"/>
      <c r="AC43" s="427"/>
      <c r="AD43" s="427"/>
      <c r="AE43" s="427"/>
      <c r="AF43" s="427"/>
      <c r="AG43" s="427"/>
      <c r="AH43" s="427"/>
      <c r="AI43" s="427"/>
      <c r="AJ43" s="427"/>
      <c r="AK43" s="427"/>
      <c r="AL43" s="427"/>
      <c r="AM43" s="427"/>
      <c r="AN43" s="427"/>
      <c r="AO43" s="427"/>
      <c r="AP43" s="427"/>
      <c r="AQ43" s="427"/>
      <c r="AR43" s="427"/>
      <c r="AS43" s="427"/>
      <c r="AT43" s="427"/>
      <c r="AU43" s="427"/>
      <c r="AV43" s="427"/>
      <c r="AW43" s="427"/>
      <c r="AX43" s="427"/>
      <c r="AY43" s="427"/>
      <c r="AZ43" s="427"/>
      <c r="BA43" s="10"/>
      <c r="BB43" s="10"/>
      <c r="BC43" s="10"/>
      <c r="BD43" s="10"/>
      <c r="BE43" s="10"/>
      <c r="BF43" s="10"/>
      <c r="BG43" s="10"/>
      <c r="BH43" s="10"/>
      <c r="BI43" s="10"/>
      <c r="BJ43" s="10"/>
      <c r="BK43" s="10"/>
      <c r="BL43" s="10"/>
      <c r="BM43" s="10"/>
      <c r="BN43" s="10"/>
      <c r="BO43" s="10"/>
      <c r="BP43" s="10"/>
      <c r="BQ43" s="10"/>
      <c r="BR43" s="10"/>
      <c r="BS43" s="10"/>
      <c r="BT43" s="10"/>
    </row>
    <row r="44" spans="1:72" ht="18" x14ac:dyDescent="0.2">
      <c r="A44" s="427"/>
      <c r="B44" s="426"/>
      <c r="C44" s="428"/>
      <c r="D44" s="438"/>
      <c r="E44" s="426"/>
      <c r="F44" s="427"/>
      <c r="G44" s="427"/>
      <c r="H44" s="427"/>
      <c r="I44" s="427"/>
      <c r="J44" s="427"/>
      <c r="K44" s="427"/>
      <c r="L44" s="427"/>
      <c r="M44" s="427"/>
      <c r="N44" s="427"/>
      <c r="O44" s="427"/>
      <c r="P44" s="427"/>
      <c r="Q44" s="427"/>
      <c r="R44" s="427"/>
      <c r="S44" s="427"/>
      <c r="T44" s="427"/>
      <c r="U44" s="427"/>
      <c r="V44" s="427"/>
      <c r="W44" s="427"/>
      <c r="X44" s="427"/>
      <c r="Y44" s="427"/>
      <c r="Z44" s="427"/>
      <c r="AA44" s="427"/>
      <c r="AB44" s="427"/>
      <c r="AC44" s="427"/>
      <c r="AD44" s="427"/>
      <c r="AE44" s="427"/>
      <c r="AF44" s="427"/>
      <c r="AG44" s="427"/>
      <c r="AH44" s="427"/>
      <c r="AI44" s="427"/>
      <c r="AJ44" s="427"/>
      <c r="AK44" s="427"/>
      <c r="AL44" s="427"/>
      <c r="AM44" s="427"/>
      <c r="AN44" s="427"/>
      <c r="AO44" s="427"/>
      <c r="AP44" s="427"/>
      <c r="AQ44" s="427"/>
      <c r="AR44" s="427"/>
      <c r="AS44" s="427"/>
      <c r="AT44" s="427"/>
      <c r="AU44" s="427"/>
      <c r="AV44" s="427"/>
      <c r="AW44" s="427"/>
      <c r="AX44" s="427"/>
      <c r="AY44" s="427"/>
      <c r="AZ44" s="427"/>
      <c r="BA44" s="10"/>
      <c r="BB44" s="10"/>
      <c r="BC44" s="10"/>
      <c r="BD44" s="10"/>
      <c r="BE44" s="10"/>
      <c r="BF44" s="10"/>
      <c r="BG44" s="10"/>
      <c r="BH44" s="10"/>
      <c r="BI44" s="10"/>
      <c r="BJ44" s="10"/>
      <c r="BK44" s="10"/>
      <c r="BL44" s="10"/>
      <c r="BM44" s="10"/>
      <c r="BN44" s="10"/>
      <c r="BO44" s="10"/>
      <c r="BP44" s="10"/>
      <c r="BQ44" s="10"/>
      <c r="BR44" s="10"/>
      <c r="BS44" s="10"/>
      <c r="BT44" s="10"/>
    </row>
    <row r="45" spans="1:72" ht="18" x14ac:dyDescent="0.2">
      <c r="A45" s="427"/>
      <c r="B45" s="426"/>
      <c r="C45" s="428"/>
      <c r="D45" s="438"/>
      <c r="E45" s="426"/>
      <c r="F45" s="427"/>
      <c r="G45" s="427"/>
      <c r="H45" s="427"/>
      <c r="I45" s="427"/>
      <c r="J45" s="427"/>
      <c r="K45" s="427"/>
      <c r="L45" s="427"/>
      <c r="M45" s="427"/>
      <c r="N45" s="427"/>
      <c r="O45" s="427"/>
      <c r="P45" s="427"/>
      <c r="Q45" s="427"/>
      <c r="R45" s="427"/>
      <c r="S45" s="427"/>
      <c r="T45" s="427"/>
      <c r="U45" s="427"/>
      <c r="V45" s="427"/>
      <c r="W45" s="427"/>
      <c r="X45" s="427"/>
      <c r="Y45" s="427"/>
      <c r="Z45" s="427"/>
      <c r="AA45" s="427"/>
      <c r="AB45" s="427"/>
      <c r="AC45" s="427"/>
      <c r="AD45" s="427"/>
      <c r="AE45" s="427"/>
      <c r="AF45" s="427"/>
      <c r="AG45" s="427"/>
      <c r="AH45" s="427"/>
      <c r="AI45" s="427"/>
      <c r="AJ45" s="427"/>
      <c r="AK45" s="427"/>
      <c r="AL45" s="427"/>
      <c r="AM45" s="427"/>
      <c r="AN45" s="427"/>
      <c r="AO45" s="427"/>
      <c r="AP45" s="427"/>
      <c r="AQ45" s="427"/>
      <c r="AR45" s="427"/>
      <c r="AS45" s="427"/>
      <c r="AT45" s="427"/>
      <c r="AU45" s="427"/>
      <c r="AV45" s="427"/>
      <c r="AW45" s="427"/>
      <c r="AX45" s="427"/>
      <c r="AY45" s="427"/>
      <c r="AZ45" s="427"/>
      <c r="BA45" s="10"/>
      <c r="BB45" s="10"/>
      <c r="BC45" s="10"/>
      <c r="BD45" s="10"/>
      <c r="BE45" s="10"/>
      <c r="BF45" s="10"/>
      <c r="BG45" s="10"/>
      <c r="BH45" s="10"/>
      <c r="BI45" s="10"/>
      <c r="BJ45" s="10"/>
      <c r="BK45" s="10"/>
      <c r="BL45" s="10"/>
      <c r="BM45" s="10"/>
      <c r="BN45" s="10"/>
      <c r="BO45" s="10"/>
      <c r="BP45" s="10"/>
      <c r="BQ45" s="10"/>
      <c r="BR45" s="10"/>
      <c r="BS45" s="10"/>
      <c r="BT45" s="10"/>
    </row>
    <row r="46" spans="1:72" ht="18" x14ac:dyDescent="0.2">
      <c r="A46" s="427"/>
      <c r="B46" s="426"/>
      <c r="C46" s="428"/>
      <c r="D46" s="438"/>
      <c r="E46" s="426"/>
      <c r="F46" s="427"/>
      <c r="G46" s="427"/>
      <c r="H46" s="427"/>
      <c r="I46" s="427"/>
      <c r="J46" s="427"/>
      <c r="K46" s="427"/>
      <c r="L46" s="427"/>
      <c r="M46" s="427"/>
      <c r="N46" s="427"/>
      <c r="O46" s="427"/>
      <c r="P46" s="427"/>
      <c r="Q46" s="427"/>
      <c r="R46" s="427"/>
      <c r="S46" s="427"/>
      <c r="T46" s="427"/>
      <c r="U46" s="427"/>
      <c r="V46" s="427"/>
      <c r="W46" s="427"/>
      <c r="X46" s="427"/>
      <c r="Y46" s="427"/>
      <c r="Z46" s="427"/>
      <c r="AA46" s="427"/>
      <c r="AB46" s="427"/>
      <c r="AC46" s="427"/>
      <c r="AD46" s="427"/>
      <c r="AE46" s="427"/>
      <c r="AF46" s="427"/>
      <c r="AG46" s="427"/>
      <c r="AH46" s="427"/>
      <c r="AI46" s="427"/>
      <c r="AJ46" s="427"/>
      <c r="AK46" s="427"/>
      <c r="AL46" s="427"/>
      <c r="AM46" s="427"/>
      <c r="AN46" s="427"/>
      <c r="AO46" s="427"/>
      <c r="AP46" s="427"/>
      <c r="AQ46" s="427"/>
      <c r="AR46" s="427"/>
      <c r="AS46" s="427"/>
      <c r="AT46" s="427"/>
      <c r="AU46" s="427"/>
      <c r="AV46" s="427"/>
      <c r="AW46" s="427"/>
      <c r="AX46" s="427"/>
      <c r="AY46" s="427"/>
      <c r="AZ46" s="427"/>
      <c r="BA46" s="10"/>
      <c r="BB46" s="10"/>
      <c r="BC46" s="10"/>
      <c r="BD46" s="10"/>
      <c r="BE46" s="10"/>
      <c r="BF46" s="10"/>
      <c r="BG46" s="10"/>
      <c r="BH46" s="10"/>
      <c r="BI46" s="10"/>
      <c r="BJ46" s="10"/>
      <c r="BK46" s="10"/>
      <c r="BL46" s="10"/>
      <c r="BM46" s="10"/>
      <c r="BN46" s="10"/>
      <c r="BO46" s="10"/>
      <c r="BP46" s="10"/>
      <c r="BQ46" s="10"/>
      <c r="BR46" s="10"/>
      <c r="BS46" s="10"/>
      <c r="BT46" s="10"/>
    </row>
    <row r="47" spans="1:72" ht="18" x14ac:dyDescent="0.2">
      <c r="A47" s="427"/>
      <c r="B47" s="426"/>
      <c r="C47" s="428"/>
      <c r="D47" s="438"/>
      <c r="E47" s="426"/>
      <c r="F47" s="427"/>
      <c r="G47" s="427"/>
      <c r="H47" s="427"/>
      <c r="I47" s="427"/>
      <c r="J47" s="427"/>
      <c r="K47" s="427"/>
      <c r="L47" s="427"/>
      <c r="M47" s="427"/>
      <c r="N47" s="427"/>
      <c r="O47" s="427"/>
      <c r="P47" s="427"/>
      <c r="Q47" s="427"/>
      <c r="R47" s="427"/>
      <c r="S47" s="427"/>
      <c r="T47" s="427"/>
      <c r="U47" s="427"/>
      <c r="V47" s="427"/>
      <c r="W47" s="427"/>
      <c r="X47" s="427"/>
      <c r="Y47" s="427"/>
      <c r="Z47" s="427"/>
      <c r="AA47" s="427"/>
      <c r="AB47" s="427"/>
      <c r="AC47" s="427"/>
      <c r="AD47" s="427"/>
      <c r="AE47" s="427"/>
      <c r="AF47" s="427"/>
      <c r="AG47" s="427"/>
      <c r="AH47" s="427"/>
      <c r="AI47" s="427"/>
      <c r="AJ47" s="427"/>
      <c r="AK47" s="427"/>
      <c r="AL47" s="427"/>
      <c r="AM47" s="427"/>
      <c r="AN47" s="427"/>
      <c r="AO47" s="427"/>
      <c r="AP47" s="427"/>
      <c r="AQ47" s="427"/>
      <c r="AR47" s="427"/>
      <c r="AS47" s="427"/>
      <c r="AT47" s="427"/>
      <c r="AU47" s="427"/>
      <c r="AV47" s="427"/>
      <c r="AW47" s="427"/>
      <c r="AX47" s="427"/>
      <c r="AY47" s="427"/>
      <c r="AZ47" s="427"/>
      <c r="BA47" s="10"/>
      <c r="BB47" s="10"/>
      <c r="BC47" s="10"/>
      <c r="BD47" s="10"/>
      <c r="BE47" s="10"/>
      <c r="BF47" s="10"/>
      <c r="BG47" s="10"/>
      <c r="BH47" s="10"/>
      <c r="BI47" s="10"/>
      <c r="BJ47" s="10"/>
      <c r="BK47" s="10"/>
      <c r="BL47" s="10"/>
      <c r="BM47" s="10"/>
      <c r="BN47" s="10"/>
      <c r="BO47" s="10"/>
      <c r="BP47" s="10"/>
      <c r="BQ47" s="10"/>
      <c r="BR47" s="10"/>
      <c r="BS47" s="10"/>
      <c r="BT47" s="10"/>
    </row>
    <row r="48" spans="1:72" ht="18" x14ac:dyDescent="0.2">
      <c r="A48" s="427"/>
      <c r="B48" s="426"/>
      <c r="C48" s="428"/>
      <c r="D48" s="438"/>
      <c r="E48" s="426"/>
      <c r="F48" s="427"/>
      <c r="G48" s="427"/>
      <c r="H48" s="427"/>
      <c r="I48" s="427"/>
      <c r="J48" s="427"/>
      <c r="K48" s="427"/>
      <c r="L48" s="427"/>
      <c r="M48" s="427"/>
      <c r="N48" s="427"/>
      <c r="O48" s="427"/>
      <c r="P48" s="427"/>
      <c r="Q48" s="427"/>
      <c r="R48" s="427"/>
      <c r="S48" s="427"/>
      <c r="T48" s="427"/>
      <c r="U48" s="427"/>
      <c r="V48" s="427"/>
      <c r="W48" s="427"/>
      <c r="X48" s="427"/>
      <c r="Y48" s="427"/>
      <c r="Z48" s="427"/>
      <c r="AA48" s="427"/>
      <c r="AB48" s="427"/>
      <c r="AC48" s="427"/>
      <c r="AD48" s="427"/>
      <c r="AE48" s="427"/>
      <c r="AF48" s="427"/>
      <c r="AG48" s="427"/>
      <c r="AH48" s="427"/>
      <c r="AI48" s="427"/>
      <c r="AJ48" s="427"/>
      <c r="AK48" s="427"/>
      <c r="AL48" s="427"/>
      <c r="AM48" s="427"/>
      <c r="AN48" s="427"/>
      <c r="AO48" s="427"/>
      <c r="AP48" s="427"/>
      <c r="AQ48" s="427"/>
      <c r="AR48" s="427"/>
      <c r="AS48" s="427"/>
      <c r="AT48" s="427"/>
      <c r="AU48" s="427"/>
      <c r="AV48" s="427"/>
      <c r="AW48" s="427"/>
      <c r="AX48" s="427"/>
      <c r="AY48" s="427"/>
      <c r="AZ48" s="427"/>
      <c r="BA48" s="10"/>
      <c r="BB48" s="10"/>
      <c r="BC48" s="10"/>
      <c r="BD48" s="10"/>
      <c r="BE48" s="10"/>
      <c r="BF48" s="10"/>
      <c r="BG48" s="10"/>
      <c r="BH48" s="10"/>
      <c r="BI48" s="10"/>
      <c r="BJ48" s="10"/>
      <c r="BK48" s="10"/>
      <c r="BL48" s="10"/>
      <c r="BM48" s="10"/>
      <c r="BN48" s="10"/>
      <c r="BO48" s="10"/>
      <c r="BP48" s="10"/>
      <c r="BQ48" s="10"/>
      <c r="BR48" s="10"/>
      <c r="BS48" s="10"/>
      <c r="BT48" s="10"/>
    </row>
    <row r="49" spans="1:72" ht="18" x14ac:dyDescent="0.2">
      <c r="A49" s="427"/>
      <c r="B49" s="426"/>
      <c r="C49" s="428"/>
      <c r="D49" s="438"/>
      <c r="E49" s="426"/>
      <c r="F49" s="427"/>
      <c r="G49" s="427"/>
      <c r="H49" s="427"/>
      <c r="I49" s="427"/>
      <c r="J49" s="427"/>
      <c r="K49" s="427"/>
      <c r="L49" s="427"/>
      <c r="M49" s="427"/>
      <c r="N49" s="427"/>
      <c r="O49" s="427"/>
      <c r="P49" s="427"/>
      <c r="Q49" s="427"/>
      <c r="R49" s="427"/>
      <c r="S49" s="427"/>
      <c r="T49" s="427"/>
      <c r="U49" s="427"/>
      <c r="V49" s="427"/>
      <c r="W49" s="427"/>
      <c r="X49" s="427"/>
      <c r="Y49" s="427"/>
      <c r="Z49" s="427"/>
      <c r="AA49" s="427"/>
      <c r="AB49" s="427"/>
      <c r="AC49" s="427"/>
      <c r="AD49" s="427"/>
      <c r="AE49" s="427"/>
      <c r="AF49" s="427"/>
      <c r="AG49" s="427"/>
      <c r="AH49" s="427"/>
      <c r="AI49" s="427"/>
      <c r="AJ49" s="427"/>
      <c r="AK49" s="427"/>
      <c r="AL49" s="427"/>
      <c r="AM49" s="427"/>
      <c r="AN49" s="427"/>
      <c r="AO49" s="427"/>
      <c r="AP49" s="427"/>
      <c r="AQ49" s="427"/>
      <c r="AR49" s="427"/>
      <c r="AS49" s="427"/>
      <c r="AT49" s="427"/>
      <c r="AU49" s="427"/>
      <c r="AV49" s="427"/>
      <c r="AW49" s="427"/>
      <c r="AX49" s="427"/>
      <c r="AY49" s="427"/>
      <c r="AZ49" s="427"/>
      <c r="BA49" s="10"/>
      <c r="BB49" s="10"/>
      <c r="BC49" s="10"/>
      <c r="BD49" s="10"/>
      <c r="BE49" s="10"/>
      <c r="BF49" s="10"/>
      <c r="BG49" s="10"/>
      <c r="BH49" s="10"/>
      <c r="BI49" s="10"/>
      <c r="BJ49" s="10"/>
      <c r="BK49" s="10"/>
      <c r="BL49" s="10"/>
      <c r="BM49" s="10"/>
      <c r="BN49" s="10"/>
      <c r="BO49" s="10"/>
      <c r="BP49" s="10"/>
      <c r="BQ49" s="10"/>
      <c r="BR49" s="10"/>
      <c r="BS49" s="10"/>
      <c r="BT49" s="10"/>
    </row>
    <row r="50" spans="1:72" ht="18" x14ac:dyDescent="0.2">
      <c r="A50" s="427"/>
      <c r="B50" s="426"/>
      <c r="C50" s="428"/>
      <c r="D50" s="438"/>
      <c r="E50" s="426"/>
      <c r="F50" s="427"/>
      <c r="G50" s="427"/>
      <c r="H50" s="427"/>
      <c r="I50" s="427"/>
      <c r="J50" s="427"/>
      <c r="K50" s="427"/>
      <c r="L50" s="427"/>
      <c r="M50" s="427"/>
      <c r="N50" s="427"/>
      <c r="O50" s="427"/>
      <c r="P50" s="427"/>
      <c r="Q50" s="427"/>
      <c r="R50" s="427"/>
      <c r="S50" s="427"/>
      <c r="T50" s="427"/>
      <c r="U50" s="427"/>
      <c r="V50" s="427"/>
      <c r="W50" s="427"/>
      <c r="X50" s="427"/>
      <c r="Y50" s="427"/>
      <c r="Z50" s="427"/>
      <c r="AA50" s="427"/>
      <c r="AB50" s="427"/>
      <c r="AC50" s="427"/>
      <c r="AD50" s="427"/>
      <c r="AE50" s="427"/>
      <c r="AF50" s="427"/>
      <c r="AG50" s="427"/>
      <c r="AH50" s="427"/>
      <c r="AI50" s="427"/>
      <c r="AJ50" s="427"/>
      <c r="AK50" s="427"/>
      <c r="AL50" s="427"/>
      <c r="AM50" s="427"/>
      <c r="AN50" s="427"/>
      <c r="AO50" s="427"/>
      <c r="AP50" s="427"/>
      <c r="AQ50" s="427"/>
      <c r="AR50" s="427"/>
      <c r="AS50" s="427"/>
      <c r="AT50" s="427"/>
      <c r="AU50" s="427"/>
      <c r="AV50" s="427"/>
      <c r="AW50" s="427"/>
      <c r="AX50" s="427"/>
      <c r="AY50" s="427"/>
      <c r="AZ50" s="427"/>
      <c r="BA50" s="10"/>
      <c r="BB50" s="10"/>
      <c r="BC50" s="10"/>
      <c r="BD50" s="10"/>
      <c r="BE50" s="10"/>
      <c r="BF50" s="10"/>
      <c r="BG50" s="10"/>
      <c r="BH50" s="10"/>
      <c r="BI50" s="10"/>
      <c r="BJ50" s="10"/>
      <c r="BK50" s="10"/>
      <c r="BL50" s="10"/>
      <c r="BM50" s="10"/>
      <c r="BN50" s="10"/>
      <c r="BO50" s="10"/>
      <c r="BP50" s="10"/>
      <c r="BQ50" s="10"/>
      <c r="BR50" s="10"/>
      <c r="BS50" s="10"/>
      <c r="BT50" s="10"/>
    </row>
    <row r="51" spans="1:72" ht="18" x14ac:dyDescent="0.2">
      <c r="A51" s="427"/>
      <c r="B51" s="426"/>
      <c r="C51" s="428"/>
      <c r="D51" s="438"/>
      <c r="E51" s="426"/>
      <c r="F51" s="427"/>
      <c r="G51" s="427"/>
      <c r="H51" s="427"/>
      <c r="I51" s="427"/>
      <c r="J51" s="427"/>
      <c r="K51" s="427"/>
      <c r="L51" s="427"/>
      <c r="M51" s="427"/>
      <c r="N51" s="427"/>
      <c r="O51" s="427"/>
      <c r="P51" s="427"/>
      <c r="Q51" s="427"/>
      <c r="R51" s="427"/>
      <c r="S51" s="427"/>
      <c r="T51" s="427"/>
      <c r="U51" s="427"/>
      <c r="V51" s="427"/>
      <c r="W51" s="427"/>
      <c r="X51" s="427"/>
      <c r="Y51" s="427"/>
      <c r="Z51" s="427"/>
      <c r="AA51" s="427"/>
      <c r="AB51" s="427"/>
      <c r="AC51" s="427"/>
      <c r="AD51" s="427"/>
      <c r="AE51" s="427"/>
      <c r="AF51" s="427"/>
      <c r="AG51" s="427"/>
      <c r="AH51" s="427"/>
      <c r="AI51" s="427"/>
      <c r="AJ51" s="427"/>
      <c r="AK51" s="427"/>
      <c r="AL51" s="427"/>
      <c r="AM51" s="427"/>
      <c r="AN51" s="427"/>
      <c r="AO51" s="427"/>
      <c r="AP51" s="427"/>
      <c r="AQ51" s="427"/>
      <c r="AR51" s="427"/>
      <c r="AS51" s="427"/>
      <c r="AT51" s="427"/>
      <c r="AU51" s="427"/>
      <c r="AV51" s="427"/>
      <c r="AW51" s="427"/>
      <c r="AX51" s="427"/>
      <c r="AY51" s="427"/>
      <c r="AZ51" s="427"/>
      <c r="BA51" s="10"/>
      <c r="BB51" s="10"/>
      <c r="BC51" s="10"/>
      <c r="BD51" s="10"/>
      <c r="BE51" s="10"/>
      <c r="BF51" s="10"/>
      <c r="BG51" s="10"/>
      <c r="BH51" s="10"/>
      <c r="BI51" s="10"/>
      <c r="BJ51" s="10"/>
      <c r="BK51" s="10"/>
      <c r="BL51" s="10"/>
      <c r="BM51" s="10"/>
      <c r="BN51" s="10"/>
      <c r="BO51" s="10"/>
      <c r="BP51" s="10"/>
      <c r="BQ51" s="10"/>
      <c r="BR51" s="10"/>
      <c r="BS51" s="10"/>
      <c r="BT51" s="10"/>
    </row>
    <row r="52" spans="1:72" ht="18" x14ac:dyDescent="0.2">
      <c r="A52" s="427"/>
      <c r="B52" s="426"/>
      <c r="C52" s="428"/>
      <c r="D52" s="438"/>
      <c r="E52" s="426"/>
      <c r="F52" s="427"/>
      <c r="G52" s="427"/>
      <c r="H52" s="427"/>
      <c r="I52" s="427"/>
      <c r="J52" s="427"/>
      <c r="K52" s="427"/>
      <c r="L52" s="427"/>
      <c r="M52" s="427"/>
      <c r="N52" s="427"/>
      <c r="O52" s="427"/>
      <c r="P52" s="427"/>
      <c r="Q52" s="427"/>
      <c r="R52" s="427"/>
      <c r="S52" s="427"/>
      <c r="T52" s="427"/>
      <c r="U52" s="427"/>
      <c r="V52" s="427"/>
      <c r="W52" s="427"/>
      <c r="X52" s="427"/>
      <c r="Y52" s="427"/>
      <c r="Z52" s="427"/>
      <c r="AA52" s="427"/>
      <c r="AB52" s="427"/>
      <c r="AC52" s="427"/>
      <c r="AD52" s="427"/>
      <c r="AE52" s="427"/>
      <c r="AF52" s="427"/>
      <c r="AG52" s="427"/>
      <c r="AH52" s="427"/>
      <c r="AI52" s="427"/>
      <c r="AJ52" s="427"/>
      <c r="AK52" s="427"/>
      <c r="AL52" s="427"/>
      <c r="AM52" s="427"/>
      <c r="AN52" s="427"/>
      <c r="AO52" s="427"/>
      <c r="AP52" s="427"/>
      <c r="AQ52" s="427"/>
      <c r="AR52" s="427"/>
      <c r="AS52" s="427"/>
      <c r="AT52" s="427"/>
      <c r="AU52" s="427"/>
      <c r="AV52" s="427"/>
      <c r="AW52" s="427"/>
      <c r="AX52" s="427"/>
      <c r="AY52" s="427"/>
      <c r="AZ52" s="427"/>
      <c r="BA52" s="10"/>
      <c r="BB52" s="10"/>
      <c r="BC52" s="10"/>
      <c r="BD52" s="10"/>
      <c r="BE52" s="10"/>
      <c r="BF52" s="10"/>
      <c r="BG52" s="10"/>
      <c r="BH52" s="10"/>
      <c r="BI52" s="10"/>
      <c r="BJ52" s="10"/>
      <c r="BK52" s="10"/>
      <c r="BL52" s="10"/>
      <c r="BM52" s="10"/>
      <c r="BN52" s="10"/>
      <c r="BO52" s="10"/>
      <c r="BP52" s="10"/>
      <c r="BQ52" s="10"/>
      <c r="BR52" s="10"/>
      <c r="BS52" s="10"/>
      <c r="BT52" s="10"/>
    </row>
    <row r="53" spans="1:72" ht="18" x14ac:dyDescent="0.2">
      <c r="A53" s="427"/>
      <c r="B53" s="426"/>
      <c r="C53" s="428"/>
      <c r="D53" s="438"/>
      <c r="E53" s="426"/>
      <c r="F53" s="427"/>
      <c r="G53" s="427"/>
      <c r="H53" s="427"/>
      <c r="I53" s="427"/>
      <c r="J53" s="427"/>
      <c r="K53" s="427"/>
      <c r="L53" s="427"/>
      <c r="M53" s="427"/>
      <c r="N53" s="427"/>
      <c r="O53" s="427"/>
      <c r="P53" s="427"/>
      <c r="Q53" s="427"/>
      <c r="R53" s="427"/>
      <c r="S53" s="427"/>
      <c r="T53" s="427"/>
      <c r="U53" s="427"/>
      <c r="V53" s="427"/>
      <c r="W53" s="427"/>
      <c r="X53" s="427"/>
      <c r="Y53" s="427"/>
      <c r="Z53" s="427"/>
      <c r="AA53" s="427"/>
      <c r="AB53" s="427"/>
      <c r="AC53" s="427"/>
      <c r="AD53" s="427"/>
      <c r="AE53" s="427"/>
      <c r="AF53" s="427"/>
      <c r="AG53" s="427"/>
      <c r="AH53" s="427"/>
      <c r="AI53" s="427"/>
      <c r="AJ53" s="427"/>
      <c r="AK53" s="427"/>
      <c r="AL53" s="427"/>
      <c r="AM53" s="427"/>
      <c r="AN53" s="427"/>
      <c r="AO53" s="427"/>
      <c r="AP53" s="427"/>
      <c r="AQ53" s="427"/>
      <c r="AR53" s="427"/>
      <c r="AS53" s="427"/>
      <c r="AT53" s="427"/>
      <c r="AU53" s="427"/>
      <c r="AV53" s="427"/>
      <c r="AW53" s="427"/>
      <c r="AX53" s="427"/>
      <c r="AY53" s="427"/>
      <c r="AZ53" s="427"/>
      <c r="BA53" s="10"/>
      <c r="BB53" s="10"/>
      <c r="BC53" s="10"/>
      <c r="BD53" s="10"/>
      <c r="BE53" s="10"/>
      <c r="BF53" s="10"/>
      <c r="BG53" s="10"/>
      <c r="BH53" s="10"/>
      <c r="BI53" s="10"/>
      <c r="BJ53" s="10"/>
      <c r="BK53" s="10"/>
      <c r="BL53" s="10"/>
      <c r="BM53" s="10"/>
      <c r="BN53" s="10"/>
      <c r="BO53" s="10"/>
      <c r="BP53" s="10"/>
      <c r="BQ53" s="10"/>
      <c r="BR53" s="10"/>
      <c r="BS53" s="10"/>
      <c r="BT53" s="10"/>
    </row>
    <row r="54" spans="1:72" ht="18" x14ac:dyDescent="0.2">
      <c r="A54" s="427"/>
      <c r="B54" s="426"/>
      <c r="C54" s="428"/>
      <c r="D54" s="438"/>
      <c r="E54" s="426"/>
      <c r="F54" s="427"/>
      <c r="G54" s="427"/>
      <c r="H54" s="427"/>
      <c r="I54" s="427"/>
      <c r="J54" s="427"/>
      <c r="K54" s="427"/>
      <c r="L54" s="427"/>
      <c r="M54" s="427"/>
      <c r="N54" s="427"/>
      <c r="O54" s="427"/>
      <c r="P54" s="427"/>
      <c r="Q54" s="427"/>
      <c r="R54" s="427"/>
      <c r="S54" s="427"/>
      <c r="T54" s="427"/>
      <c r="U54" s="427"/>
      <c r="V54" s="427"/>
      <c r="W54" s="427"/>
      <c r="X54" s="427"/>
      <c r="Y54" s="427"/>
      <c r="Z54" s="427"/>
      <c r="AA54" s="427"/>
      <c r="AB54" s="427"/>
      <c r="AC54" s="427"/>
      <c r="AD54" s="427"/>
      <c r="AE54" s="427"/>
      <c r="AF54" s="427"/>
      <c r="AG54" s="427"/>
      <c r="AH54" s="427"/>
      <c r="AI54" s="427"/>
      <c r="AJ54" s="427"/>
      <c r="AK54" s="427"/>
      <c r="AL54" s="427"/>
      <c r="AM54" s="427"/>
      <c r="AN54" s="427"/>
      <c r="AO54" s="427"/>
      <c r="AP54" s="427"/>
      <c r="AQ54" s="427"/>
      <c r="AR54" s="427"/>
      <c r="AS54" s="427"/>
      <c r="AT54" s="427"/>
      <c r="AU54" s="427"/>
      <c r="AV54" s="427"/>
      <c r="AW54" s="427"/>
      <c r="AX54" s="427"/>
      <c r="AY54" s="427"/>
      <c r="AZ54" s="427"/>
      <c r="BA54" s="10"/>
      <c r="BB54" s="10"/>
      <c r="BC54" s="10"/>
      <c r="BD54" s="10"/>
      <c r="BE54" s="10"/>
      <c r="BF54" s="10"/>
      <c r="BG54" s="10"/>
      <c r="BH54" s="10"/>
      <c r="BI54" s="10"/>
      <c r="BJ54" s="10"/>
      <c r="BK54" s="10"/>
      <c r="BL54" s="10"/>
      <c r="BM54" s="10"/>
      <c r="BN54" s="10"/>
      <c r="BO54" s="10"/>
      <c r="BP54" s="10"/>
      <c r="BQ54" s="10"/>
      <c r="BR54" s="10"/>
      <c r="BS54" s="10"/>
      <c r="BT54" s="10"/>
    </row>
    <row r="55" spans="1:72" ht="18" x14ac:dyDescent="0.2">
      <c r="A55" s="427"/>
      <c r="B55" s="426"/>
      <c r="C55" s="428"/>
      <c r="D55" s="438"/>
      <c r="E55" s="426"/>
      <c r="F55" s="427"/>
      <c r="G55" s="427"/>
      <c r="H55" s="427"/>
      <c r="I55" s="427"/>
      <c r="J55" s="427"/>
      <c r="K55" s="427"/>
      <c r="L55" s="427"/>
      <c r="M55" s="427"/>
      <c r="N55" s="427"/>
      <c r="O55" s="427"/>
      <c r="P55" s="427"/>
      <c r="Q55" s="427"/>
      <c r="R55" s="427"/>
      <c r="S55" s="427"/>
      <c r="T55" s="427"/>
      <c r="U55" s="427"/>
      <c r="V55" s="427"/>
      <c r="W55" s="427"/>
      <c r="X55" s="427"/>
      <c r="Y55" s="427"/>
      <c r="Z55" s="427"/>
      <c r="AA55" s="427"/>
      <c r="AB55" s="427"/>
      <c r="AC55" s="427"/>
      <c r="AD55" s="427"/>
      <c r="AE55" s="427"/>
      <c r="AF55" s="427"/>
      <c r="AG55" s="427"/>
      <c r="AH55" s="427"/>
      <c r="AI55" s="427"/>
      <c r="AJ55" s="427"/>
      <c r="AK55" s="427"/>
      <c r="AL55" s="427"/>
      <c r="AM55" s="427"/>
      <c r="AN55" s="427"/>
      <c r="AO55" s="427"/>
      <c r="AP55" s="427"/>
      <c r="AQ55" s="427"/>
      <c r="AR55" s="427"/>
      <c r="AS55" s="427"/>
      <c r="AT55" s="427"/>
      <c r="AU55" s="427"/>
      <c r="AV55" s="427"/>
      <c r="AW55" s="427"/>
      <c r="AX55" s="427"/>
      <c r="AY55" s="427"/>
      <c r="AZ55" s="427"/>
      <c r="BA55" s="10"/>
      <c r="BB55" s="10"/>
      <c r="BC55" s="10"/>
      <c r="BD55" s="10"/>
      <c r="BE55" s="10"/>
      <c r="BF55" s="10"/>
      <c r="BG55" s="10"/>
      <c r="BH55" s="10"/>
      <c r="BI55" s="10"/>
      <c r="BJ55" s="10"/>
      <c r="BK55" s="10"/>
      <c r="BL55" s="10"/>
      <c r="BM55" s="10"/>
      <c r="BN55" s="10"/>
      <c r="BO55" s="10"/>
      <c r="BP55" s="10"/>
      <c r="BQ55" s="10"/>
      <c r="BR55" s="10"/>
      <c r="BS55" s="10"/>
      <c r="BT55" s="10"/>
    </row>
    <row r="56" spans="1:72" ht="18" x14ac:dyDescent="0.2">
      <c r="A56" s="427"/>
      <c r="B56" s="426"/>
      <c r="C56" s="428"/>
      <c r="D56" s="438"/>
      <c r="E56" s="426"/>
      <c r="F56" s="427"/>
      <c r="G56" s="427"/>
      <c r="H56" s="427"/>
      <c r="I56" s="427"/>
      <c r="J56" s="427"/>
      <c r="K56" s="427"/>
      <c r="L56" s="427"/>
      <c r="M56" s="427"/>
      <c r="N56" s="427"/>
      <c r="O56" s="427"/>
      <c r="P56" s="427"/>
      <c r="Q56" s="427"/>
      <c r="R56" s="427"/>
      <c r="S56" s="427"/>
      <c r="T56" s="427"/>
      <c r="U56" s="427"/>
      <c r="V56" s="427"/>
      <c r="W56" s="427"/>
      <c r="X56" s="427"/>
      <c r="Y56" s="427"/>
      <c r="Z56" s="427"/>
      <c r="AA56" s="427"/>
      <c r="AB56" s="427"/>
      <c r="AC56" s="427"/>
      <c r="AD56" s="427"/>
      <c r="AE56" s="427"/>
      <c r="AF56" s="427"/>
      <c r="AG56" s="427"/>
      <c r="AH56" s="427"/>
      <c r="AI56" s="427"/>
      <c r="AJ56" s="427"/>
      <c r="AK56" s="427"/>
      <c r="AL56" s="427"/>
      <c r="AM56" s="427"/>
      <c r="AN56" s="427"/>
      <c r="AO56" s="427"/>
      <c r="AP56" s="427"/>
      <c r="AQ56" s="427"/>
      <c r="AR56" s="427"/>
      <c r="AS56" s="427"/>
      <c r="AT56" s="427"/>
      <c r="AU56" s="427"/>
      <c r="AV56" s="427"/>
      <c r="AW56" s="427"/>
      <c r="AX56" s="427"/>
      <c r="AY56" s="427"/>
      <c r="AZ56" s="427"/>
      <c r="BA56" s="10"/>
      <c r="BB56" s="10"/>
      <c r="BC56" s="10"/>
      <c r="BD56" s="10"/>
      <c r="BE56" s="10"/>
      <c r="BF56" s="10"/>
      <c r="BG56" s="10"/>
      <c r="BH56" s="10"/>
      <c r="BI56" s="10"/>
      <c r="BJ56" s="10"/>
      <c r="BK56" s="10"/>
      <c r="BL56" s="10"/>
      <c r="BM56" s="10"/>
      <c r="BN56" s="10"/>
      <c r="BO56" s="10"/>
      <c r="BP56" s="10"/>
      <c r="BQ56" s="10"/>
      <c r="BR56" s="10"/>
      <c r="BS56" s="10"/>
      <c r="BT56" s="10"/>
    </row>
    <row r="57" spans="1:72" ht="18" x14ac:dyDescent="0.2">
      <c r="A57" s="427"/>
      <c r="B57" s="426"/>
      <c r="C57" s="428"/>
      <c r="D57" s="438"/>
      <c r="E57" s="426"/>
      <c r="F57" s="427"/>
      <c r="G57" s="427"/>
      <c r="H57" s="427"/>
      <c r="I57" s="427"/>
      <c r="J57" s="427"/>
      <c r="K57" s="427"/>
      <c r="L57" s="427"/>
      <c r="M57" s="427"/>
      <c r="N57" s="427"/>
      <c r="O57" s="427"/>
      <c r="P57" s="427"/>
      <c r="Q57" s="427"/>
      <c r="R57" s="427"/>
      <c r="S57" s="427"/>
      <c r="T57" s="427"/>
      <c r="U57" s="427"/>
      <c r="V57" s="427"/>
      <c r="W57" s="427"/>
      <c r="X57" s="427"/>
      <c r="Y57" s="427"/>
      <c r="Z57" s="427"/>
      <c r="AA57" s="427"/>
      <c r="AB57" s="427"/>
      <c r="AC57" s="427"/>
      <c r="AD57" s="427"/>
      <c r="AE57" s="427"/>
      <c r="AF57" s="427"/>
      <c r="AG57" s="427"/>
      <c r="AH57" s="427"/>
      <c r="AI57" s="427"/>
      <c r="AJ57" s="427"/>
      <c r="AK57" s="427"/>
      <c r="AL57" s="427"/>
      <c r="AM57" s="427"/>
      <c r="AN57" s="427"/>
      <c r="AO57" s="427"/>
      <c r="AP57" s="427"/>
      <c r="AQ57" s="427"/>
      <c r="AR57" s="427"/>
      <c r="AS57" s="427"/>
      <c r="AT57" s="427"/>
      <c r="AU57" s="427"/>
      <c r="AV57" s="427"/>
      <c r="AW57" s="427"/>
      <c r="AX57" s="427"/>
      <c r="AY57" s="427"/>
      <c r="AZ57" s="427"/>
      <c r="BA57" s="10"/>
      <c r="BB57" s="10"/>
      <c r="BC57" s="10"/>
      <c r="BD57" s="10"/>
      <c r="BE57" s="10"/>
      <c r="BF57" s="10"/>
      <c r="BG57" s="10"/>
      <c r="BH57" s="10"/>
      <c r="BI57" s="10"/>
      <c r="BJ57" s="10"/>
      <c r="BK57" s="10"/>
      <c r="BL57" s="10"/>
      <c r="BM57" s="10"/>
      <c r="BN57" s="10"/>
      <c r="BO57" s="10"/>
      <c r="BP57" s="10"/>
      <c r="BQ57" s="10"/>
      <c r="BR57" s="10"/>
      <c r="BS57" s="10"/>
      <c r="BT57" s="10"/>
    </row>
    <row r="58" spans="1:72" ht="18" x14ac:dyDescent="0.2">
      <c r="A58" s="427"/>
      <c r="B58" s="426"/>
      <c r="C58" s="428"/>
      <c r="D58" s="438"/>
      <c r="E58" s="426"/>
      <c r="F58" s="427"/>
      <c r="G58" s="427"/>
      <c r="H58" s="427"/>
      <c r="I58" s="427"/>
      <c r="J58" s="427"/>
      <c r="K58" s="427"/>
      <c r="L58" s="427"/>
      <c r="M58" s="427"/>
      <c r="N58" s="427"/>
      <c r="O58" s="427"/>
      <c r="P58" s="427"/>
      <c r="Q58" s="427"/>
      <c r="R58" s="427"/>
      <c r="S58" s="427"/>
      <c r="T58" s="427"/>
      <c r="U58" s="427"/>
      <c r="V58" s="427"/>
      <c r="W58" s="427"/>
      <c r="X58" s="427"/>
      <c r="Y58" s="427"/>
      <c r="Z58" s="427"/>
      <c r="AA58" s="427"/>
      <c r="AB58" s="427"/>
      <c r="AC58" s="427"/>
      <c r="AD58" s="427"/>
      <c r="AE58" s="427"/>
      <c r="AF58" s="427"/>
      <c r="AG58" s="427"/>
      <c r="AH58" s="427"/>
      <c r="AI58" s="427"/>
      <c r="AJ58" s="427"/>
      <c r="AK58" s="427"/>
      <c r="AL58" s="427"/>
      <c r="AM58" s="427"/>
      <c r="AN58" s="427"/>
      <c r="AO58" s="427"/>
      <c r="AP58" s="427"/>
      <c r="AQ58" s="427"/>
      <c r="AR58" s="427"/>
      <c r="AS58" s="427"/>
      <c r="AT58" s="427"/>
      <c r="AU58" s="427"/>
      <c r="AV58" s="427"/>
      <c r="AW58" s="427"/>
      <c r="AX58" s="427"/>
      <c r="AY58" s="427"/>
      <c r="AZ58" s="427"/>
      <c r="BA58" s="10"/>
      <c r="BB58" s="10"/>
      <c r="BC58" s="10"/>
      <c r="BD58" s="10"/>
      <c r="BE58" s="10"/>
      <c r="BF58" s="10"/>
      <c r="BG58" s="10"/>
      <c r="BH58" s="10"/>
      <c r="BI58" s="10"/>
      <c r="BJ58" s="10"/>
      <c r="BK58" s="10"/>
      <c r="BL58" s="10"/>
      <c r="BM58" s="10"/>
      <c r="BN58" s="10"/>
      <c r="BO58" s="10"/>
      <c r="BP58" s="10"/>
      <c r="BQ58" s="10"/>
      <c r="BR58" s="10"/>
      <c r="BS58" s="10"/>
      <c r="BT58" s="10"/>
    </row>
    <row r="59" spans="1:72" ht="18" x14ac:dyDescent="0.2">
      <c r="A59" s="427"/>
      <c r="B59" s="426"/>
      <c r="C59" s="428"/>
      <c r="D59" s="438"/>
      <c r="E59" s="426"/>
      <c r="F59" s="427"/>
      <c r="G59" s="427"/>
      <c r="H59" s="427"/>
      <c r="I59" s="427"/>
      <c r="J59" s="427"/>
      <c r="K59" s="427"/>
      <c r="L59" s="427"/>
      <c r="M59" s="427"/>
      <c r="N59" s="427"/>
      <c r="O59" s="427"/>
      <c r="P59" s="427"/>
      <c r="Q59" s="427"/>
      <c r="R59" s="427"/>
      <c r="S59" s="427"/>
      <c r="T59" s="427"/>
      <c r="U59" s="427"/>
      <c r="V59" s="427"/>
      <c r="W59" s="427"/>
      <c r="X59" s="427"/>
      <c r="Y59" s="427"/>
      <c r="Z59" s="427"/>
      <c r="AA59" s="427"/>
      <c r="AB59" s="427"/>
      <c r="AC59" s="427"/>
      <c r="AD59" s="427"/>
      <c r="AE59" s="427"/>
      <c r="AF59" s="427"/>
      <c r="AG59" s="427"/>
      <c r="AH59" s="427"/>
      <c r="AI59" s="427"/>
      <c r="AJ59" s="427"/>
      <c r="AK59" s="427"/>
      <c r="AL59" s="427"/>
      <c r="AM59" s="427"/>
      <c r="AN59" s="427"/>
      <c r="AO59" s="427"/>
      <c r="AP59" s="427"/>
      <c r="AQ59" s="427"/>
      <c r="AR59" s="427"/>
      <c r="AS59" s="427"/>
      <c r="AT59" s="427"/>
      <c r="AU59" s="427"/>
      <c r="AV59" s="427"/>
      <c r="AW59" s="427"/>
      <c r="AX59" s="427"/>
      <c r="AY59" s="427"/>
      <c r="AZ59" s="427"/>
      <c r="BA59" s="10"/>
      <c r="BB59" s="10"/>
      <c r="BC59" s="10"/>
      <c r="BD59" s="10"/>
      <c r="BE59" s="10"/>
      <c r="BF59" s="10"/>
      <c r="BG59" s="10"/>
      <c r="BH59" s="10"/>
      <c r="BI59" s="10"/>
      <c r="BJ59" s="10"/>
      <c r="BK59" s="10"/>
      <c r="BL59" s="10"/>
      <c r="BM59" s="10"/>
      <c r="BN59" s="10"/>
      <c r="BO59" s="10"/>
      <c r="BP59" s="10"/>
      <c r="BQ59" s="10"/>
      <c r="BR59" s="10"/>
      <c r="BS59" s="10"/>
      <c r="BT59" s="10"/>
    </row>
    <row r="60" spans="1:72" ht="18" x14ac:dyDescent="0.2">
      <c r="A60" s="427"/>
      <c r="B60" s="426"/>
      <c r="C60" s="428"/>
      <c r="D60" s="438"/>
      <c r="E60" s="426"/>
      <c r="F60" s="427"/>
      <c r="G60" s="427"/>
      <c r="H60" s="427"/>
      <c r="I60" s="427"/>
      <c r="J60" s="427"/>
      <c r="K60" s="427"/>
      <c r="L60" s="427"/>
      <c r="M60" s="427"/>
      <c r="N60" s="427"/>
      <c r="O60" s="427"/>
      <c r="P60" s="427"/>
      <c r="Q60" s="427"/>
      <c r="R60" s="427"/>
      <c r="S60" s="427"/>
      <c r="T60" s="427"/>
      <c r="U60" s="427"/>
      <c r="V60" s="427"/>
      <c r="W60" s="427"/>
      <c r="X60" s="427"/>
      <c r="Y60" s="427"/>
      <c r="Z60" s="427"/>
      <c r="AA60" s="427"/>
      <c r="AB60" s="427"/>
      <c r="AC60" s="427"/>
      <c r="AD60" s="427"/>
      <c r="AE60" s="427"/>
      <c r="AF60" s="427"/>
      <c r="AG60" s="427"/>
      <c r="AH60" s="427"/>
      <c r="AI60" s="427"/>
      <c r="AJ60" s="427"/>
      <c r="AK60" s="427"/>
      <c r="AL60" s="427"/>
      <c r="AM60" s="427"/>
      <c r="AN60" s="427"/>
      <c r="AO60" s="427"/>
      <c r="AP60" s="427"/>
      <c r="AQ60" s="427"/>
      <c r="AR60" s="427"/>
      <c r="AS60" s="427"/>
      <c r="AT60" s="427"/>
      <c r="AU60" s="427"/>
      <c r="AV60" s="427"/>
      <c r="AW60" s="427"/>
      <c r="AX60" s="427"/>
      <c r="AY60" s="427"/>
      <c r="AZ60" s="427"/>
      <c r="BA60" s="10"/>
      <c r="BB60" s="10"/>
      <c r="BC60" s="10"/>
      <c r="BD60" s="10"/>
      <c r="BE60" s="10"/>
      <c r="BF60" s="10"/>
      <c r="BG60" s="10"/>
      <c r="BH60" s="10"/>
      <c r="BI60" s="10"/>
      <c r="BJ60" s="10"/>
      <c r="BK60" s="10"/>
      <c r="BL60" s="10"/>
      <c r="BM60" s="10"/>
      <c r="BN60" s="10"/>
      <c r="BO60" s="10"/>
      <c r="BP60" s="10"/>
      <c r="BQ60" s="10"/>
      <c r="BR60" s="10"/>
      <c r="BS60" s="10"/>
      <c r="BT60" s="10"/>
    </row>
    <row r="61" spans="1:72" ht="18" x14ac:dyDescent="0.2">
      <c r="A61" s="427"/>
      <c r="B61" s="426"/>
      <c r="C61" s="428"/>
      <c r="D61" s="438"/>
      <c r="E61" s="426"/>
      <c r="F61" s="427"/>
      <c r="G61" s="427"/>
      <c r="H61" s="427"/>
      <c r="I61" s="427"/>
      <c r="J61" s="427"/>
      <c r="K61" s="427"/>
      <c r="L61" s="427"/>
      <c r="M61" s="427"/>
      <c r="N61" s="427"/>
      <c r="O61" s="427"/>
      <c r="P61" s="427"/>
      <c r="Q61" s="427"/>
      <c r="R61" s="427"/>
      <c r="S61" s="427"/>
      <c r="T61" s="427"/>
      <c r="U61" s="427"/>
      <c r="V61" s="427"/>
      <c r="W61" s="427"/>
      <c r="X61" s="427"/>
      <c r="Y61" s="427"/>
      <c r="Z61" s="427"/>
      <c r="AA61" s="427"/>
      <c r="AB61" s="427"/>
      <c r="AC61" s="427"/>
      <c r="AD61" s="427"/>
      <c r="AE61" s="427"/>
      <c r="AF61" s="427"/>
      <c r="AG61" s="427"/>
      <c r="AH61" s="427"/>
      <c r="AI61" s="427"/>
      <c r="AJ61" s="427"/>
      <c r="AK61" s="427"/>
      <c r="AL61" s="427"/>
      <c r="AM61" s="427"/>
      <c r="AN61" s="427"/>
      <c r="AO61" s="427"/>
      <c r="AP61" s="427"/>
      <c r="AQ61" s="427"/>
      <c r="AR61" s="427"/>
      <c r="AS61" s="427"/>
      <c r="AT61" s="427"/>
      <c r="AU61" s="427"/>
      <c r="AV61" s="427"/>
      <c r="AW61" s="427"/>
      <c r="AX61" s="427"/>
      <c r="AY61" s="427"/>
      <c r="AZ61" s="427"/>
      <c r="BA61" s="10"/>
      <c r="BB61" s="10"/>
      <c r="BC61" s="10"/>
      <c r="BD61" s="10"/>
      <c r="BE61" s="10"/>
      <c r="BF61" s="10"/>
      <c r="BG61" s="10"/>
      <c r="BH61" s="10"/>
      <c r="BI61" s="10"/>
      <c r="BJ61" s="10"/>
      <c r="BK61" s="10"/>
      <c r="BL61" s="10"/>
      <c r="BM61" s="10"/>
      <c r="BN61" s="10"/>
      <c r="BO61" s="10"/>
      <c r="BP61" s="10"/>
      <c r="BQ61" s="10"/>
      <c r="BR61" s="10"/>
      <c r="BS61" s="10"/>
      <c r="BT61" s="10"/>
    </row>
    <row r="62" spans="1:72" ht="18" x14ac:dyDescent="0.2">
      <c r="A62" s="427"/>
      <c r="B62" s="426"/>
      <c r="C62" s="428"/>
      <c r="D62" s="438"/>
      <c r="E62" s="426"/>
      <c r="F62" s="427"/>
      <c r="G62" s="427"/>
      <c r="H62" s="427"/>
      <c r="I62" s="427"/>
      <c r="J62" s="427"/>
      <c r="K62" s="427"/>
      <c r="L62" s="427"/>
      <c r="M62" s="427"/>
      <c r="N62" s="427"/>
      <c r="O62" s="427"/>
      <c r="P62" s="427"/>
      <c r="Q62" s="427"/>
      <c r="R62" s="427"/>
      <c r="S62" s="427"/>
      <c r="T62" s="427"/>
      <c r="U62" s="427"/>
      <c r="V62" s="427"/>
      <c r="W62" s="427"/>
      <c r="X62" s="427"/>
      <c r="Y62" s="427"/>
      <c r="Z62" s="427"/>
      <c r="AA62" s="427"/>
      <c r="AB62" s="427"/>
      <c r="AC62" s="427"/>
      <c r="AD62" s="427"/>
      <c r="AE62" s="427"/>
      <c r="AF62" s="427"/>
      <c r="AG62" s="427"/>
      <c r="AH62" s="427"/>
      <c r="AI62" s="427"/>
      <c r="AJ62" s="427"/>
      <c r="AK62" s="427"/>
      <c r="AL62" s="427"/>
      <c r="AM62" s="427"/>
      <c r="AN62" s="427"/>
      <c r="AO62" s="427"/>
      <c r="AP62" s="427"/>
      <c r="AQ62" s="427"/>
      <c r="AR62" s="427"/>
      <c r="AS62" s="427"/>
      <c r="AT62" s="427"/>
      <c r="AU62" s="427"/>
      <c r="AV62" s="427"/>
      <c r="AW62" s="427"/>
      <c r="AX62" s="427"/>
      <c r="AY62" s="427"/>
      <c r="AZ62" s="427"/>
      <c r="BA62" s="10"/>
      <c r="BB62" s="10"/>
      <c r="BC62" s="10"/>
      <c r="BD62" s="10"/>
      <c r="BE62" s="10"/>
      <c r="BF62" s="10"/>
      <c r="BG62" s="10"/>
      <c r="BH62" s="10"/>
      <c r="BI62" s="10"/>
      <c r="BJ62" s="10"/>
      <c r="BK62" s="10"/>
      <c r="BL62" s="10"/>
      <c r="BM62" s="10"/>
      <c r="BN62" s="10"/>
      <c r="BO62" s="10"/>
      <c r="BP62" s="10"/>
      <c r="BQ62" s="10"/>
      <c r="BR62" s="10"/>
      <c r="BS62" s="10"/>
      <c r="BT62" s="10"/>
    </row>
    <row r="63" spans="1:72" ht="18" x14ac:dyDescent="0.2">
      <c r="A63" s="427"/>
      <c r="B63" s="426"/>
      <c r="C63" s="428"/>
      <c r="D63" s="438"/>
      <c r="E63" s="426"/>
      <c r="F63" s="427"/>
      <c r="G63" s="427"/>
      <c r="H63" s="427"/>
      <c r="I63" s="427"/>
      <c r="J63" s="427"/>
      <c r="K63" s="427"/>
      <c r="L63" s="427"/>
      <c r="M63" s="427"/>
      <c r="N63" s="427"/>
      <c r="O63" s="427"/>
      <c r="P63" s="427"/>
      <c r="Q63" s="427"/>
      <c r="R63" s="427"/>
      <c r="S63" s="427"/>
      <c r="T63" s="427"/>
      <c r="U63" s="427"/>
      <c r="V63" s="427"/>
      <c r="W63" s="427"/>
      <c r="X63" s="427"/>
      <c r="Y63" s="427"/>
      <c r="Z63" s="427"/>
      <c r="AA63" s="427"/>
      <c r="AB63" s="427"/>
      <c r="AC63" s="427"/>
      <c r="AD63" s="427"/>
      <c r="AE63" s="427"/>
      <c r="AF63" s="427"/>
      <c r="AG63" s="427"/>
      <c r="AH63" s="427"/>
      <c r="AI63" s="427"/>
      <c r="AJ63" s="427"/>
      <c r="AK63" s="427"/>
      <c r="AL63" s="427"/>
      <c r="AM63" s="427"/>
      <c r="AN63" s="427"/>
      <c r="AO63" s="427"/>
      <c r="AP63" s="427"/>
      <c r="AQ63" s="427"/>
      <c r="AR63" s="427"/>
      <c r="AS63" s="427"/>
      <c r="AT63" s="427"/>
      <c r="AU63" s="427"/>
      <c r="AV63" s="427"/>
      <c r="AW63" s="427"/>
      <c r="AX63" s="427"/>
      <c r="AY63" s="427"/>
      <c r="AZ63" s="427"/>
      <c r="BA63" s="10"/>
      <c r="BB63" s="10"/>
      <c r="BC63" s="10"/>
      <c r="BD63" s="10"/>
      <c r="BE63" s="10"/>
      <c r="BF63" s="10"/>
      <c r="BG63" s="10"/>
      <c r="BH63" s="10"/>
      <c r="BI63" s="10"/>
      <c r="BJ63" s="10"/>
      <c r="BK63" s="10"/>
      <c r="BL63" s="10"/>
      <c r="BM63" s="10"/>
      <c r="BN63" s="10"/>
      <c r="BO63" s="10"/>
      <c r="BP63" s="10"/>
      <c r="BQ63" s="10"/>
      <c r="BR63" s="10"/>
      <c r="BS63" s="10"/>
      <c r="BT63" s="10"/>
    </row>
    <row r="64" spans="1:72" ht="18" x14ac:dyDescent="0.2">
      <c r="A64" s="427"/>
      <c r="B64" s="426"/>
      <c r="C64" s="428"/>
      <c r="D64" s="438"/>
      <c r="E64" s="426"/>
      <c r="F64" s="427"/>
      <c r="G64" s="427"/>
      <c r="H64" s="427"/>
      <c r="I64" s="427"/>
      <c r="J64" s="427"/>
      <c r="K64" s="427"/>
      <c r="L64" s="427"/>
      <c r="M64" s="427"/>
      <c r="N64" s="427"/>
      <c r="O64" s="427"/>
      <c r="P64" s="427"/>
      <c r="Q64" s="427"/>
      <c r="R64" s="427"/>
      <c r="S64" s="427"/>
      <c r="T64" s="427"/>
      <c r="U64" s="427"/>
      <c r="V64" s="427"/>
      <c r="W64" s="427"/>
      <c r="X64" s="427"/>
      <c r="Y64" s="427"/>
      <c r="Z64" s="427"/>
      <c r="AA64" s="427"/>
      <c r="AB64" s="427"/>
      <c r="AC64" s="427"/>
      <c r="AD64" s="427"/>
      <c r="AE64" s="427"/>
      <c r="AF64" s="427"/>
      <c r="AG64" s="427"/>
      <c r="AH64" s="427"/>
      <c r="AI64" s="427"/>
      <c r="AJ64" s="427"/>
      <c r="AK64" s="427"/>
      <c r="AL64" s="427"/>
      <c r="AM64" s="427"/>
      <c r="AN64" s="427"/>
      <c r="AO64" s="427"/>
      <c r="AP64" s="427"/>
      <c r="AQ64" s="427"/>
      <c r="AR64" s="427"/>
      <c r="AS64" s="427"/>
      <c r="AT64" s="427"/>
      <c r="AU64" s="427"/>
      <c r="AV64" s="427"/>
      <c r="AW64" s="427"/>
      <c r="AX64" s="427"/>
      <c r="AY64" s="427"/>
      <c r="AZ64" s="427"/>
      <c r="BA64" s="10"/>
      <c r="BB64" s="10"/>
      <c r="BC64" s="10"/>
      <c r="BD64" s="10"/>
      <c r="BE64" s="10"/>
      <c r="BF64" s="10"/>
      <c r="BG64" s="10"/>
      <c r="BH64" s="10"/>
      <c r="BI64" s="10"/>
      <c r="BJ64" s="10"/>
      <c r="BK64" s="10"/>
      <c r="BL64" s="10"/>
      <c r="BM64" s="10"/>
      <c r="BN64" s="10"/>
      <c r="BO64" s="10"/>
      <c r="BP64" s="10"/>
      <c r="BQ64" s="10"/>
      <c r="BR64" s="10"/>
      <c r="BS64" s="10"/>
      <c r="BT64" s="10"/>
    </row>
    <row r="65" spans="1:72" ht="18" x14ac:dyDescent="0.2">
      <c r="A65" s="427"/>
      <c r="B65" s="426"/>
      <c r="C65" s="428"/>
      <c r="D65" s="438"/>
      <c r="E65" s="426"/>
      <c r="F65" s="427"/>
      <c r="G65" s="427"/>
      <c r="H65" s="427"/>
      <c r="I65" s="427"/>
      <c r="J65" s="427"/>
      <c r="K65" s="427"/>
      <c r="L65" s="427"/>
      <c r="M65" s="427"/>
      <c r="N65" s="427"/>
      <c r="O65" s="427"/>
      <c r="P65" s="427"/>
      <c r="Q65" s="427"/>
      <c r="R65" s="427"/>
      <c r="S65" s="427"/>
      <c r="T65" s="427"/>
      <c r="U65" s="427"/>
      <c r="V65" s="427"/>
      <c r="W65" s="427"/>
      <c r="X65" s="427"/>
      <c r="Y65" s="427"/>
      <c r="Z65" s="427"/>
      <c r="AA65" s="427"/>
      <c r="AB65" s="427"/>
      <c r="AC65" s="427"/>
      <c r="AD65" s="427"/>
      <c r="AE65" s="427"/>
      <c r="AF65" s="427"/>
      <c r="AG65" s="427"/>
      <c r="AH65" s="427"/>
      <c r="AI65" s="427"/>
      <c r="AJ65" s="427"/>
      <c r="AK65" s="427"/>
      <c r="AL65" s="427"/>
      <c r="AM65" s="427"/>
      <c r="AN65" s="427"/>
      <c r="AO65" s="427"/>
      <c r="AP65" s="427"/>
      <c r="AQ65" s="427"/>
      <c r="AR65" s="427"/>
      <c r="AS65" s="427"/>
      <c r="AT65" s="427"/>
      <c r="AU65" s="427"/>
      <c r="AV65" s="427"/>
      <c r="AW65" s="427"/>
      <c r="AX65" s="427"/>
      <c r="AY65" s="427"/>
      <c r="AZ65" s="427"/>
      <c r="BA65" s="10"/>
      <c r="BB65" s="10"/>
      <c r="BC65" s="10"/>
      <c r="BD65" s="10"/>
      <c r="BE65" s="10"/>
      <c r="BF65" s="10"/>
      <c r="BG65" s="10"/>
      <c r="BH65" s="10"/>
      <c r="BI65" s="10"/>
      <c r="BJ65" s="10"/>
      <c r="BK65" s="10"/>
      <c r="BL65" s="10"/>
      <c r="BM65" s="10"/>
      <c r="BN65" s="10"/>
      <c r="BO65" s="10"/>
      <c r="BP65" s="10"/>
      <c r="BQ65" s="10"/>
      <c r="BR65" s="10"/>
      <c r="BS65" s="10"/>
      <c r="BT65" s="10"/>
    </row>
    <row r="66" spans="1:72" ht="18" x14ac:dyDescent="0.2">
      <c r="A66" s="427"/>
      <c r="B66" s="426"/>
      <c r="C66" s="428"/>
      <c r="D66" s="438"/>
      <c r="E66" s="426"/>
      <c r="F66" s="427"/>
      <c r="G66" s="427"/>
      <c r="H66" s="427"/>
      <c r="I66" s="427"/>
      <c r="J66" s="427"/>
      <c r="K66" s="427"/>
      <c r="L66" s="427"/>
      <c r="M66" s="427"/>
      <c r="N66" s="427"/>
      <c r="O66" s="427"/>
      <c r="P66" s="427"/>
      <c r="Q66" s="427"/>
      <c r="R66" s="427"/>
      <c r="S66" s="427"/>
      <c r="T66" s="427"/>
      <c r="U66" s="427"/>
      <c r="V66" s="427"/>
      <c r="W66" s="427"/>
      <c r="X66" s="427"/>
      <c r="Y66" s="427"/>
      <c r="Z66" s="427"/>
      <c r="AA66" s="427"/>
      <c r="AB66" s="427"/>
      <c r="AC66" s="427"/>
      <c r="AD66" s="427"/>
      <c r="AE66" s="427"/>
      <c r="AF66" s="427"/>
      <c r="AG66" s="427"/>
      <c r="AH66" s="427"/>
      <c r="AI66" s="427"/>
      <c r="AJ66" s="427"/>
      <c r="AK66" s="427"/>
      <c r="AL66" s="427"/>
      <c r="AM66" s="427"/>
      <c r="AN66" s="427"/>
      <c r="AO66" s="427"/>
      <c r="AP66" s="427"/>
      <c r="AQ66" s="427"/>
      <c r="AR66" s="427"/>
      <c r="AS66" s="427"/>
      <c r="AT66" s="427"/>
      <c r="AU66" s="427"/>
      <c r="AV66" s="427"/>
      <c r="AW66" s="427"/>
      <c r="AX66" s="427"/>
      <c r="AY66" s="427"/>
      <c r="AZ66" s="427"/>
      <c r="BA66" s="10"/>
      <c r="BB66" s="10"/>
      <c r="BC66" s="10"/>
      <c r="BD66" s="10"/>
      <c r="BE66" s="10"/>
      <c r="BF66" s="10"/>
      <c r="BG66" s="10"/>
      <c r="BH66" s="10"/>
      <c r="BI66" s="10"/>
      <c r="BJ66" s="10"/>
      <c r="BK66" s="10"/>
      <c r="BL66" s="10"/>
      <c r="BM66" s="10"/>
      <c r="BN66" s="10"/>
      <c r="BO66" s="10"/>
      <c r="BP66" s="10"/>
      <c r="BQ66" s="10"/>
      <c r="BR66" s="10"/>
      <c r="BS66" s="10"/>
      <c r="BT66" s="10"/>
    </row>
    <row r="67" spans="1:72" ht="18" x14ac:dyDescent="0.2">
      <c r="A67" s="427"/>
      <c r="B67" s="426"/>
      <c r="C67" s="428"/>
      <c r="D67" s="438"/>
      <c r="E67" s="426"/>
      <c r="F67" s="427"/>
      <c r="G67" s="427"/>
      <c r="H67" s="427"/>
      <c r="I67" s="427"/>
      <c r="J67" s="427"/>
      <c r="K67" s="427"/>
      <c r="L67" s="427"/>
      <c r="M67" s="427"/>
      <c r="N67" s="427"/>
      <c r="O67" s="427"/>
      <c r="P67" s="427"/>
      <c r="Q67" s="427"/>
      <c r="R67" s="427"/>
      <c r="S67" s="427"/>
      <c r="T67" s="427"/>
      <c r="U67" s="427"/>
      <c r="V67" s="427"/>
      <c r="W67" s="427"/>
      <c r="X67" s="427"/>
      <c r="Y67" s="427"/>
      <c r="Z67" s="427"/>
      <c r="AA67" s="427"/>
      <c r="AB67" s="427"/>
      <c r="AC67" s="427"/>
      <c r="AD67" s="427"/>
      <c r="AE67" s="427"/>
      <c r="AF67" s="427"/>
      <c r="AG67" s="427"/>
      <c r="AH67" s="427"/>
      <c r="AI67" s="427"/>
      <c r="AJ67" s="427"/>
      <c r="AK67" s="427"/>
      <c r="AL67" s="427"/>
      <c r="AM67" s="427"/>
      <c r="AN67" s="427"/>
      <c r="AO67" s="427"/>
      <c r="AP67" s="427"/>
      <c r="AQ67" s="427"/>
      <c r="AR67" s="427"/>
      <c r="AS67" s="427"/>
      <c r="AT67" s="427"/>
      <c r="AU67" s="427"/>
      <c r="AV67" s="427"/>
      <c r="AW67" s="427"/>
      <c r="AX67" s="427"/>
      <c r="AY67" s="427"/>
      <c r="AZ67" s="427"/>
      <c r="BA67" s="10"/>
      <c r="BB67" s="10"/>
      <c r="BC67" s="10"/>
      <c r="BD67" s="10"/>
      <c r="BE67" s="10"/>
      <c r="BF67" s="10"/>
      <c r="BG67" s="10"/>
      <c r="BH67" s="10"/>
      <c r="BI67" s="10"/>
      <c r="BJ67" s="10"/>
      <c r="BK67" s="10"/>
      <c r="BL67" s="10"/>
      <c r="BM67" s="10"/>
      <c r="BN67" s="10"/>
      <c r="BO67" s="10"/>
      <c r="BP67" s="10"/>
      <c r="BQ67" s="10"/>
      <c r="BR67" s="10"/>
      <c r="BS67" s="10"/>
      <c r="BT67" s="10"/>
    </row>
    <row r="68" spans="1:72" ht="18" x14ac:dyDescent="0.2">
      <c r="A68" s="427"/>
      <c r="B68" s="426"/>
      <c r="C68" s="428"/>
      <c r="D68" s="438"/>
      <c r="E68" s="426"/>
      <c r="F68" s="427"/>
      <c r="G68" s="427"/>
      <c r="H68" s="427"/>
      <c r="I68" s="427"/>
      <c r="J68" s="427"/>
      <c r="K68" s="427"/>
      <c r="L68" s="427"/>
      <c r="M68" s="427"/>
      <c r="N68" s="427"/>
      <c r="O68" s="427"/>
      <c r="P68" s="427"/>
      <c r="Q68" s="427"/>
      <c r="R68" s="427"/>
      <c r="S68" s="427"/>
      <c r="T68" s="427"/>
      <c r="U68" s="427"/>
      <c r="V68" s="427"/>
      <c r="W68" s="427"/>
      <c r="X68" s="427"/>
      <c r="Y68" s="427"/>
      <c r="Z68" s="427"/>
      <c r="AA68" s="427"/>
      <c r="AB68" s="427"/>
      <c r="AC68" s="427"/>
      <c r="AD68" s="427"/>
      <c r="AE68" s="427"/>
      <c r="AF68" s="427"/>
      <c r="AG68" s="427"/>
      <c r="AH68" s="427"/>
      <c r="AI68" s="427"/>
      <c r="AJ68" s="427"/>
      <c r="AK68" s="427"/>
      <c r="AL68" s="427"/>
      <c r="AM68" s="427"/>
      <c r="AN68" s="427"/>
      <c r="AO68" s="427"/>
      <c r="AP68" s="427"/>
      <c r="AQ68" s="427"/>
      <c r="AR68" s="427"/>
      <c r="AS68" s="427"/>
      <c r="AT68" s="427"/>
      <c r="AU68" s="427"/>
      <c r="AV68" s="427"/>
      <c r="AW68" s="427"/>
      <c r="AX68" s="427"/>
      <c r="AY68" s="427"/>
      <c r="AZ68" s="427"/>
      <c r="BA68" s="10"/>
      <c r="BB68" s="10"/>
      <c r="BC68" s="10"/>
      <c r="BD68" s="10"/>
      <c r="BE68" s="10"/>
      <c r="BF68" s="10"/>
      <c r="BG68" s="10"/>
      <c r="BH68" s="10"/>
      <c r="BI68" s="10"/>
      <c r="BJ68" s="10"/>
      <c r="BK68" s="10"/>
      <c r="BL68" s="10"/>
      <c r="BM68" s="10"/>
      <c r="BN68" s="10"/>
      <c r="BO68" s="10"/>
      <c r="BP68" s="10"/>
      <c r="BQ68" s="10"/>
      <c r="BR68" s="10"/>
      <c r="BS68" s="10"/>
      <c r="BT68" s="10"/>
    </row>
    <row r="69" spans="1:72" ht="18" x14ac:dyDescent="0.2">
      <c r="A69" s="427"/>
      <c r="B69" s="426"/>
      <c r="C69" s="428"/>
      <c r="D69" s="438"/>
      <c r="E69" s="426"/>
      <c r="F69" s="427"/>
      <c r="G69" s="427"/>
      <c r="H69" s="427"/>
      <c r="I69" s="427"/>
      <c r="J69" s="427"/>
      <c r="K69" s="427"/>
      <c r="L69" s="427"/>
      <c r="M69" s="427"/>
      <c r="N69" s="427"/>
      <c r="O69" s="427"/>
      <c r="P69" s="427"/>
      <c r="Q69" s="427"/>
      <c r="R69" s="427"/>
      <c r="S69" s="427"/>
      <c r="T69" s="427"/>
      <c r="U69" s="427"/>
      <c r="V69" s="427"/>
      <c r="W69" s="427"/>
      <c r="X69" s="427"/>
      <c r="Y69" s="427"/>
      <c r="Z69" s="427"/>
      <c r="AA69" s="427"/>
      <c r="AB69" s="427"/>
      <c r="AC69" s="427"/>
      <c r="AD69" s="427"/>
      <c r="AE69" s="427"/>
      <c r="AF69" s="427"/>
      <c r="AG69" s="427"/>
      <c r="AH69" s="427"/>
      <c r="AI69" s="427"/>
      <c r="AJ69" s="427"/>
      <c r="AK69" s="427"/>
      <c r="AL69" s="427"/>
      <c r="AM69" s="427"/>
      <c r="AN69" s="427"/>
      <c r="AO69" s="427"/>
      <c r="AP69" s="427"/>
      <c r="AQ69" s="427"/>
      <c r="AR69" s="427"/>
      <c r="AS69" s="427"/>
      <c r="AT69" s="427"/>
      <c r="AU69" s="427"/>
      <c r="AV69" s="427"/>
      <c r="AW69" s="427"/>
      <c r="AX69" s="427"/>
      <c r="AY69" s="427"/>
      <c r="AZ69" s="427"/>
      <c r="BA69" s="10"/>
      <c r="BB69" s="10"/>
      <c r="BC69" s="10"/>
      <c r="BD69" s="10"/>
      <c r="BE69" s="10"/>
      <c r="BF69" s="10"/>
      <c r="BG69" s="10"/>
      <c r="BH69" s="10"/>
      <c r="BI69" s="10"/>
      <c r="BJ69" s="10"/>
      <c r="BK69" s="10"/>
      <c r="BL69" s="10"/>
      <c r="BM69" s="10"/>
      <c r="BN69" s="10"/>
      <c r="BO69" s="10"/>
      <c r="BP69" s="10"/>
      <c r="BQ69" s="10"/>
      <c r="BR69" s="10"/>
      <c r="BS69" s="10"/>
      <c r="BT69" s="10"/>
    </row>
    <row r="70" spans="1:72" ht="18" x14ac:dyDescent="0.2">
      <c r="A70" s="427"/>
      <c r="B70" s="426"/>
      <c r="C70" s="428"/>
      <c r="D70" s="438"/>
      <c r="E70" s="426"/>
      <c r="F70" s="427"/>
      <c r="G70" s="427"/>
      <c r="H70" s="427"/>
      <c r="I70" s="427"/>
      <c r="J70" s="427"/>
      <c r="K70" s="427"/>
      <c r="L70" s="427"/>
      <c r="M70" s="427"/>
      <c r="N70" s="427"/>
      <c r="O70" s="427"/>
      <c r="P70" s="427"/>
      <c r="Q70" s="427"/>
      <c r="R70" s="427"/>
      <c r="S70" s="427"/>
      <c r="T70" s="427"/>
      <c r="U70" s="427"/>
      <c r="V70" s="427"/>
      <c r="W70" s="427"/>
      <c r="X70" s="427"/>
      <c r="Y70" s="427"/>
      <c r="Z70" s="427"/>
      <c r="AA70" s="427"/>
      <c r="AB70" s="427"/>
      <c r="AC70" s="427"/>
      <c r="AD70" s="427"/>
      <c r="AE70" s="427"/>
      <c r="AF70" s="427"/>
      <c r="AG70" s="427"/>
      <c r="AH70" s="427"/>
      <c r="AI70" s="427"/>
      <c r="AJ70" s="427"/>
      <c r="AK70" s="427"/>
      <c r="AL70" s="427"/>
      <c r="AM70" s="427"/>
      <c r="AN70" s="427"/>
      <c r="AO70" s="427"/>
      <c r="AP70" s="427"/>
      <c r="AQ70" s="427"/>
      <c r="AR70" s="427"/>
      <c r="AS70" s="427"/>
      <c r="AT70" s="427"/>
      <c r="AU70" s="427"/>
      <c r="AV70" s="427"/>
      <c r="AW70" s="427"/>
      <c r="AX70" s="427"/>
      <c r="AY70" s="427"/>
      <c r="AZ70" s="427"/>
      <c r="BA70" s="10"/>
      <c r="BB70" s="10"/>
      <c r="BC70" s="10"/>
      <c r="BD70" s="10"/>
      <c r="BE70" s="10"/>
      <c r="BF70" s="10"/>
      <c r="BG70" s="10"/>
      <c r="BH70" s="10"/>
      <c r="BI70" s="10"/>
      <c r="BJ70" s="10"/>
      <c r="BK70" s="10"/>
      <c r="BL70" s="10"/>
      <c r="BM70" s="10"/>
      <c r="BN70" s="10"/>
      <c r="BO70" s="10"/>
      <c r="BP70" s="10"/>
      <c r="BQ70" s="10"/>
      <c r="BR70" s="10"/>
      <c r="BS70" s="10"/>
      <c r="BT70" s="10"/>
    </row>
    <row r="71" spans="1:72" ht="18" x14ac:dyDescent="0.2">
      <c r="A71" s="427"/>
      <c r="B71" s="426"/>
      <c r="C71" s="428"/>
      <c r="D71" s="438"/>
      <c r="E71" s="426"/>
      <c r="F71" s="427"/>
      <c r="G71" s="427"/>
      <c r="H71" s="427"/>
      <c r="I71" s="427"/>
      <c r="J71" s="427"/>
      <c r="K71" s="427"/>
      <c r="L71" s="427"/>
      <c r="M71" s="427"/>
      <c r="N71" s="427"/>
      <c r="O71" s="427"/>
      <c r="P71" s="427"/>
      <c r="Q71" s="427"/>
      <c r="R71" s="427"/>
      <c r="S71" s="427"/>
      <c r="T71" s="427"/>
      <c r="U71" s="427"/>
      <c r="V71" s="427"/>
      <c r="W71" s="427"/>
      <c r="X71" s="427"/>
      <c r="Y71" s="427"/>
      <c r="Z71" s="427"/>
      <c r="AA71" s="427"/>
      <c r="AB71" s="427"/>
      <c r="AC71" s="427"/>
      <c r="AD71" s="427"/>
      <c r="AE71" s="427"/>
      <c r="AF71" s="427"/>
      <c r="AG71" s="427"/>
      <c r="AH71" s="427"/>
      <c r="AI71" s="427"/>
      <c r="AJ71" s="427"/>
      <c r="AK71" s="427"/>
      <c r="AL71" s="427"/>
      <c r="AM71" s="427"/>
      <c r="AN71" s="427"/>
      <c r="AO71" s="427"/>
      <c r="AP71" s="427"/>
      <c r="AQ71" s="427"/>
      <c r="AR71" s="427"/>
      <c r="AS71" s="427"/>
      <c r="AT71" s="427"/>
      <c r="AU71" s="427"/>
      <c r="AV71" s="427"/>
      <c r="AW71" s="427"/>
      <c r="AX71" s="427"/>
      <c r="AY71" s="427"/>
      <c r="AZ71" s="427"/>
      <c r="BA71" s="10"/>
      <c r="BB71" s="10"/>
      <c r="BC71" s="10"/>
      <c r="BD71" s="10"/>
      <c r="BE71" s="10"/>
      <c r="BF71" s="10"/>
      <c r="BG71" s="10"/>
      <c r="BH71" s="10"/>
      <c r="BI71" s="10"/>
      <c r="BJ71" s="10"/>
      <c r="BK71" s="10"/>
      <c r="BL71" s="10"/>
      <c r="BM71" s="10"/>
      <c r="BN71" s="10"/>
      <c r="BO71" s="10"/>
      <c r="BP71" s="10"/>
      <c r="BQ71" s="10"/>
      <c r="BR71" s="10"/>
      <c r="BS71" s="10"/>
      <c r="BT71" s="10"/>
    </row>
    <row r="72" spans="1:72" ht="18" x14ac:dyDescent="0.2">
      <c r="A72" s="427"/>
      <c r="B72" s="426"/>
      <c r="C72" s="428"/>
      <c r="D72" s="438"/>
      <c r="E72" s="426"/>
      <c r="F72" s="427"/>
      <c r="G72" s="427"/>
      <c r="H72" s="427"/>
      <c r="I72" s="427"/>
      <c r="J72" s="427"/>
      <c r="K72" s="427"/>
      <c r="L72" s="427"/>
      <c r="M72" s="427"/>
      <c r="N72" s="427"/>
      <c r="O72" s="427"/>
      <c r="P72" s="427"/>
      <c r="Q72" s="427"/>
      <c r="R72" s="427"/>
      <c r="S72" s="427"/>
      <c r="T72" s="427"/>
      <c r="U72" s="427"/>
      <c r="V72" s="427"/>
      <c r="W72" s="427"/>
      <c r="X72" s="427"/>
      <c r="Y72" s="427"/>
      <c r="Z72" s="427"/>
      <c r="AA72" s="427"/>
      <c r="AB72" s="427"/>
      <c r="AC72" s="427"/>
      <c r="AD72" s="427"/>
      <c r="AE72" s="427"/>
      <c r="AF72" s="427"/>
      <c r="AG72" s="427"/>
      <c r="AH72" s="427"/>
      <c r="AI72" s="427"/>
      <c r="AJ72" s="427"/>
      <c r="AK72" s="427"/>
      <c r="AL72" s="427"/>
      <c r="AM72" s="427"/>
      <c r="AN72" s="427"/>
      <c r="AO72" s="427"/>
      <c r="AP72" s="427"/>
      <c r="AQ72" s="427"/>
      <c r="AR72" s="427"/>
      <c r="AS72" s="427"/>
      <c r="AT72" s="427"/>
      <c r="AU72" s="427"/>
      <c r="AV72" s="427"/>
      <c r="AW72" s="427"/>
      <c r="AX72" s="427"/>
      <c r="AY72" s="427"/>
      <c r="AZ72" s="427"/>
      <c r="BA72" s="10"/>
      <c r="BB72" s="10"/>
      <c r="BC72" s="10"/>
      <c r="BD72" s="10"/>
      <c r="BE72" s="10"/>
      <c r="BF72" s="10"/>
      <c r="BG72" s="10"/>
      <c r="BH72" s="10"/>
      <c r="BI72" s="10"/>
      <c r="BJ72" s="10"/>
      <c r="BK72" s="10"/>
      <c r="BL72" s="10"/>
      <c r="BM72" s="10"/>
      <c r="BN72" s="10"/>
      <c r="BO72" s="10"/>
      <c r="BP72" s="10"/>
      <c r="BQ72" s="10"/>
      <c r="BR72" s="10"/>
      <c r="BS72" s="10"/>
      <c r="BT72" s="10"/>
    </row>
    <row r="73" spans="1:72" ht="18" x14ac:dyDescent="0.2">
      <c r="A73" s="427"/>
      <c r="B73" s="426"/>
      <c r="C73" s="428"/>
      <c r="D73" s="438"/>
      <c r="E73" s="426"/>
      <c r="F73" s="427"/>
      <c r="G73" s="427"/>
      <c r="H73" s="427"/>
      <c r="I73" s="427"/>
      <c r="J73" s="427"/>
      <c r="K73" s="427"/>
      <c r="L73" s="427"/>
      <c r="M73" s="427"/>
      <c r="N73" s="427"/>
      <c r="O73" s="427"/>
      <c r="P73" s="427"/>
      <c r="Q73" s="427"/>
      <c r="R73" s="427"/>
      <c r="S73" s="427"/>
      <c r="T73" s="427"/>
      <c r="U73" s="427"/>
      <c r="V73" s="427"/>
      <c r="W73" s="427"/>
      <c r="X73" s="427"/>
      <c r="Y73" s="427"/>
      <c r="Z73" s="427"/>
      <c r="AA73" s="427"/>
      <c r="AB73" s="427"/>
      <c r="AC73" s="427"/>
      <c r="AD73" s="427"/>
      <c r="AE73" s="427"/>
      <c r="AF73" s="427"/>
      <c r="AG73" s="427"/>
      <c r="AH73" s="427"/>
      <c r="AI73" s="427"/>
      <c r="AJ73" s="427"/>
      <c r="AK73" s="427"/>
      <c r="AL73" s="427"/>
      <c r="AM73" s="427"/>
      <c r="AN73" s="427"/>
      <c r="AO73" s="427"/>
      <c r="AP73" s="427"/>
      <c r="AQ73" s="427"/>
      <c r="AR73" s="427"/>
      <c r="AS73" s="427"/>
      <c r="AT73" s="427"/>
      <c r="AU73" s="427"/>
      <c r="AV73" s="427"/>
      <c r="AW73" s="427"/>
      <c r="AX73" s="427"/>
      <c r="AY73" s="427"/>
      <c r="AZ73" s="427"/>
      <c r="BA73" s="10"/>
      <c r="BB73" s="10"/>
      <c r="BC73" s="10"/>
      <c r="BD73" s="10"/>
      <c r="BE73" s="10"/>
      <c r="BF73" s="10"/>
      <c r="BG73" s="10"/>
      <c r="BH73" s="10"/>
      <c r="BI73" s="10"/>
      <c r="BJ73" s="10"/>
      <c r="BK73" s="10"/>
      <c r="BL73" s="10"/>
      <c r="BM73" s="10"/>
      <c r="BN73" s="10"/>
      <c r="BO73" s="10"/>
      <c r="BP73" s="10"/>
      <c r="BQ73" s="10"/>
      <c r="BR73" s="10"/>
      <c r="BS73" s="10"/>
      <c r="BT73" s="10"/>
    </row>
    <row r="74" spans="1:72" ht="18" x14ac:dyDescent="0.2">
      <c r="A74" s="427"/>
      <c r="B74" s="426"/>
      <c r="C74" s="428"/>
      <c r="D74" s="438"/>
      <c r="E74" s="426"/>
      <c r="F74" s="427"/>
      <c r="G74" s="427"/>
      <c r="H74" s="427"/>
      <c r="I74" s="427"/>
      <c r="J74" s="427"/>
      <c r="K74" s="427"/>
      <c r="L74" s="427"/>
      <c r="M74" s="427"/>
      <c r="N74" s="427"/>
      <c r="O74" s="427"/>
      <c r="P74" s="427"/>
      <c r="Q74" s="427"/>
      <c r="R74" s="427"/>
      <c r="S74" s="427"/>
      <c r="T74" s="427"/>
      <c r="U74" s="427"/>
      <c r="V74" s="427"/>
      <c r="W74" s="427"/>
      <c r="X74" s="427"/>
      <c r="Y74" s="427"/>
      <c r="Z74" s="427"/>
      <c r="AA74" s="427"/>
      <c r="AB74" s="427"/>
      <c r="AC74" s="427"/>
      <c r="AD74" s="427"/>
      <c r="AE74" s="427"/>
      <c r="AF74" s="427"/>
      <c r="AG74" s="427"/>
      <c r="AH74" s="427"/>
      <c r="AI74" s="427"/>
      <c r="AJ74" s="427"/>
      <c r="AK74" s="427"/>
      <c r="AL74" s="427"/>
      <c r="AM74" s="427"/>
      <c r="AN74" s="427"/>
      <c r="AO74" s="427"/>
      <c r="AP74" s="427"/>
      <c r="AQ74" s="427"/>
      <c r="AR74" s="427"/>
      <c r="AS74" s="427"/>
      <c r="AT74" s="427"/>
      <c r="AU74" s="427"/>
      <c r="AV74" s="427"/>
      <c r="AW74" s="427"/>
      <c r="AX74" s="427"/>
      <c r="AY74" s="427"/>
      <c r="AZ74" s="427"/>
      <c r="BA74" s="10"/>
      <c r="BB74" s="10"/>
      <c r="BC74" s="10"/>
      <c r="BD74" s="10"/>
      <c r="BE74" s="10"/>
      <c r="BF74" s="10"/>
      <c r="BG74" s="10"/>
      <c r="BH74" s="10"/>
      <c r="BI74" s="10"/>
      <c r="BJ74" s="10"/>
      <c r="BK74" s="10"/>
      <c r="BL74" s="10"/>
      <c r="BM74" s="10"/>
      <c r="BN74" s="10"/>
      <c r="BO74" s="10"/>
      <c r="BP74" s="10"/>
      <c r="BQ74" s="10"/>
      <c r="BR74" s="10"/>
      <c r="BS74" s="10"/>
      <c r="BT74" s="10"/>
    </row>
    <row r="75" spans="1:72" ht="18" x14ac:dyDescent="0.2">
      <c r="A75" s="427"/>
      <c r="B75" s="426"/>
      <c r="C75" s="428"/>
      <c r="D75" s="438"/>
      <c r="E75" s="426"/>
      <c r="F75" s="427"/>
      <c r="G75" s="427"/>
      <c r="H75" s="427"/>
      <c r="I75" s="427"/>
      <c r="J75" s="427"/>
      <c r="K75" s="427"/>
      <c r="L75" s="427"/>
      <c r="M75" s="427"/>
      <c r="N75" s="427"/>
      <c r="O75" s="427"/>
      <c r="P75" s="427"/>
      <c r="Q75" s="427"/>
      <c r="R75" s="427"/>
      <c r="S75" s="427"/>
      <c r="T75" s="427"/>
      <c r="U75" s="427"/>
      <c r="V75" s="427"/>
      <c r="W75" s="427"/>
      <c r="X75" s="427"/>
      <c r="Y75" s="427"/>
      <c r="Z75" s="427"/>
      <c r="AA75" s="427"/>
      <c r="AB75" s="427"/>
      <c r="AC75" s="427"/>
      <c r="AD75" s="427"/>
      <c r="AE75" s="427"/>
      <c r="AF75" s="427"/>
      <c r="AG75" s="427"/>
      <c r="AH75" s="427"/>
      <c r="AI75" s="427"/>
      <c r="AJ75" s="427"/>
      <c r="AK75" s="427"/>
      <c r="AL75" s="427"/>
      <c r="AM75" s="427"/>
      <c r="AN75" s="427"/>
      <c r="AO75" s="427"/>
      <c r="AP75" s="427"/>
      <c r="AQ75" s="427"/>
      <c r="AR75" s="427"/>
      <c r="AS75" s="427"/>
      <c r="AT75" s="427"/>
      <c r="AU75" s="427"/>
      <c r="AV75" s="427"/>
      <c r="AW75" s="427"/>
      <c r="AX75" s="427"/>
      <c r="AY75" s="427"/>
      <c r="AZ75" s="427"/>
      <c r="BA75" s="10"/>
      <c r="BB75" s="10"/>
      <c r="BC75" s="10"/>
      <c r="BD75" s="10"/>
      <c r="BE75" s="10"/>
      <c r="BF75" s="10"/>
      <c r="BG75" s="10"/>
      <c r="BH75" s="10"/>
      <c r="BI75" s="10"/>
      <c r="BJ75" s="10"/>
      <c r="BK75" s="10"/>
      <c r="BL75" s="10"/>
      <c r="BM75" s="10"/>
      <c r="BN75" s="10"/>
      <c r="BO75" s="10"/>
      <c r="BP75" s="10"/>
      <c r="BQ75" s="10"/>
      <c r="BR75" s="10"/>
      <c r="BS75" s="10"/>
      <c r="BT75" s="10"/>
    </row>
    <row r="76" spans="1:72" ht="18" x14ac:dyDescent="0.2">
      <c r="A76" s="427"/>
      <c r="B76" s="426"/>
      <c r="C76" s="428"/>
      <c r="D76" s="438"/>
      <c r="E76" s="426"/>
      <c r="F76" s="427"/>
      <c r="G76" s="427"/>
      <c r="H76" s="427"/>
      <c r="I76" s="427"/>
      <c r="J76" s="427"/>
      <c r="K76" s="427"/>
      <c r="L76" s="427"/>
      <c r="M76" s="427"/>
      <c r="N76" s="427"/>
      <c r="O76" s="427"/>
      <c r="P76" s="427"/>
      <c r="Q76" s="427"/>
      <c r="R76" s="427"/>
      <c r="S76" s="427"/>
      <c r="T76" s="427"/>
      <c r="U76" s="427"/>
      <c r="V76" s="427"/>
      <c r="W76" s="427"/>
      <c r="X76" s="427"/>
      <c r="Y76" s="427"/>
      <c r="Z76" s="427"/>
      <c r="AA76" s="427"/>
      <c r="AB76" s="427"/>
      <c r="AC76" s="427"/>
      <c r="AD76" s="427"/>
      <c r="AE76" s="427"/>
      <c r="AF76" s="427"/>
      <c r="AG76" s="427"/>
      <c r="AH76" s="427"/>
      <c r="AI76" s="427"/>
      <c r="AJ76" s="427"/>
      <c r="AK76" s="427"/>
      <c r="AL76" s="427"/>
      <c r="AM76" s="427"/>
      <c r="AN76" s="427"/>
      <c r="AO76" s="427"/>
      <c r="AP76" s="427"/>
      <c r="AQ76" s="427"/>
      <c r="AR76" s="427"/>
      <c r="AS76" s="427"/>
      <c r="AT76" s="427"/>
      <c r="AU76" s="427"/>
      <c r="AV76" s="427"/>
      <c r="AW76" s="427"/>
      <c r="AX76" s="427"/>
      <c r="AY76" s="427"/>
      <c r="AZ76" s="427"/>
      <c r="BA76" s="10"/>
      <c r="BB76" s="10"/>
      <c r="BC76" s="10"/>
      <c r="BD76" s="10"/>
      <c r="BE76" s="10"/>
      <c r="BF76" s="10"/>
      <c r="BG76" s="10"/>
      <c r="BH76" s="10"/>
      <c r="BI76" s="10"/>
      <c r="BJ76" s="10"/>
      <c r="BK76" s="10"/>
      <c r="BL76" s="10"/>
      <c r="BM76" s="10"/>
      <c r="BN76" s="10"/>
      <c r="BO76" s="10"/>
      <c r="BP76" s="10"/>
      <c r="BQ76" s="10"/>
      <c r="BR76" s="10"/>
      <c r="BS76" s="10"/>
      <c r="BT76" s="10"/>
    </row>
    <row r="77" spans="1:72" ht="18" x14ac:dyDescent="0.2">
      <c r="A77" s="427"/>
      <c r="B77" s="426"/>
      <c r="C77" s="428"/>
      <c r="D77" s="438"/>
      <c r="E77" s="426"/>
      <c r="F77" s="427"/>
      <c r="G77" s="427"/>
      <c r="H77" s="427"/>
      <c r="I77" s="427"/>
      <c r="J77" s="427"/>
      <c r="K77" s="427"/>
      <c r="L77" s="427"/>
      <c r="M77" s="427"/>
      <c r="N77" s="427"/>
      <c r="O77" s="427"/>
      <c r="P77" s="427"/>
      <c r="Q77" s="427"/>
      <c r="R77" s="427"/>
      <c r="S77" s="427"/>
      <c r="T77" s="427"/>
      <c r="U77" s="427"/>
      <c r="V77" s="427"/>
      <c r="W77" s="427"/>
      <c r="X77" s="427"/>
      <c r="Y77" s="427"/>
      <c r="Z77" s="427"/>
      <c r="AA77" s="427"/>
      <c r="AB77" s="427"/>
      <c r="AC77" s="427"/>
      <c r="AD77" s="427"/>
      <c r="AE77" s="427"/>
      <c r="AF77" s="427"/>
      <c r="AG77" s="427"/>
      <c r="AH77" s="427"/>
      <c r="AI77" s="427"/>
      <c r="AJ77" s="427"/>
      <c r="AK77" s="427"/>
      <c r="AL77" s="427"/>
      <c r="AM77" s="427"/>
      <c r="AN77" s="427"/>
      <c r="AO77" s="427"/>
      <c r="AP77" s="427"/>
      <c r="AQ77" s="427"/>
      <c r="AR77" s="427"/>
      <c r="AS77" s="427"/>
      <c r="AT77" s="427"/>
      <c r="AU77" s="427"/>
      <c r="AV77" s="427"/>
      <c r="AW77" s="427"/>
      <c r="AX77" s="427"/>
      <c r="AY77" s="427"/>
      <c r="AZ77" s="427"/>
      <c r="BA77" s="10"/>
      <c r="BB77" s="10"/>
      <c r="BC77" s="10"/>
      <c r="BD77" s="10"/>
      <c r="BE77" s="10"/>
      <c r="BF77" s="10"/>
      <c r="BG77" s="10"/>
      <c r="BH77" s="10"/>
      <c r="BI77" s="10"/>
      <c r="BJ77" s="10"/>
      <c r="BK77" s="10"/>
      <c r="BL77" s="10"/>
      <c r="BM77" s="10"/>
      <c r="BN77" s="10"/>
      <c r="BO77" s="10"/>
      <c r="BP77" s="10"/>
      <c r="BQ77" s="10"/>
      <c r="BR77" s="10"/>
      <c r="BS77" s="10"/>
      <c r="BT77" s="10"/>
    </row>
    <row r="78" spans="1:72" ht="18" x14ac:dyDescent="0.2">
      <c r="A78" s="427"/>
      <c r="B78" s="426"/>
      <c r="C78" s="428"/>
      <c r="D78" s="438"/>
      <c r="E78" s="426"/>
      <c r="F78" s="427"/>
      <c r="G78" s="427"/>
      <c r="H78" s="427"/>
      <c r="I78" s="427"/>
      <c r="J78" s="427"/>
      <c r="K78" s="427"/>
      <c r="L78" s="427"/>
      <c r="M78" s="427"/>
      <c r="N78" s="427"/>
      <c r="O78" s="427"/>
      <c r="P78" s="427"/>
      <c r="Q78" s="427"/>
      <c r="R78" s="427"/>
      <c r="S78" s="427"/>
      <c r="T78" s="427"/>
      <c r="U78" s="427"/>
      <c r="V78" s="427"/>
      <c r="W78" s="427"/>
      <c r="X78" s="427"/>
      <c r="Y78" s="427"/>
      <c r="Z78" s="427"/>
      <c r="AA78" s="427"/>
      <c r="AB78" s="427"/>
      <c r="AC78" s="427"/>
      <c r="AD78" s="427"/>
      <c r="AE78" s="427"/>
      <c r="AF78" s="427"/>
      <c r="AG78" s="427"/>
      <c r="AH78" s="427"/>
      <c r="AI78" s="427"/>
      <c r="AJ78" s="427"/>
      <c r="AK78" s="427"/>
      <c r="AL78" s="427"/>
      <c r="AM78" s="427"/>
      <c r="AN78" s="427"/>
      <c r="AO78" s="427"/>
      <c r="AP78" s="427"/>
      <c r="AQ78" s="427"/>
      <c r="AR78" s="427"/>
      <c r="AS78" s="427"/>
      <c r="AT78" s="427"/>
      <c r="AU78" s="427"/>
      <c r="AV78" s="427"/>
      <c r="AW78" s="427"/>
      <c r="AX78" s="427"/>
      <c r="AY78" s="427"/>
      <c r="AZ78" s="427"/>
      <c r="BA78" s="10"/>
      <c r="BB78" s="10"/>
      <c r="BC78" s="10"/>
      <c r="BD78" s="10"/>
      <c r="BE78" s="10"/>
      <c r="BF78" s="10"/>
      <c r="BG78" s="10"/>
      <c r="BH78" s="10"/>
      <c r="BI78" s="10"/>
      <c r="BJ78" s="10"/>
      <c r="BK78" s="10"/>
      <c r="BL78" s="10"/>
      <c r="BM78" s="10"/>
      <c r="BN78" s="10"/>
      <c r="BO78" s="10"/>
      <c r="BP78" s="10"/>
      <c r="BQ78" s="10"/>
      <c r="BR78" s="10"/>
      <c r="BS78" s="10"/>
      <c r="BT78" s="10"/>
    </row>
    <row r="79" spans="1:72" ht="18" x14ac:dyDescent="0.2">
      <c r="A79" s="427"/>
      <c r="B79" s="426"/>
      <c r="C79" s="428"/>
      <c r="D79" s="438"/>
      <c r="E79" s="426"/>
      <c r="F79" s="427"/>
      <c r="G79" s="427"/>
      <c r="H79" s="427"/>
      <c r="I79" s="427"/>
      <c r="J79" s="427"/>
      <c r="K79" s="427"/>
      <c r="L79" s="427"/>
      <c r="M79" s="427"/>
      <c r="N79" s="427"/>
      <c r="O79" s="427"/>
      <c r="P79" s="427"/>
      <c r="Q79" s="427"/>
      <c r="R79" s="427"/>
      <c r="S79" s="427"/>
      <c r="T79" s="427"/>
      <c r="U79" s="427"/>
      <c r="V79" s="427"/>
      <c r="W79" s="427"/>
      <c r="X79" s="427"/>
      <c r="Y79" s="427"/>
      <c r="Z79" s="427"/>
      <c r="AA79" s="427"/>
      <c r="AB79" s="427"/>
      <c r="AC79" s="427"/>
      <c r="AD79" s="427"/>
      <c r="AE79" s="427"/>
      <c r="AF79" s="427"/>
      <c r="AG79" s="427"/>
      <c r="AH79" s="427"/>
      <c r="AI79" s="427"/>
      <c r="AJ79" s="427"/>
      <c r="AK79" s="427"/>
      <c r="AL79" s="427"/>
      <c r="AM79" s="427"/>
      <c r="AN79" s="427"/>
      <c r="AO79" s="427"/>
      <c r="AP79" s="427"/>
      <c r="AQ79" s="427"/>
      <c r="AR79" s="427"/>
      <c r="AS79" s="427"/>
      <c r="AT79" s="427"/>
      <c r="AU79" s="427"/>
      <c r="AV79" s="427"/>
      <c r="AW79" s="427"/>
      <c r="AX79" s="427"/>
      <c r="AY79" s="427"/>
      <c r="AZ79" s="427"/>
      <c r="BA79" s="10"/>
      <c r="BB79" s="10"/>
      <c r="BC79" s="10"/>
      <c r="BD79" s="10"/>
      <c r="BE79" s="10"/>
      <c r="BF79" s="10"/>
      <c r="BG79" s="10"/>
      <c r="BH79" s="10"/>
      <c r="BI79" s="10"/>
      <c r="BJ79" s="10"/>
      <c r="BK79" s="10"/>
      <c r="BL79" s="10"/>
      <c r="BM79" s="10"/>
      <c r="BN79" s="10"/>
      <c r="BO79" s="10"/>
      <c r="BP79" s="10"/>
      <c r="BQ79" s="10"/>
      <c r="BR79" s="10"/>
      <c r="BS79" s="10"/>
      <c r="BT79" s="10"/>
    </row>
    <row r="80" spans="1:72" ht="18" x14ac:dyDescent="0.2">
      <c r="A80" s="427"/>
      <c r="B80" s="426"/>
      <c r="C80" s="428"/>
      <c r="D80" s="438"/>
      <c r="E80" s="426"/>
      <c r="F80" s="427"/>
      <c r="G80" s="427"/>
      <c r="H80" s="427"/>
      <c r="I80" s="427"/>
      <c r="J80" s="427"/>
      <c r="K80" s="427"/>
      <c r="L80" s="427"/>
      <c r="M80" s="427"/>
      <c r="N80" s="427"/>
      <c r="O80" s="427"/>
      <c r="P80" s="427"/>
      <c r="Q80" s="427"/>
      <c r="R80" s="427"/>
      <c r="S80" s="427"/>
      <c r="T80" s="427"/>
      <c r="U80" s="427"/>
      <c r="V80" s="427"/>
      <c r="W80" s="427"/>
      <c r="X80" s="427"/>
      <c r="Y80" s="427"/>
      <c r="Z80" s="427"/>
      <c r="AA80" s="427"/>
      <c r="AB80" s="427"/>
      <c r="AC80" s="427"/>
      <c r="AD80" s="427"/>
      <c r="AE80" s="427"/>
      <c r="AF80" s="427"/>
      <c r="AG80" s="427"/>
      <c r="AH80" s="427"/>
      <c r="AI80" s="427"/>
      <c r="AJ80" s="427"/>
      <c r="AK80" s="427"/>
      <c r="AL80" s="427"/>
      <c r="AM80" s="427"/>
      <c r="AN80" s="427"/>
      <c r="AO80" s="427"/>
      <c r="AP80" s="427"/>
      <c r="AQ80" s="427"/>
      <c r="AR80" s="427"/>
      <c r="AS80" s="427"/>
      <c r="AT80" s="427"/>
      <c r="AU80" s="427"/>
      <c r="AV80" s="427"/>
      <c r="AW80" s="427"/>
      <c r="AX80" s="427"/>
      <c r="AY80" s="427"/>
      <c r="AZ80" s="427"/>
      <c r="BA80" s="10"/>
      <c r="BB80" s="10"/>
      <c r="BC80" s="10"/>
      <c r="BD80" s="10"/>
      <c r="BE80" s="10"/>
      <c r="BF80" s="10"/>
      <c r="BG80" s="10"/>
      <c r="BH80" s="10"/>
      <c r="BI80" s="10"/>
      <c r="BJ80" s="10"/>
      <c r="BK80" s="10"/>
      <c r="BL80" s="10"/>
      <c r="BM80" s="10"/>
      <c r="BN80" s="10"/>
      <c r="BO80" s="10"/>
      <c r="BP80" s="10"/>
      <c r="BQ80" s="10"/>
      <c r="BR80" s="10"/>
      <c r="BS80" s="10"/>
      <c r="BT80" s="10"/>
    </row>
    <row r="81" spans="1:72" ht="18" x14ac:dyDescent="0.2">
      <c r="A81" s="427"/>
      <c r="B81" s="426"/>
      <c r="C81" s="428"/>
      <c r="D81" s="438"/>
      <c r="E81" s="426"/>
      <c r="F81" s="427"/>
      <c r="G81" s="427"/>
      <c r="H81" s="427"/>
      <c r="I81" s="427"/>
      <c r="J81" s="427"/>
      <c r="K81" s="427"/>
      <c r="L81" s="427"/>
      <c r="M81" s="427"/>
      <c r="N81" s="427"/>
      <c r="O81" s="427"/>
      <c r="P81" s="427"/>
      <c r="Q81" s="427"/>
      <c r="R81" s="427"/>
      <c r="S81" s="427"/>
      <c r="T81" s="427"/>
      <c r="U81" s="427"/>
      <c r="V81" s="427"/>
      <c r="W81" s="427"/>
      <c r="X81" s="427"/>
      <c r="Y81" s="427"/>
      <c r="Z81" s="427"/>
      <c r="AA81" s="427"/>
      <c r="AB81" s="427"/>
      <c r="AC81" s="427"/>
      <c r="AD81" s="427"/>
      <c r="AE81" s="427"/>
      <c r="AF81" s="427"/>
      <c r="AG81" s="427"/>
      <c r="AH81" s="427"/>
      <c r="AI81" s="427"/>
      <c r="AJ81" s="427"/>
      <c r="AK81" s="427"/>
      <c r="AL81" s="427"/>
      <c r="AM81" s="427"/>
      <c r="AN81" s="427"/>
      <c r="AO81" s="427"/>
      <c r="AP81" s="427"/>
      <c r="AQ81" s="427"/>
      <c r="AR81" s="427"/>
      <c r="AS81" s="427"/>
      <c r="AT81" s="427"/>
      <c r="AU81" s="427"/>
      <c r="AV81" s="427"/>
      <c r="AW81" s="427"/>
      <c r="AX81" s="427"/>
      <c r="AY81" s="427"/>
      <c r="AZ81" s="427"/>
      <c r="BA81" s="10"/>
      <c r="BB81" s="10"/>
      <c r="BC81" s="10"/>
      <c r="BD81" s="10"/>
      <c r="BE81" s="10"/>
      <c r="BF81" s="10"/>
      <c r="BG81" s="10"/>
      <c r="BH81" s="10"/>
      <c r="BI81" s="10"/>
      <c r="BJ81" s="10"/>
      <c r="BK81" s="10"/>
      <c r="BL81" s="10"/>
      <c r="BM81" s="10"/>
      <c r="BN81" s="10"/>
      <c r="BO81" s="10"/>
      <c r="BP81" s="10"/>
      <c r="BQ81" s="10"/>
      <c r="BR81" s="10"/>
      <c r="BS81" s="10"/>
      <c r="BT81" s="10"/>
    </row>
    <row r="82" spans="1:72" ht="18" x14ac:dyDescent="0.2">
      <c r="A82" s="427"/>
      <c r="B82" s="426"/>
      <c r="C82" s="428"/>
      <c r="D82" s="438"/>
      <c r="E82" s="426"/>
      <c r="F82" s="427"/>
      <c r="G82" s="427"/>
      <c r="H82" s="427"/>
      <c r="I82" s="427"/>
      <c r="J82" s="427"/>
      <c r="K82" s="427"/>
      <c r="L82" s="427"/>
      <c r="M82" s="427"/>
      <c r="N82" s="427"/>
      <c r="O82" s="427"/>
      <c r="P82" s="427"/>
      <c r="Q82" s="427"/>
      <c r="R82" s="427"/>
      <c r="S82" s="427"/>
      <c r="T82" s="427"/>
      <c r="U82" s="427"/>
      <c r="V82" s="427"/>
      <c r="W82" s="427"/>
      <c r="X82" s="427"/>
      <c r="Y82" s="427"/>
      <c r="Z82" s="427"/>
      <c r="AA82" s="427"/>
      <c r="AB82" s="427"/>
      <c r="AC82" s="427"/>
      <c r="AD82" s="427"/>
      <c r="AE82" s="427"/>
      <c r="AF82" s="427"/>
      <c r="AG82" s="427"/>
      <c r="AH82" s="427"/>
      <c r="AI82" s="427"/>
      <c r="AJ82" s="427"/>
      <c r="AK82" s="427"/>
      <c r="AL82" s="427"/>
      <c r="AM82" s="427"/>
      <c r="AN82" s="427"/>
      <c r="AO82" s="427"/>
      <c r="AP82" s="427"/>
      <c r="AQ82" s="427"/>
      <c r="AR82" s="427"/>
      <c r="AS82" s="427"/>
      <c r="AT82" s="427"/>
      <c r="AU82" s="427"/>
      <c r="AV82" s="427"/>
      <c r="AW82" s="427"/>
      <c r="AX82" s="427"/>
      <c r="AY82" s="427"/>
      <c r="AZ82" s="427"/>
      <c r="BA82" s="10"/>
      <c r="BB82" s="10"/>
      <c r="BC82" s="10"/>
      <c r="BD82" s="10"/>
      <c r="BE82" s="10"/>
      <c r="BF82" s="10"/>
      <c r="BG82" s="10"/>
      <c r="BH82" s="10"/>
      <c r="BI82" s="10"/>
      <c r="BJ82" s="10"/>
      <c r="BK82" s="10"/>
      <c r="BL82" s="10"/>
      <c r="BM82" s="10"/>
      <c r="BN82" s="10"/>
      <c r="BO82" s="10"/>
      <c r="BP82" s="10"/>
      <c r="BQ82" s="10"/>
      <c r="BR82" s="10"/>
      <c r="BS82" s="10"/>
      <c r="BT82" s="10"/>
    </row>
    <row r="83" spans="1:72" ht="18" x14ac:dyDescent="0.2">
      <c r="A83" s="427"/>
      <c r="B83" s="426"/>
      <c r="C83" s="428"/>
      <c r="D83" s="438"/>
      <c r="E83" s="426"/>
      <c r="F83" s="427"/>
      <c r="G83" s="427"/>
      <c r="H83" s="427"/>
      <c r="I83" s="427"/>
      <c r="J83" s="427"/>
      <c r="K83" s="427"/>
      <c r="L83" s="427"/>
      <c r="M83" s="427"/>
      <c r="N83" s="427"/>
      <c r="O83" s="427"/>
      <c r="P83" s="427"/>
      <c r="Q83" s="427"/>
      <c r="R83" s="427"/>
      <c r="S83" s="427"/>
      <c r="T83" s="427"/>
      <c r="U83" s="427"/>
      <c r="V83" s="427"/>
      <c r="W83" s="427"/>
      <c r="X83" s="427"/>
      <c r="Y83" s="427"/>
      <c r="Z83" s="427"/>
      <c r="AA83" s="427"/>
      <c r="AB83" s="427"/>
      <c r="AC83" s="427"/>
      <c r="AD83" s="427"/>
      <c r="AE83" s="427"/>
      <c r="AF83" s="427"/>
      <c r="AG83" s="427"/>
      <c r="AH83" s="427"/>
      <c r="AI83" s="427"/>
      <c r="AJ83" s="427"/>
      <c r="AK83" s="427"/>
      <c r="AL83" s="427"/>
      <c r="AM83" s="427"/>
      <c r="AN83" s="427"/>
      <c r="AO83" s="427"/>
      <c r="AP83" s="427"/>
      <c r="AQ83" s="427"/>
      <c r="AR83" s="427"/>
      <c r="AS83" s="427"/>
      <c r="AT83" s="427"/>
      <c r="AU83" s="427"/>
      <c r="AV83" s="427"/>
      <c r="AW83" s="427"/>
      <c r="AX83" s="427"/>
      <c r="AY83" s="427"/>
      <c r="AZ83" s="427"/>
      <c r="BA83" s="10"/>
      <c r="BB83" s="10"/>
      <c r="BC83" s="10"/>
      <c r="BD83" s="10"/>
      <c r="BE83" s="10"/>
      <c r="BF83" s="10"/>
      <c r="BG83" s="10"/>
      <c r="BH83" s="10"/>
      <c r="BI83" s="10"/>
      <c r="BJ83" s="10"/>
      <c r="BK83" s="10"/>
      <c r="BL83" s="10"/>
      <c r="BM83" s="10"/>
      <c r="BN83" s="10"/>
      <c r="BO83" s="10"/>
      <c r="BP83" s="10"/>
      <c r="BQ83" s="10"/>
      <c r="BR83" s="10"/>
      <c r="BS83" s="10"/>
      <c r="BT83" s="10"/>
    </row>
    <row r="84" spans="1:72" ht="18" x14ac:dyDescent="0.2">
      <c r="A84" s="427"/>
      <c r="B84" s="426"/>
      <c r="C84" s="428"/>
      <c r="D84" s="438"/>
      <c r="E84" s="426"/>
      <c r="F84" s="427"/>
      <c r="G84" s="427"/>
      <c r="H84" s="427"/>
      <c r="I84" s="427"/>
      <c r="J84" s="427"/>
      <c r="K84" s="427"/>
      <c r="L84" s="427"/>
      <c r="M84" s="427"/>
      <c r="N84" s="427"/>
      <c r="O84" s="427"/>
      <c r="P84" s="427"/>
      <c r="Q84" s="427"/>
      <c r="R84" s="427"/>
      <c r="S84" s="427"/>
      <c r="T84" s="427"/>
      <c r="U84" s="427"/>
      <c r="V84" s="427"/>
      <c r="W84" s="427"/>
      <c r="X84" s="427"/>
      <c r="Y84" s="427"/>
      <c r="Z84" s="427"/>
      <c r="AA84" s="427"/>
      <c r="AB84" s="427"/>
      <c r="AC84" s="427"/>
      <c r="AD84" s="427"/>
      <c r="AE84" s="427"/>
      <c r="AF84" s="427"/>
      <c r="AG84" s="427"/>
      <c r="AH84" s="427"/>
      <c r="AI84" s="427"/>
      <c r="AJ84" s="427"/>
      <c r="AK84" s="427"/>
      <c r="AL84" s="427"/>
      <c r="AM84" s="427"/>
      <c r="AN84" s="427"/>
      <c r="AO84" s="427"/>
      <c r="AP84" s="427"/>
      <c r="AQ84" s="427"/>
      <c r="AR84" s="427"/>
      <c r="AS84" s="427"/>
      <c r="AT84" s="427"/>
      <c r="AU84" s="427"/>
      <c r="AV84" s="427"/>
      <c r="AW84" s="427"/>
      <c r="AX84" s="427"/>
      <c r="AY84" s="427"/>
      <c r="AZ84" s="427"/>
      <c r="BA84" s="10"/>
      <c r="BB84" s="10"/>
      <c r="BC84" s="10"/>
      <c r="BD84" s="10"/>
      <c r="BE84" s="10"/>
      <c r="BF84" s="10"/>
      <c r="BG84" s="10"/>
      <c r="BH84" s="10"/>
      <c r="BI84" s="10"/>
      <c r="BJ84" s="10"/>
      <c r="BK84" s="10"/>
      <c r="BL84" s="10"/>
      <c r="BM84" s="10"/>
      <c r="BN84" s="10"/>
      <c r="BO84" s="10"/>
      <c r="BP84" s="10"/>
      <c r="BQ84" s="10"/>
      <c r="BR84" s="10"/>
      <c r="BS84" s="10"/>
      <c r="BT84" s="10"/>
    </row>
    <row r="85" spans="1:72" ht="18" x14ac:dyDescent="0.2">
      <c r="A85" s="427"/>
      <c r="B85" s="426"/>
      <c r="C85" s="428"/>
      <c r="D85" s="438"/>
      <c r="E85" s="426"/>
      <c r="F85" s="427"/>
      <c r="G85" s="427"/>
      <c r="H85" s="427"/>
      <c r="I85" s="427"/>
      <c r="J85" s="427"/>
      <c r="K85" s="427"/>
      <c r="L85" s="427"/>
      <c r="M85" s="427"/>
      <c r="N85" s="427"/>
      <c r="O85" s="427"/>
      <c r="P85" s="427"/>
      <c r="Q85" s="427"/>
      <c r="R85" s="427"/>
      <c r="S85" s="427"/>
      <c r="T85" s="427"/>
      <c r="U85" s="427"/>
      <c r="V85" s="427"/>
      <c r="W85" s="427"/>
      <c r="X85" s="427"/>
      <c r="Y85" s="427"/>
      <c r="Z85" s="427"/>
      <c r="AA85" s="427"/>
      <c r="AB85" s="427"/>
      <c r="AC85" s="427"/>
      <c r="AD85" s="427"/>
      <c r="AE85" s="427"/>
      <c r="AF85" s="427"/>
      <c r="AG85" s="427"/>
      <c r="AH85" s="427"/>
      <c r="AI85" s="427"/>
      <c r="AJ85" s="427"/>
      <c r="AK85" s="427"/>
      <c r="AL85" s="427"/>
      <c r="AM85" s="427"/>
      <c r="AN85" s="427"/>
      <c r="AO85" s="427"/>
      <c r="AP85" s="427"/>
      <c r="AQ85" s="427"/>
      <c r="AR85" s="427"/>
      <c r="AS85" s="427"/>
      <c r="AT85" s="427"/>
      <c r="AU85" s="427"/>
      <c r="AV85" s="427"/>
      <c r="AW85" s="427"/>
      <c r="AX85" s="427"/>
      <c r="AY85" s="427"/>
      <c r="AZ85" s="427"/>
      <c r="BA85" s="10"/>
      <c r="BB85" s="10"/>
      <c r="BC85" s="10"/>
      <c r="BD85" s="10"/>
      <c r="BE85" s="10"/>
      <c r="BF85" s="10"/>
      <c r="BG85" s="10"/>
      <c r="BH85" s="10"/>
      <c r="BI85" s="10"/>
      <c r="BJ85" s="10"/>
      <c r="BK85" s="10"/>
      <c r="BL85" s="10"/>
      <c r="BM85" s="10"/>
      <c r="BN85" s="10"/>
      <c r="BO85" s="10"/>
      <c r="BP85" s="10"/>
      <c r="BQ85" s="10"/>
      <c r="BR85" s="10"/>
      <c r="BS85" s="10"/>
      <c r="BT85" s="10"/>
    </row>
    <row r="86" spans="1:72" ht="18" x14ac:dyDescent="0.2">
      <c r="A86" s="427"/>
      <c r="B86" s="426"/>
      <c r="C86" s="428"/>
      <c r="D86" s="438"/>
      <c r="E86" s="426"/>
      <c r="F86" s="427"/>
      <c r="G86" s="427"/>
      <c r="H86" s="427"/>
      <c r="I86" s="427"/>
      <c r="J86" s="427"/>
      <c r="K86" s="427"/>
      <c r="L86" s="427"/>
      <c r="M86" s="427"/>
      <c r="N86" s="427"/>
      <c r="O86" s="427"/>
      <c r="P86" s="427"/>
      <c r="Q86" s="427"/>
      <c r="R86" s="427"/>
      <c r="S86" s="427"/>
      <c r="T86" s="427"/>
      <c r="U86" s="427"/>
      <c r="V86" s="427"/>
      <c r="W86" s="427"/>
      <c r="X86" s="427"/>
      <c r="Y86" s="427"/>
      <c r="Z86" s="427"/>
      <c r="AA86" s="427"/>
      <c r="AB86" s="427"/>
      <c r="AC86" s="427"/>
      <c r="AD86" s="427"/>
      <c r="AE86" s="427"/>
      <c r="AF86" s="427"/>
      <c r="AG86" s="427"/>
      <c r="AH86" s="427"/>
      <c r="AI86" s="427"/>
      <c r="AJ86" s="427"/>
      <c r="AK86" s="427"/>
      <c r="AL86" s="427"/>
      <c r="AM86" s="427"/>
      <c r="AN86" s="427"/>
      <c r="AO86" s="427"/>
      <c r="AP86" s="427"/>
      <c r="AQ86" s="427"/>
      <c r="AR86" s="427"/>
      <c r="AS86" s="427"/>
      <c r="AT86" s="427"/>
      <c r="AU86" s="427"/>
      <c r="AV86" s="427"/>
      <c r="AW86" s="427"/>
      <c r="AX86" s="427"/>
      <c r="AY86" s="427"/>
      <c r="AZ86" s="427"/>
      <c r="BA86" s="10"/>
      <c r="BB86" s="10"/>
      <c r="BC86" s="10"/>
      <c r="BD86" s="10"/>
      <c r="BE86" s="10"/>
      <c r="BF86" s="10"/>
      <c r="BG86" s="10"/>
      <c r="BH86" s="10"/>
      <c r="BI86" s="10"/>
      <c r="BJ86" s="10"/>
      <c r="BK86" s="10"/>
      <c r="BL86" s="10"/>
      <c r="BM86" s="10"/>
      <c r="BN86" s="10"/>
      <c r="BO86" s="10"/>
      <c r="BP86" s="10"/>
      <c r="BQ86" s="10"/>
      <c r="BR86" s="10"/>
      <c r="BS86" s="10"/>
      <c r="BT86" s="10"/>
    </row>
    <row r="87" spans="1:72" ht="18" x14ac:dyDescent="0.2">
      <c r="A87" s="427"/>
      <c r="B87" s="426"/>
      <c r="C87" s="428"/>
      <c r="D87" s="438"/>
      <c r="E87" s="426"/>
      <c r="F87" s="427"/>
      <c r="G87" s="427"/>
      <c r="H87" s="427"/>
      <c r="I87" s="427"/>
      <c r="J87" s="427"/>
      <c r="K87" s="427"/>
      <c r="L87" s="427"/>
      <c r="M87" s="427"/>
      <c r="N87" s="427"/>
      <c r="O87" s="427"/>
      <c r="P87" s="427"/>
      <c r="Q87" s="427"/>
      <c r="R87" s="427"/>
      <c r="S87" s="427"/>
      <c r="T87" s="427"/>
      <c r="U87" s="427"/>
      <c r="V87" s="427"/>
      <c r="W87" s="427"/>
      <c r="X87" s="427"/>
      <c r="Y87" s="427"/>
      <c r="Z87" s="427"/>
      <c r="AA87" s="427"/>
      <c r="AB87" s="427"/>
      <c r="AC87" s="427"/>
      <c r="AD87" s="427"/>
      <c r="AE87" s="427"/>
      <c r="AF87" s="427"/>
      <c r="AG87" s="427"/>
      <c r="AH87" s="427"/>
      <c r="AI87" s="427"/>
      <c r="AJ87" s="427"/>
      <c r="AK87" s="427"/>
      <c r="AL87" s="427"/>
      <c r="AM87" s="427"/>
      <c r="AN87" s="427"/>
      <c r="AO87" s="427"/>
      <c r="AP87" s="427"/>
      <c r="AQ87" s="427"/>
      <c r="AR87" s="427"/>
      <c r="AS87" s="427"/>
      <c r="AT87" s="427"/>
      <c r="AU87" s="427"/>
      <c r="AV87" s="427"/>
      <c r="AW87" s="427"/>
      <c r="AX87" s="427"/>
      <c r="AY87" s="427"/>
      <c r="AZ87" s="427"/>
      <c r="BA87" s="10"/>
      <c r="BB87" s="10"/>
      <c r="BC87" s="10"/>
      <c r="BD87" s="10"/>
      <c r="BE87" s="10"/>
      <c r="BF87" s="10"/>
      <c r="BG87" s="10"/>
      <c r="BH87" s="10"/>
      <c r="BI87" s="10"/>
      <c r="BJ87" s="10"/>
      <c r="BK87" s="10"/>
      <c r="BL87" s="10"/>
      <c r="BM87" s="10"/>
      <c r="BN87" s="10"/>
      <c r="BO87" s="10"/>
      <c r="BP87" s="10"/>
      <c r="BQ87" s="10"/>
      <c r="BR87" s="10"/>
      <c r="BS87" s="10"/>
      <c r="BT87" s="10"/>
    </row>
    <row r="88" spans="1:72" ht="18" x14ac:dyDescent="0.2">
      <c r="A88" s="427"/>
      <c r="B88" s="426"/>
      <c r="C88" s="428"/>
      <c r="D88" s="438"/>
      <c r="E88" s="426"/>
      <c r="F88" s="427"/>
      <c r="G88" s="427"/>
      <c r="H88" s="427"/>
      <c r="I88" s="427"/>
      <c r="J88" s="427"/>
      <c r="K88" s="427"/>
      <c r="L88" s="427"/>
      <c r="M88" s="427"/>
      <c r="N88" s="427"/>
      <c r="O88" s="427"/>
      <c r="P88" s="427"/>
      <c r="Q88" s="427"/>
      <c r="R88" s="427"/>
      <c r="S88" s="427"/>
      <c r="T88" s="427"/>
      <c r="U88" s="427"/>
      <c r="V88" s="427"/>
      <c r="W88" s="427"/>
      <c r="X88" s="427"/>
      <c r="Y88" s="427"/>
      <c r="Z88" s="427"/>
      <c r="AA88" s="427"/>
      <c r="AB88" s="427"/>
      <c r="AC88" s="427"/>
      <c r="AD88" s="427"/>
      <c r="AE88" s="427"/>
      <c r="AF88" s="427"/>
      <c r="AG88" s="427"/>
      <c r="AH88" s="427"/>
      <c r="AI88" s="427"/>
      <c r="AJ88" s="427"/>
      <c r="AK88" s="427"/>
      <c r="AL88" s="427"/>
      <c r="AM88" s="427"/>
      <c r="AN88" s="427"/>
      <c r="AO88" s="427"/>
      <c r="AP88" s="427"/>
      <c r="AQ88" s="427"/>
      <c r="AR88" s="427"/>
      <c r="AS88" s="427"/>
      <c r="AT88" s="427"/>
      <c r="AU88" s="427"/>
      <c r="AV88" s="427"/>
      <c r="AW88" s="427"/>
      <c r="AX88" s="427"/>
      <c r="AY88" s="427"/>
      <c r="AZ88" s="427"/>
      <c r="BA88" s="10"/>
      <c r="BB88" s="10"/>
      <c r="BC88" s="10"/>
      <c r="BD88" s="10"/>
      <c r="BE88" s="10"/>
      <c r="BF88" s="10"/>
      <c r="BG88" s="10"/>
      <c r="BH88" s="10"/>
      <c r="BI88" s="10"/>
      <c r="BJ88" s="10"/>
      <c r="BK88" s="10"/>
      <c r="BL88" s="10"/>
      <c r="BM88" s="10"/>
      <c r="BN88" s="10"/>
      <c r="BO88" s="10"/>
      <c r="BP88" s="10"/>
      <c r="BQ88" s="10"/>
      <c r="BR88" s="10"/>
      <c r="BS88" s="10"/>
      <c r="BT88" s="10"/>
    </row>
    <row r="89" spans="1:72" ht="18" x14ac:dyDescent="0.2">
      <c r="A89" s="427"/>
      <c r="B89" s="426"/>
      <c r="C89" s="428"/>
      <c r="D89" s="438"/>
      <c r="E89" s="426"/>
      <c r="F89" s="427"/>
      <c r="G89" s="427"/>
      <c r="H89" s="427"/>
      <c r="I89" s="427"/>
      <c r="J89" s="427"/>
      <c r="K89" s="427"/>
      <c r="L89" s="427"/>
      <c r="M89" s="427"/>
      <c r="N89" s="427"/>
      <c r="O89" s="427"/>
      <c r="P89" s="427"/>
      <c r="Q89" s="427"/>
      <c r="R89" s="427"/>
      <c r="S89" s="427"/>
      <c r="T89" s="427"/>
      <c r="U89" s="427"/>
      <c r="V89" s="427"/>
      <c r="W89" s="427"/>
      <c r="X89" s="427"/>
      <c r="Y89" s="427"/>
      <c r="Z89" s="427"/>
      <c r="AA89" s="427"/>
      <c r="AB89" s="427"/>
      <c r="AC89" s="427"/>
      <c r="AD89" s="427"/>
      <c r="AE89" s="427"/>
      <c r="AF89" s="427"/>
      <c r="AG89" s="427"/>
      <c r="AH89" s="427"/>
      <c r="AI89" s="427"/>
      <c r="AJ89" s="427"/>
      <c r="AK89" s="427"/>
      <c r="AL89" s="427"/>
      <c r="AM89" s="427"/>
      <c r="AN89" s="427"/>
      <c r="AO89" s="427"/>
      <c r="AP89" s="427"/>
      <c r="AQ89" s="427"/>
      <c r="AR89" s="427"/>
      <c r="AS89" s="427"/>
      <c r="AT89" s="427"/>
      <c r="AU89" s="427"/>
      <c r="AV89" s="427"/>
      <c r="AW89" s="427"/>
      <c r="AX89" s="427"/>
      <c r="AY89" s="427"/>
      <c r="AZ89" s="427"/>
      <c r="BA89" s="10"/>
      <c r="BB89" s="10"/>
      <c r="BC89" s="10"/>
      <c r="BD89" s="10"/>
      <c r="BE89" s="10"/>
      <c r="BF89" s="10"/>
      <c r="BG89" s="10"/>
      <c r="BH89" s="10"/>
      <c r="BI89" s="10"/>
      <c r="BJ89" s="10"/>
      <c r="BK89" s="10"/>
      <c r="BL89" s="10"/>
      <c r="BM89" s="10"/>
      <c r="BN89" s="10"/>
      <c r="BO89" s="10"/>
      <c r="BP89" s="10"/>
      <c r="BQ89" s="10"/>
      <c r="BR89" s="10"/>
      <c r="BS89" s="10"/>
      <c r="BT89" s="10"/>
    </row>
    <row r="90" spans="1:72" ht="18" x14ac:dyDescent="0.2">
      <c r="A90" s="427"/>
      <c r="B90" s="426"/>
      <c r="C90" s="428"/>
      <c r="D90" s="438"/>
      <c r="E90" s="426"/>
      <c r="F90" s="427"/>
      <c r="G90" s="427"/>
      <c r="H90" s="427"/>
      <c r="I90" s="427"/>
      <c r="J90" s="427"/>
      <c r="K90" s="427"/>
      <c r="L90" s="427"/>
      <c r="M90" s="427"/>
      <c r="N90" s="427"/>
      <c r="O90" s="427"/>
      <c r="P90" s="427"/>
      <c r="Q90" s="427"/>
      <c r="R90" s="427"/>
      <c r="S90" s="427"/>
      <c r="T90" s="427"/>
      <c r="U90" s="427"/>
      <c r="V90" s="427"/>
      <c r="W90" s="427"/>
      <c r="X90" s="427"/>
      <c r="Y90" s="427"/>
      <c r="Z90" s="427"/>
      <c r="AA90" s="427"/>
      <c r="AB90" s="427"/>
      <c r="AC90" s="427"/>
      <c r="AD90" s="427"/>
      <c r="AE90" s="427"/>
      <c r="AF90" s="427"/>
      <c r="AG90" s="427"/>
      <c r="AH90" s="427"/>
      <c r="AI90" s="427"/>
      <c r="AJ90" s="427"/>
      <c r="AK90" s="427"/>
      <c r="AL90" s="427"/>
      <c r="AM90" s="427"/>
      <c r="AN90" s="427"/>
      <c r="AO90" s="427"/>
      <c r="AP90" s="427"/>
      <c r="AQ90" s="427"/>
      <c r="AR90" s="427"/>
      <c r="AS90" s="427"/>
      <c r="AT90" s="427"/>
      <c r="AU90" s="427"/>
      <c r="AV90" s="427"/>
      <c r="AW90" s="427"/>
      <c r="AX90" s="427"/>
      <c r="AY90" s="427"/>
      <c r="AZ90" s="427"/>
      <c r="BA90" s="10"/>
      <c r="BB90" s="10"/>
      <c r="BC90" s="10"/>
      <c r="BD90" s="10"/>
      <c r="BE90" s="10"/>
      <c r="BF90" s="10"/>
      <c r="BG90" s="10"/>
      <c r="BH90" s="10"/>
      <c r="BI90" s="10"/>
      <c r="BJ90" s="10"/>
      <c r="BK90" s="10"/>
      <c r="BL90" s="10"/>
      <c r="BM90" s="10"/>
      <c r="BN90" s="10"/>
      <c r="BO90" s="10"/>
      <c r="BP90" s="10"/>
      <c r="BQ90" s="10"/>
      <c r="BR90" s="10"/>
      <c r="BS90" s="10"/>
      <c r="BT90" s="10"/>
    </row>
    <row r="91" spans="1:72" ht="18" x14ac:dyDescent="0.2">
      <c r="A91" s="427"/>
      <c r="B91" s="426"/>
      <c r="C91" s="428"/>
      <c r="D91" s="438"/>
      <c r="E91" s="426"/>
      <c r="F91" s="427"/>
      <c r="G91" s="427"/>
      <c r="H91" s="427"/>
      <c r="I91" s="427"/>
      <c r="J91" s="427"/>
      <c r="K91" s="427"/>
      <c r="L91" s="427"/>
      <c r="M91" s="427"/>
      <c r="N91" s="427"/>
      <c r="O91" s="427"/>
      <c r="P91" s="427"/>
      <c r="Q91" s="427"/>
      <c r="R91" s="427"/>
      <c r="S91" s="427"/>
      <c r="T91" s="427"/>
      <c r="U91" s="427"/>
      <c r="V91" s="427"/>
      <c r="W91" s="427"/>
      <c r="X91" s="427"/>
      <c r="Y91" s="427"/>
      <c r="Z91" s="427"/>
      <c r="AA91" s="427"/>
      <c r="AB91" s="427"/>
      <c r="AC91" s="427"/>
      <c r="AD91" s="427"/>
      <c r="AE91" s="427"/>
      <c r="AF91" s="427"/>
      <c r="AG91" s="427"/>
      <c r="AH91" s="427"/>
      <c r="AI91" s="427"/>
      <c r="AJ91" s="427"/>
      <c r="AK91" s="427"/>
      <c r="AL91" s="427"/>
      <c r="AM91" s="427"/>
      <c r="AN91" s="427"/>
      <c r="AO91" s="427"/>
      <c r="AP91" s="427"/>
      <c r="AQ91" s="427"/>
      <c r="AR91" s="427"/>
      <c r="AS91" s="427"/>
      <c r="AT91" s="427"/>
      <c r="AU91" s="427"/>
      <c r="AV91" s="427"/>
      <c r="AW91" s="427"/>
      <c r="AX91" s="427"/>
      <c r="AY91" s="427"/>
      <c r="AZ91" s="427"/>
      <c r="BA91" s="10"/>
      <c r="BB91" s="10"/>
      <c r="BC91" s="10"/>
      <c r="BD91" s="10"/>
      <c r="BE91" s="10"/>
      <c r="BF91" s="10"/>
      <c r="BG91" s="10"/>
      <c r="BH91" s="10"/>
      <c r="BI91" s="10"/>
      <c r="BJ91" s="10"/>
      <c r="BK91" s="10"/>
      <c r="BL91" s="10"/>
      <c r="BM91" s="10"/>
      <c r="BN91" s="10"/>
      <c r="BO91" s="10"/>
      <c r="BP91" s="10"/>
      <c r="BQ91" s="10"/>
      <c r="BR91" s="10"/>
      <c r="BS91" s="10"/>
      <c r="BT91" s="10"/>
    </row>
    <row r="92" spans="1:72" ht="18" x14ac:dyDescent="0.2">
      <c r="A92" s="427"/>
      <c r="B92" s="426"/>
      <c r="C92" s="428"/>
      <c r="D92" s="438"/>
      <c r="E92" s="426"/>
      <c r="F92" s="427"/>
      <c r="G92" s="427"/>
      <c r="H92" s="427"/>
      <c r="I92" s="427"/>
      <c r="J92" s="427"/>
      <c r="K92" s="427"/>
      <c r="L92" s="427"/>
      <c r="M92" s="427"/>
      <c r="N92" s="427"/>
      <c r="O92" s="427"/>
      <c r="P92" s="427"/>
      <c r="Q92" s="427"/>
      <c r="R92" s="427"/>
      <c r="S92" s="427"/>
      <c r="T92" s="427"/>
      <c r="U92" s="427"/>
      <c r="V92" s="427"/>
      <c r="W92" s="427"/>
      <c r="X92" s="427"/>
      <c r="Y92" s="427"/>
      <c r="Z92" s="427"/>
      <c r="AA92" s="427"/>
      <c r="AB92" s="427"/>
      <c r="AC92" s="427"/>
      <c r="AD92" s="427"/>
      <c r="AE92" s="427"/>
      <c r="AF92" s="427"/>
      <c r="AG92" s="427"/>
      <c r="AH92" s="427"/>
      <c r="AI92" s="427"/>
      <c r="AJ92" s="427"/>
      <c r="AK92" s="427"/>
      <c r="AL92" s="427"/>
      <c r="AM92" s="427"/>
      <c r="AN92" s="427"/>
      <c r="AO92" s="427"/>
      <c r="AP92" s="427"/>
      <c r="AQ92" s="427"/>
      <c r="AR92" s="427"/>
      <c r="AS92" s="427"/>
      <c r="AT92" s="427"/>
      <c r="AU92" s="427"/>
      <c r="AV92" s="427"/>
      <c r="AW92" s="427"/>
      <c r="AX92" s="427"/>
      <c r="AY92" s="427"/>
      <c r="AZ92" s="427"/>
      <c r="BA92" s="10"/>
      <c r="BB92" s="10"/>
      <c r="BC92" s="10"/>
      <c r="BD92" s="10"/>
      <c r="BE92" s="10"/>
      <c r="BF92" s="10"/>
      <c r="BG92" s="10"/>
      <c r="BH92" s="10"/>
      <c r="BI92" s="10"/>
      <c r="BJ92" s="10"/>
      <c r="BK92" s="10"/>
      <c r="BL92" s="10"/>
      <c r="BM92" s="10"/>
      <c r="BN92" s="10"/>
      <c r="BO92" s="10"/>
      <c r="BP92" s="10"/>
      <c r="BQ92" s="10"/>
      <c r="BR92" s="10"/>
      <c r="BS92" s="10"/>
      <c r="BT92" s="10"/>
    </row>
    <row r="93" spans="1:72" ht="18" x14ac:dyDescent="0.2">
      <c r="A93" s="427"/>
      <c r="B93" s="426"/>
      <c r="C93" s="428"/>
      <c r="D93" s="438"/>
      <c r="E93" s="426"/>
      <c r="F93" s="427"/>
      <c r="G93" s="427"/>
      <c r="H93" s="427"/>
      <c r="I93" s="427"/>
      <c r="J93" s="427"/>
      <c r="K93" s="427"/>
      <c r="L93" s="427"/>
      <c r="M93" s="427"/>
      <c r="N93" s="427"/>
      <c r="O93" s="427"/>
      <c r="P93" s="427"/>
      <c r="Q93" s="427"/>
      <c r="R93" s="427"/>
      <c r="S93" s="427"/>
      <c r="T93" s="427"/>
      <c r="U93" s="427"/>
      <c r="V93" s="427"/>
      <c r="W93" s="427"/>
      <c r="X93" s="427"/>
      <c r="Y93" s="427"/>
      <c r="Z93" s="427"/>
      <c r="AA93" s="427"/>
      <c r="AB93" s="427"/>
      <c r="AC93" s="427"/>
      <c r="AD93" s="427"/>
      <c r="AE93" s="427"/>
      <c r="AF93" s="427"/>
      <c r="AG93" s="427"/>
      <c r="AH93" s="427"/>
      <c r="AI93" s="427"/>
      <c r="AJ93" s="427"/>
      <c r="AK93" s="427"/>
      <c r="AL93" s="427"/>
      <c r="AM93" s="427"/>
      <c r="AN93" s="427"/>
      <c r="AO93" s="427"/>
      <c r="AP93" s="427"/>
      <c r="AQ93" s="427"/>
      <c r="AR93" s="427"/>
      <c r="AS93" s="427"/>
      <c r="AT93" s="427"/>
      <c r="AU93" s="427"/>
      <c r="AV93" s="427"/>
      <c r="AW93" s="427"/>
      <c r="AX93" s="427"/>
      <c r="AY93" s="427"/>
      <c r="AZ93" s="427"/>
      <c r="BA93" s="10"/>
      <c r="BB93" s="10"/>
      <c r="BC93" s="10"/>
      <c r="BD93" s="10"/>
      <c r="BE93" s="10"/>
      <c r="BF93" s="10"/>
      <c r="BG93" s="10"/>
      <c r="BH93" s="10"/>
      <c r="BI93" s="10"/>
      <c r="BJ93" s="10"/>
      <c r="BK93" s="10"/>
      <c r="BL93" s="10"/>
      <c r="BM93" s="10"/>
      <c r="BN93" s="10"/>
      <c r="BO93" s="10"/>
      <c r="BP93" s="10"/>
      <c r="BQ93" s="10"/>
      <c r="BR93" s="10"/>
      <c r="BS93" s="10"/>
      <c r="BT93" s="10"/>
    </row>
    <row r="94" spans="1:72" ht="18" x14ac:dyDescent="0.2">
      <c r="A94" s="427"/>
      <c r="B94" s="426"/>
      <c r="C94" s="428"/>
      <c r="D94" s="438"/>
      <c r="E94" s="426"/>
      <c r="F94" s="427"/>
      <c r="G94" s="427"/>
      <c r="H94" s="427"/>
      <c r="I94" s="427"/>
      <c r="J94" s="427"/>
      <c r="K94" s="427"/>
      <c r="L94" s="427"/>
      <c r="M94" s="427"/>
      <c r="N94" s="427"/>
      <c r="O94" s="427"/>
      <c r="P94" s="427"/>
      <c r="Q94" s="427"/>
      <c r="R94" s="427"/>
      <c r="S94" s="427"/>
      <c r="T94" s="427"/>
      <c r="U94" s="427"/>
      <c r="V94" s="427"/>
      <c r="W94" s="427"/>
      <c r="X94" s="427"/>
      <c r="Y94" s="427"/>
      <c r="Z94" s="427"/>
      <c r="AA94" s="427"/>
      <c r="AB94" s="427"/>
      <c r="AC94" s="427"/>
      <c r="AD94" s="427"/>
      <c r="AE94" s="427"/>
      <c r="AF94" s="427"/>
      <c r="AG94" s="427"/>
      <c r="AH94" s="427"/>
      <c r="AI94" s="427"/>
      <c r="AJ94" s="427"/>
      <c r="AK94" s="427"/>
      <c r="AL94" s="427"/>
      <c r="AM94" s="427"/>
      <c r="AN94" s="427"/>
      <c r="AO94" s="427"/>
      <c r="AP94" s="427"/>
      <c r="AQ94" s="427"/>
      <c r="AR94" s="427"/>
      <c r="AS94" s="427"/>
      <c r="AT94" s="427"/>
      <c r="AU94" s="427"/>
      <c r="AV94" s="427"/>
      <c r="AW94" s="427"/>
      <c r="AX94" s="427"/>
      <c r="AY94" s="427"/>
      <c r="AZ94" s="427"/>
      <c r="BA94" s="10"/>
      <c r="BB94" s="10"/>
      <c r="BC94" s="10"/>
      <c r="BD94" s="10"/>
      <c r="BE94" s="10"/>
      <c r="BF94" s="10"/>
      <c r="BG94" s="10"/>
      <c r="BH94" s="10"/>
      <c r="BI94" s="10"/>
      <c r="BJ94" s="10"/>
      <c r="BK94" s="10"/>
      <c r="BL94" s="10"/>
      <c r="BM94" s="10"/>
      <c r="BN94" s="10"/>
      <c r="BO94" s="10"/>
      <c r="BP94" s="10"/>
      <c r="BQ94" s="10"/>
      <c r="BR94" s="10"/>
      <c r="BS94" s="10"/>
      <c r="BT94" s="10"/>
    </row>
    <row r="95" spans="1:72" ht="18" x14ac:dyDescent="0.2">
      <c r="A95" s="427"/>
      <c r="B95" s="426"/>
      <c r="C95" s="428"/>
      <c r="D95" s="438"/>
      <c r="E95" s="426"/>
      <c r="F95" s="427"/>
      <c r="G95" s="427"/>
      <c r="H95" s="427"/>
      <c r="I95" s="427"/>
      <c r="J95" s="427"/>
      <c r="K95" s="427"/>
      <c r="L95" s="427"/>
      <c r="M95" s="427"/>
      <c r="N95" s="427"/>
      <c r="O95" s="427"/>
      <c r="P95" s="427"/>
      <c r="Q95" s="427"/>
      <c r="R95" s="427"/>
      <c r="S95" s="427"/>
      <c r="T95" s="427"/>
      <c r="U95" s="427"/>
      <c r="V95" s="427"/>
      <c r="W95" s="427"/>
      <c r="X95" s="427"/>
      <c r="Y95" s="427"/>
      <c r="Z95" s="427"/>
      <c r="AA95" s="427"/>
      <c r="AB95" s="427"/>
      <c r="AC95" s="427"/>
      <c r="AD95" s="427"/>
      <c r="AE95" s="427"/>
      <c r="AF95" s="427"/>
      <c r="AG95" s="427"/>
      <c r="AH95" s="427"/>
      <c r="AI95" s="427"/>
      <c r="AJ95" s="427"/>
      <c r="AK95" s="427"/>
      <c r="AL95" s="427"/>
      <c r="AM95" s="427"/>
      <c r="AN95" s="427"/>
      <c r="AO95" s="427"/>
      <c r="AP95" s="427"/>
      <c r="AQ95" s="427"/>
      <c r="AR95" s="427"/>
      <c r="AS95" s="427"/>
      <c r="AT95" s="427"/>
      <c r="AU95" s="427"/>
      <c r="AV95" s="427"/>
      <c r="AW95" s="427"/>
      <c r="AX95" s="427"/>
      <c r="AY95" s="427"/>
      <c r="AZ95" s="427"/>
      <c r="BA95" s="10"/>
      <c r="BB95" s="10"/>
      <c r="BC95" s="10"/>
      <c r="BD95" s="10"/>
      <c r="BE95" s="10"/>
      <c r="BF95" s="10"/>
      <c r="BG95" s="10"/>
      <c r="BH95" s="10"/>
      <c r="BI95" s="10"/>
      <c r="BJ95" s="10"/>
      <c r="BK95" s="10"/>
      <c r="BL95" s="10"/>
      <c r="BM95" s="10"/>
      <c r="BN95" s="10"/>
      <c r="BO95" s="10"/>
      <c r="BP95" s="10"/>
      <c r="BQ95" s="10"/>
      <c r="BR95" s="10"/>
      <c r="BS95" s="10"/>
      <c r="BT95" s="10"/>
    </row>
    <row r="96" spans="1:72" ht="18" x14ac:dyDescent="0.2">
      <c r="A96" s="427"/>
      <c r="B96" s="426"/>
      <c r="C96" s="428"/>
      <c r="D96" s="438"/>
      <c r="E96" s="426"/>
      <c r="F96" s="427"/>
      <c r="G96" s="427"/>
      <c r="H96" s="427"/>
      <c r="I96" s="427"/>
      <c r="J96" s="427"/>
      <c r="K96" s="427"/>
      <c r="L96" s="427"/>
      <c r="M96" s="427"/>
      <c r="N96" s="427"/>
      <c r="O96" s="427"/>
      <c r="P96" s="427"/>
      <c r="Q96" s="427"/>
      <c r="R96" s="427"/>
      <c r="S96" s="427"/>
      <c r="T96" s="427"/>
      <c r="U96" s="427"/>
      <c r="V96" s="427"/>
      <c r="W96" s="427"/>
      <c r="X96" s="427"/>
      <c r="Y96" s="427"/>
      <c r="Z96" s="427"/>
      <c r="AA96" s="427"/>
      <c r="AB96" s="427"/>
      <c r="AC96" s="427"/>
      <c r="AD96" s="427"/>
      <c r="AE96" s="427"/>
      <c r="AF96" s="427"/>
      <c r="AG96" s="427"/>
      <c r="AH96" s="427"/>
      <c r="AI96" s="427"/>
      <c r="AJ96" s="427"/>
      <c r="AK96" s="427"/>
      <c r="AL96" s="427"/>
      <c r="AM96" s="427"/>
      <c r="AN96" s="427"/>
      <c r="AO96" s="427"/>
      <c r="AP96" s="427"/>
      <c r="AQ96" s="427"/>
      <c r="AR96" s="427"/>
      <c r="AS96" s="427"/>
      <c r="AT96" s="427"/>
      <c r="AU96" s="427"/>
      <c r="AV96" s="427"/>
      <c r="AW96" s="427"/>
      <c r="AX96" s="427"/>
      <c r="AY96" s="427"/>
      <c r="AZ96" s="427"/>
      <c r="BA96" s="10"/>
      <c r="BB96" s="10"/>
      <c r="BC96" s="10"/>
      <c r="BD96" s="10"/>
      <c r="BE96" s="10"/>
      <c r="BF96" s="10"/>
      <c r="BG96" s="10"/>
      <c r="BH96" s="10"/>
      <c r="BI96" s="10"/>
      <c r="BJ96" s="10"/>
      <c r="BK96" s="10"/>
      <c r="BL96" s="10"/>
      <c r="BM96" s="10"/>
      <c r="BN96" s="10"/>
      <c r="BO96" s="10"/>
      <c r="BP96" s="10"/>
      <c r="BQ96" s="10"/>
      <c r="BR96" s="10"/>
      <c r="BS96" s="10"/>
      <c r="BT96" s="10"/>
    </row>
    <row r="97" spans="1:72" ht="18" x14ac:dyDescent="0.2">
      <c r="A97" s="427"/>
      <c r="B97" s="426"/>
      <c r="C97" s="428"/>
      <c r="D97" s="438"/>
      <c r="E97" s="426"/>
      <c r="F97" s="427"/>
      <c r="G97" s="427"/>
      <c r="H97" s="427"/>
      <c r="I97" s="427"/>
      <c r="J97" s="427"/>
      <c r="K97" s="427"/>
      <c r="L97" s="427"/>
      <c r="M97" s="427"/>
      <c r="N97" s="427"/>
      <c r="O97" s="427"/>
      <c r="P97" s="427"/>
      <c r="Q97" s="427"/>
      <c r="R97" s="427"/>
      <c r="S97" s="427"/>
      <c r="T97" s="427"/>
      <c r="U97" s="427"/>
      <c r="V97" s="427"/>
      <c r="W97" s="427"/>
      <c r="X97" s="427"/>
      <c r="Y97" s="427"/>
      <c r="Z97" s="427"/>
      <c r="AA97" s="427"/>
      <c r="AB97" s="427"/>
      <c r="AC97" s="427"/>
      <c r="AD97" s="427"/>
      <c r="AE97" s="427"/>
      <c r="AF97" s="427"/>
      <c r="AG97" s="427"/>
      <c r="AH97" s="427"/>
      <c r="AI97" s="427"/>
      <c r="AJ97" s="427"/>
      <c r="AK97" s="427"/>
      <c r="AL97" s="427"/>
      <c r="AM97" s="427"/>
      <c r="AN97" s="427"/>
      <c r="AO97" s="427"/>
      <c r="AP97" s="427"/>
      <c r="AQ97" s="427"/>
      <c r="AR97" s="427"/>
      <c r="AS97" s="427"/>
      <c r="AT97" s="427"/>
      <c r="AU97" s="427"/>
      <c r="AV97" s="427"/>
      <c r="AW97" s="427"/>
      <c r="AX97" s="427"/>
      <c r="AY97" s="427"/>
      <c r="AZ97" s="427"/>
      <c r="BA97" s="10"/>
      <c r="BB97" s="10"/>
      <c r="BC97" s="10"/>
      <c r="BD97" s="10"/>
      <c r="BE97" s="10"/>
      <c r="BF97" s="10"/>
      <c r="BG97" s="10"/>
      <c r="BH97" s="10"/>
      <c r="BI97" s="10"/>
      <c r="BJ97" s="10"/>
      <c r="BK97" s="10"/>
      <c r="BL97" s="10"/>
      <c r="BM97" s="10"/>
      <c r="BN97" s="10"/>
      <c r="BO97" s="10"/>
      <c r="BP97" s="10"/>
      <c r="BQ97" s="10"/>
      <c r="BR97" s="10"/>
      <c r="BS97" s="10"/>
      <c r="BT97" s="10"/>
    </row>
    <row r="98" spans="1:72" ht="18" x14ac:dyDescent="0.2">
      <c r="A98" s="427"/>
      <c r="B98" s="426"/>
      <c r="C98" s="428"/>
      <c r="D98" s="438"/>
      <c r="E98" s="426"/>
      <c r="F98" s="427"/>
      <c r="G98" s="427"/>
      <c r="H98" s="427"/>
      <c r="I98" s="427"/>
      <c r="J98" s="427"/>
      <c r="K98" s="427"/>
      <c r="L98" s="427"/>
      <c r="M98" s="427"/>
      <c r="N98" s="427"/>
      <c r="O98" s="427"/>
      <c r="P98" s="427"/>
      <c r="Q98" s="427"/>
      <c r="R98" s="427"/>
      <c r="S98" s="427"/>
      <c r="T98" s="427"/>
      <c r="U98" s="427"/>
      <c r="V98" s="427"/>
      <c r="W98" s="427"/>
      <c r="X98" s="427"/>
      <c r="Y98" s="427"/>
      <c r="Z98" s="427"/>
      <c r="AA98" s="427"/>
      <c r="AB98" s="427"/>
      <c r="AC98" s="427"/>
      <c r="AD98" s="427"/>
      <c r="AE98" s="427"/>
      <c r="AF98" s="427"/>
      <c r="AG98" s="427"/>
      <c r="AH98" s="427"/>
      <c r="AI98" s="427"/>
      <c r="AJ98" s="427"/>
      <c r="AK98" s="427"/>
      <c r="AL98" s="427"/>
      <c r="AM98" s="427"/>
      <c r="AN98" s="427"/>
      <c r="AO98" s="427"/>
      <c r="AP98" s="427"/>
      <c r="AQ98" s="427"/>
      <c r="AR98" s="427"/>
      <c r="AS98" s="427"/>
      <c r="AT98" s="427"/>
      <c r="AU98" s="427"/>
      <c r="AV98" s="427"/>
      <c r="AW98" s="427"/>
      <c r="AX98" s="427"/>
      <c r="AY98" s="427"/>
      <c r="AZ98" s="427"/>
      <c r="BA98" s="10"/>
      <c r="BB98" s="10"/>
      <c r="BC98" s="10"/>
      <c r="BD98" s="10"/>
      <c r="BE98" s="10"/>
      <c r="BF98" s="10"/>
      <c r="BG98" s="10"/>
      <c r="BH98" s="10"/>
      <c r="BI98" s="10"/>
      <c r="BJ98" s="10"/>
      <c r="BK98" s="10"/>
      <c r="BL98" s="10"/>
      <c r="BM98" s="10"/>
      <c r="BN98" s="10"/>
      <c r="BO98" s="10"/>
      <c r="BP98" s="10"/>
      <c r="BQ98" s="10"/>
      <c r="BR98" s="10"/>
      <c r="BS98" s="10"/>
      <c r="BT98" s="10"/>
    </row>
    <row r="99" spans="1:72" ht="18" x14ac:dyDescent="0.2">
      <c r="A99" s="427"/>
      <c r="B99" s="426"/>
      <c r="C99" s="428"/>
      <c r="D99" s="438"/>
      <c r="E99" s="426"/>
      <c r="F99" s="427"/>
      <c r="G99" s="427"/>
      <c r="H99" s="427"/>
      <c r="I99" s="427"/>
      <c r="J99" s="427"/>
      <c r="K99" s="427"/>
      <c r="L99" s="427"/>
      <c r="M99" s="427"/>
      <c r="N99" s="427"/>
      <c r="O99" s="427"/>
      <c r="P99" s="427"/>
      <c r="Q99" s="427"/>
      <c r="R99" s="427"/>
      <c r="S99" s="427"/>
      <c r="T99" s="427"/>
      <c r="U99" s="427"/>
      <c r="V99" s="427"/>
      <c r="W99" s="427"/>
      <c r="X99" s="427"/>
      <c r="Y99" s="427"/>
      <c r="Z99" s="427"/>
      <c r="AA99" s="427"/>
      <c r="AB99" s="427"/>
      <c r="AC99" s="427"/>
      <c r="AD99" s="427"/>
      <c r="AE99" s="427"/>
      <c r="AF99" s="427"/>
      <c r="AG99" s="427"/>
      <c r="AH99" s="427"/>
      <c r="AI99" s="427"/>
      <c r="AJ99" s="427"/>
      <c r="AK99" s="427"/>
      <c r="AL99" s="427"/>
      <c r="AM99" s="427"/>
      <c r="AN99" s="427"/>
      <c r="AO99" s="427"/>
      <c r="AP99" s="427"/>
      <c r="AQ99" s="427"/>
      <c r="AR99" s="427"/>
      <c r="AS99" s="427"/>
      <c r="AT99" s="427"/>
      <c r="AU99" s="427"/>
      <c r="AV99" s="427"/>
      <c r="AW99" s="427"/>
      <c r="AX99" s="427"/>
      <c r="AY99" s="427"/>
      <c r="AZ99" s="427"/>
      <c r="BA99" s="10"/>
      <c r="BB99" s="10"/>
      <c r="BC99" s="10"/>
      <c r="BD99" s="10"/>
      <c r="BE99" s="10"/>
      <c r="BF99" s="10"/>
      <c r="BG99" s="10"/>
      <c r="BH99" s="10"/>
      <c r="BI99" s="10"/>
      <c r="BJ99" s="10"/>
      <c r="BK99" s="10"/>
      <c r="BL99" s="10"/>
      <c r="BM99" s="10"/>
      <c r="BN99" s="10"/>
      <c r="BO99" s="10"/>
      <c r="BP99" s="10"/>
      <c r="BQ99" s="10"/>
      <c r="BR99" s="10"/>
      <c r="BS99" s="10"/>
      <c r="BT99" s="10"/>
    </row>
    <row r="100" spans="1:72" ht="18" x14ac:dyDescent="0.2">
      <c r="A100" s="427"/>
      <c r="B100" s="426"/>
      <c r="C100" s="428"/>
      <c r="D100" s="438"/>
      <c r="E100" s="426"/>
      <c r="F100" s="427"/>
      <c r="G100" s="427"/>
      <c r="H100" s="427"/>
      <c r="I100" s="427"/>
      <c r="J100" s="427"/>
      <c r="K100" s="427"/>
      <c r="L100" s="427"/>
      <c r="M100" s="427"/>
      <c r="N100" s="427"/>
      <c r="O100" s="427"/>
      <c r="P100" s="427"/>
      <c r="Q100" s="427"/>
      <c r="R100" s="427"/>
      <c r="S100" s="427"/>
      <c r="T100" s="427"/>
      <c r="U100" s="427"/>
      <c r="V100" s="427"/>
      <c r="W100" s="427"/>
      <c r="X100" s="427"/>
      <c r="Y100" s="427"/>
      <c r="Z100" s="427"/>
      <c r="AA100" s="427"/>
      <c r="AB100" s="427"/>
      <c r="AC100" s="427"/>
      <c r="AD100" s="427"/>
      <c r="AE100" s="427"/>
      <c r="AF100" s="427"/>
      <c r="AG100" s="427"/>
      <c r="AH100" s="427"/>
      <c r="AI100" s="427"/>
      <c r="AJ100" s="427"/>
      <c r="AK100" s="427"/>
      <c r="AL100" s="427"/>
      <c r="AM100" s="427"/>
      <c r="AN100" s="427"/>
      <c r="AO100" s="427"/>
      <c r="AP100" s="427"/>
      <c r="AQ100" s="427"/>
      <c r="AR100" s="427"/>
      <c r="AS100" s="427"/>
      <c r="AT100" s="427"/>
      <c r="AU100" s="427"/>
      <c r="AV100" s="427"/>
      <c r="AW100" s="427"/>
      <c r="AX100" s="427"/>
      <c r="AY100" s="427"/>
      <c r="AZ100" s="427"/>
      <c r="BA100" s="10"/>
      <c r="BB100" s="10"/>
      <c r="BC100" s="10"/>
      <c r="BD100" s="10"/>
      <c r="BE100" s="10"/>
      <c r="BF100" s="10"/>
      <c r="BG100" s="10"/>
      <c r="BH100" s="10"/>
      <c r="BI100" s="10"/>
      <c r="BJ100" s="10"/>
      <c r="BK100" s="10"/>
      <c r="BL100" s="10"/>
      <c r="BM100" s="10"/>
      <c r="BN100" s="10"/>
      <c r="BO100" s="10"/>
      <c r="BP100" s="10"/>
      <c r="BQ100" s="10"/>
      <c r="BR100" s="10"/>
      <c r="BS100" s="10"/>
      <c r="BT100" s="10"/>
    </row>
    <row r="101" spans="1:72" ht="18" x14ac:dyDescent="0.2">
      <c r="A101" s="427"/>
      <c r="B101" s="426"/>
      <c r="C101" s="428"/>
      <c r="D101" s="438"/>
      <c r="E101" s="426"/>
      <c r="F101" s="427"/>
      <c r="G101" s="427"/>
      <c r="H101" s="427"/>
      <c r="I101" s="427"/>
      <c r="J101" s="427"/>
      <c r="K101" s="427"/>
      <c r="L101" s="427"/>
      <c r="M101" s="427"/>
      <c r="N101" s="427"/>
      <c r="O101" s="427"/>
      <c r="P101" s="427"/>
      <c r="Q101" s="427"/>
      <c r="R101" s="427"/>
      <c r="S101" s="427"/>
      <c r="T101" s="427"/>
      <c r="U101" s="427"/>
      <c r="V101" s="427"/>
      <c r="W101" s="427"/>
      <c r="X101" s="427"/>
      <c r="Y101" s="427"/>
      <c r="Z101" s="427"/>
      <c r="AA101" s="427"/>
      <c r="AB101" s="427"/>
      <c r="AC101" s="427"/>
      <c r="AD101" s="427"/>
      <c r="AE101" s="427"/>
      <c r="AF101" s="427"/>
      <c r="AG101" s="427"/>
      <c r="AH101" s="427"/>
      <c r="AI101" s="427"/>
      <c r="AJ101" s="427"/>
      <c r="AK101" s="427"/>
      <c r="AL101" s="427"/>
      <c r="AM101" s="427"/>
      <c r="AN101" s="427"/>
      <c r="AO101" s="427"/>
      <c r="AP101" s="427"/>
      <c r="AQ101" s="427"/>
      <c r="AR101" s="427"/>
      <c r="AS101" s="427"/>
      <c r="AT101" s="427"/>
      <c r="AU101" s="427"/>
      <c r="AV101" s="427"/>
      <c r="AW101" s="427"/>
      <c r="AX101" s="427"/>
      <c r="AY101" s="427"/>
      <c r="AZ101" s="427"/>
      <c r="BA101" s="10"/>
      <c r="BB101" s="10"/>
      <c r="BC101" s="10"/>
      <c r="BD101" s="10"/>
      <c r="BE101" s="10"/>
      <c r="BF101" s="10"/>
      <c r="BG101" s="10"/>
      <c r="BH101" s="10"/>
      <c r="BI101" s="10"/>
      <c r="BJ101" s="10"/>
      <c r="BK101" s="10"/>
      <c r="BL101" s="10"/>
      <c r="BM101" s="10"/>
      <c r="BN101" s="10"/>
      <c r="BO101" s="10"/>
      <c r="BP101" s="10"/>
      <c r="BQ101" s="10"/>
      <c r="BR101" s="10"/>
      <c r="BS101" s="10"/>
      <c r="BT101" s="10"/>
    </row>
    <row r="102" spans="1:72" ht="18" x14ac:dyDescent="0.2">
      <c r="A102" s="427"/>
      <c r="B102" s="426"/>
      <c r="C102" s="428"/>
      <c r="D102" s="438"/>
      <c r="E102" s="426"/>
      <c r="F102" s="427"/>
      <c r="G102" s="427"/>
      <c r="H102" s="427"/>
      <c r="I102" s="427"/>
      <c r="J102" s="427"/>
      <c r="K102" s="427"/>
      <c r="L102" s="427"/>
      <c r="M102" s="427"/>
      <c r="N102" s="427"/>
      <c r="O102" s="427"/>
      <c r="P102" s="427"/>
      <c r="Q102" s="427"/>
      <c r="R102" s="427"/>
      <c r="S102" s="427"/>
      <c r="T102" s="427"/>
      <c r="U102" s="427"/>
      <c r="V102" s="427"/>
      <c r="W102" s="427"/>
      <c r="X102" s="427"/>
      <c r="Y102" s="427"/>
      <c r="Z102" s="427"/>
      <c r="AA102" s="427"/>
      <c r="AB102" s="427"/>
      <c r="AC102" s="427"/>
      <c r="AD102" s="427"/>
      <c r="AE102" s="427"/>
      <c r="AF102" s="427"/>
      <c r="AG102" s="427"/>
      <c r="AH102" s="427"/>
      <c r="AI102" s="427"/>
      <c r="AJ102" s="427"/>
      <c r="AK102" s="427"/>
      <c r="AL102" s="427"/>
      <c r="AM102" s="427"/>
      <c r="AN102" s="427"/>
      <c r="AO102" s="427"/>
      <c r="AP102" s="427"/>
      <c r="AQ102" s="427"/>
      <c r="AR102" s="427"/>
      <c r="AS102" s="427"/>
      <c r="AT102" s="427"/>
      <c r="AU102" s="427"/>
      <c r="AV102" s="427"/>
      <c r="AW102" s="427"/>
      <c r="AX102" s="427"/>
      <c r="AY102" s="427"/>
      <c r="AZ102" s="427"/>
      <c r="BA102" s="10"/>
      <c r="BB102" s="10"/>
      <c r="BC102" s="10"/>
      <c r="BD102" s="10"/>
      <c r="BE102" s="10"/>
      <c r="BF102" s="10"/>
      <c r="BG102" s="10"/>
      <c r="BH102" s="10"/>
      <c r="BI102" s="10"/>
      <c r="BJ102" s="10"/>
      <c r="BK102" s="10"/>
      <c r="BL102" s="10"/>
      <c r="BM102" s="10"/>
      <c r="BN102" s="10"/>
      <c r="BO102" s="10"/>
      <c r="BP102" s="10"/>
      <c r="BQ102" s="10"/>
      <c r="BR102" s="10"/>
      <c r="BS102" s="10"/>
      <c r="BT102" s="10"/>
    </row>
    <row r="103" spans="1:72" ht="18" x14ac:dyDescent="0.2">
      <c r="A103" s="427"/>
      <c r="B103" s="426"/>
      <c r="C103" s="428"/>
      <c r="D103" s="438"/>
      <c r="E103" s="426"/>
      <c r="F103" s="427"/>
      <c r="G103" s="427"/>
      <c r="H103" s="427"/>
      <c r="I103" s="427"/>
      <c r="J103" s="427"/>
      <c r="K103" s="427"/>
      <c r="L103" s="427"/>
      <c r="M103" s="427"/>
      <c r="N103" s="427"/>
      <c r="O103" s="427"/>
      <c r="P103" s="427"/>
      <c r="Q103" s="427"/>
      <c r="R103" s="427"/>
      <c r="S103" s="427"/>
      <c r="T103" s="427"/>
      <c r="U103" s="427"/>
      <c r="V103" s="427"/>
      <c r="W103" s="427"/>
      <c r="X103" s="427"/>
      <c r="Y103" s="427"/>
      <c r="Z103" s="427"/>
      <c r="AA103" s="427"/>
      <c r="AB103" s="427"/>
      <c r="AC103" s="427"/>
      <c r="AD103" s="427"/>
      <c r="AE103" s="427"/>
      <c r="AF103" s="427"/>
      <c r="AG103" s="427"/>
      <c r="AH103" s="427"/>
      <c r="AI103" s="427"/>
      <c r="AJ103" s="427"/>
      <c r="AK103" s="427"/>
      <c r="AL103" s="427"/>
      <c r="AM103" s="427"/>
      <c r="AN103" s="427"/>
      <c r="AO103" s="427"/>
      <c r="AP103" s="427"/>
      <c r="AQ103" s="427"/>
      <c r="AR103" s="427"/>
      <c r="AS103" s="427"/>
      <c r="AT103" s="427"/>
      <c r="AU103" s="427"/>
      <c r="AV103" s="427"/>
      <c r="AW103" s="427"/>
      <c r="AX103" s="427"/>
      <c r="AY103" s="427"/>
      <c r="AZ103" s="427"/>
      <c r="BA103" s="10"/>
      <c r="BB103" s="10"/>
      <c r="BC103" s="10"/>
      <c r="BD103" s="10"/>
      <c r="BE103" s="10"/>
      <c r="BF103" s="10"/>
      <c r="BG103" s="10"/>
      <c r="BH103" s="10"/>
      <c r="BI103" s="10"/>
      <c r="BJ103" s="10"/>
      <c r="BK103" s="10"/>
      <c r="BL103" s="10"/>
      <c r="BM103" s="10"/>
      <c r="BN103" s="10"/>
      <c r="BO103" s="10"/>
      <c r="BP103" s="10"/>
      <c r="BQ103" s="10"/>
      <c r="BR103" s="10"/>
      <c r="BS103" s="10"/>
      <c r="BT103" s="10"/>
    </row>
    <row r="104" spans="1:72" ht="18" x14ac:dyDescent="0.2">
      <c r="A104" s="427"/>
      <c r="B104" s="426"/>
      <c r="C104" s="428"/>
      <c r="D104" s="438"/>
      <c r="E104" s="426"/>
      <c r="F104" s="427"/>
      <c r="G104" s="427"/>
      <c r="H104" s="427"/>
      <c r="I104" s="427"/>
      <c r="J104" s="427"/>
      <c r="K104" s="427"/>
      <c r="L104" s="427"/>
      <c r="M104" s="427"/>
      <c r="N104" s="427"/>
      <c r="O104" s="427"/>
      <c r="P104" s="427"/>
      <c r="Q104" s="427"/>
      <c r="R104" s="427"/>
      <c r="S104" s="427"/>
      <c r="T104" s="427"/>
      <c r="U104" s="427"/>
      <c r="V104" s="427"/>
      <c r="W104" s="427"/>
      <c r="X104" s="427"/>
      <c r="Y104" s="427"/>
      <c r="Z104" s="427"/>
      <c r="AA104" s="427"/>
      <c r="AB104" s="427"/>
      <c r="AC104" s="427"/>
      <c r="AD104" s="427"/>
      <c r="AE104" s="427"/>
      <c r="AF104" s="427"/>
      <c r="AG104" s="427"/>
      <c r="AH104" s="427"/>
      <c r="AI104" s="427"/>
      <c r="AJ104" s="427"/>
      <c r="AK104" s="427"/>
      <c r="AL104" s="427"/>
      <c r="AM104" s="427"/>
      <c r="AN104" s="427"/>
      <c r="AO104" s="427"/>
      <c r="AP104" s="427"/>
      <c r="AQ104" s="427"/>
      <c r="AR104" s="427"/>
      <c r="AS104" s="427"/>
      <c r="AT104" s="427"/>
      <c r="AU104" s="427"/>
      <c r="AV104" s="427"/>
      <c r="AW104" s="427"/>
      <c r="AX104" s="427"/>
      <c r="AY104" s="427"/>
      <c r="AZ104" s="427"/>
      <c r="BA104" s="10"/>
      <c r="BB104" s="10"/>
      <c r="BC104" s="10"/>
      <c r="BD104" s="10"/>
      <c r="BE104" s="10"/>
      <c r="BF104" s="10"/>
      <c r="BG104" s="10"/>
      <c r="BH104" s="10"/>
      <c r="BI104" s="10"/>
      <c r="BJ104" s="10"/>
      <c r="BK104" s="10"/>
      <c r="BL104" s="10"/>
      <c r="BM104" s="10"/>
      <c r="BN104" s="10"/>
      <c r="BO104" s="10"/>
      <c r="BP104" s="10"/>
      <c r="BQ104" s="10"/>
      <c r="BR104" s="10"/>
      <c r="BS104" s="10"/>
      <c r="BT104" s="10"/>
    </row>
    <row r="105" spans="1:72" ht="18" x14ac:dyDescent="0.2">
      <c r="A105" s="427"/>
      <c r="B105" s="426"/>
      <c r="C105" s="428"/>
      <c r="D105" s="438"/>
      <c r="E105" s="426"/>
      <c r="F105" s="427"/>
      <c r="G105" s="427"/>
      <c r="H105" s="427"/>
      <c r="I105" s="427"/>
      <c r="J105" s="427"/>
      <c r="K105" s="427"/>
      <c r="L105" s="427"/>
      <c r="M105" s="427"/>
      <c r="N105" s="427"/>
      <c r="O105" s="427"/>
      <c r="P105" s="427"/>
      <c r="Q105" s="427"/>
      <c r="R105" s="427"/>
      <c r="S105" s="427"/>
      <c r="T105" s="427"/>
      <c r="U105" s="427"/>
      <c r="V105" s="427"/>
      <c r="W105" s="427"/>
      <c r="X105" s="427"/>
      <c r="Y105" s="427"/>
      <c r="Z105" s="427"/>
      <c r="AA105" s="427"/>
      <c r="AB105" s="427"/>
      <c r="AC105" s="427"/>
      <c r="AD105" s="427"/>
      <c r="AE105" s="427"/>
      <c r="AF105" s="427"/>
      <c r="AG105" s="427"/>
      <c r="AH105" s="427"/>
      <c r="AI105" s="427"/>
      <c r="AJ105" s="427"/>
      <c r="AK105" s="427"/>
      <c r="AL105" s="427"/>
      <c r="AM105" s="427"/>
      <c r="AN105" s="427"/>
      <c r="AO105" s="427"/>
      <c r="AP105" s="427"/>
      <c r="AQ105" s="427"/>
      <c r="AR105" s="427"/>
      <c r="AS105" s="427"/>
      <c r="AT105" s="427"/>
      <c r="AU105" s="427"/>
      <c r="AV105" s="427"/>
      <c r="AW105" s="427"/>
      <c r="AX105" s="427"/>
      <c r="AY105" s="427"/>
      <c r="AZ105" s="427"/>
      <c r="BA105" s="10"/>
      <c r="BB105" s="10"/>
      <c r="BC105" s="10"/>
      <c r="BD105" s="10"/>
      <c r="BE105" s="10"/>
      <c r="BF105" s="10"/>
      <c r="BG105" s="10"/>
      <c r="BH105" s="10"/>
      <c r="BI105" s="10"/>
      <c r="BJ105" s="10"/>
      <c r="BK105" s="10"/>
      <c r="BL105" s="10"/>
      <c r="BM105" s="10"/>
      <c r="BN105" s="10"/>
      <c r="BO105" s="10"/>
      <c r="BP105" s="10"/>
      <c r="BQ105" s="10"/>
      <c r="BR105" s="10"/>
      <c r="BS105" s="10"/>
      <c r="BT105" s="10"/>
    </row>
    <row r="106" spans="1:72" ht="18" x14ac:dyDescent="0.2">
      <c r="A106" s="427"/>
      <c r="B106" s="426"/>
      <c r="C106" s="428"/>
      <c r="D106" s="438"/>
      <c r="E106" s="426"/>
      <c r="F106" s="427"/>
      <c r="G106" s="427"/>
      <c r="H106" s="427"/>
      <c r="I106" s="427"/>
      <c r="J106" s="427"/>
      <c r="K106" s="427"/>
      <c r="L106" s="427"/>
      <c r="M106" s="427"/>
      <c r="N106" s="427"/>
      <c r="O106" s="427"/>
      <c r="P106" s="427"/>
      <c r="Q106" s="427"/>
      <c r="R106" s="427"/>
      <c r="S106" s="427"/>
      <c r="T106" s="427"/>
      <c r="U106" s="427"/>
      <c r="V106" s="427"/>
      <c r="W106" s="427"/>
      <c r="X106" s="427"/>
      <c r="Y106" s="427"/>
      <c r="Z106" s="427"/>
      <c r="AA106" s="427"/>
      <c r="AB106" s="427"/>
      <c r="AC106" s="427"/>
      <c r="AD106" s="427"/>
      <c r="AE106" s="427"/>
      <c r="AF106" s="427"/>
      <c r="AG106" s="427"/>
      <c r="AH106" s="427"/>
      <c r="AI106" s="427"/>
      <c r="AJ106" s="427"/>
      <c r="AK106" s="427"/>
      <c r="AL106" s="427"/>
      <c r="AM106" s="427"/>
      <c r="AN106" s="427"/>
      <c r="AO106" s="427"/>
      <c r="AP106" s="427"/>
      <c r="AQ106" s="427"/>
      <c r="AR106" s="427"/>
      <c r="AS106" s="427"/>
      <c r="AT106" s="427"/>
      <c r="AU106" s="427"/>
      <c r="AV106" s="427"/>
      <c r="AW106" s="427"/>
      <c r="AX106" s="427"/>
      <c r="AY106" s="427"/>
      <c r="AZ106" s="427"/>
      <c r="BA106" s="10"/>
      <c r="BB106" s="10"/>
      <c r="BC106" s="10"/>
      <c r="BD106" s="10"/>
      <c r="BE106" s="10"/>
      <c r="BF106" s="10"/>
      <c r="BG106" s="10"/>
      <c r="BH106" s="10"/>
      <c r="BI106" s="10"/>
      <c r="BJ106" s="10"/>
      <c r="BK106" s="10"/>
      <c r="BL106" s="10"/>
      <c r="BM106" s="10"/>
      <c r="BN106" s="10"/>
      <c r="BO106" s="10"/>
      <c r="BP106" s="10"/>
      <c r="BQ106" s="10"/>
      <c r="BR106" s="10"/>
      <c r="BS106" s="10"/>
      <c r="BT106" s="10"/>
    </row>
    <row r="107" spans="1:72" ht="18" x14ac:dyDescent="0.2">
      <c r="A107" s="427"/>
      <c r="B107" s="426"/>
      <c r="C107" s="428"/>
      <c r="D107" s="438"/>
      <c r="E107" s="426"/>
      <c r="F107" s="427"/>
      <c r="G107" s="427"/>
      <c r="H107" s="427"/>
      <c r="I107" s="427"/>
      <c r="J107" s="427"/>
      <c r="K107" s="427"/>
      <c r="L107" s="427"/>
      <c r="M107" s="427"/>
      <c r="N107" s="427"/>
      <c r="O107" s="427"/>
      <c r="P107" s="427"/>
      <c r="Q107" s="427"/>
      <c r="R107" s="427"/>
      <c r="S107" s="427"/>
      <c r="T107" s="427"/>
      <c r="U107" s="427"/>
      <c r="V107" s="427"/>
      <c r="W107" s="427"/>
      <c r="X107" s="427"/>
      <c r="Y107" s="427"/>
      <c r="Z107" s="427"/>
      <c r="AA107" s="427"/>
      <c r="AB107" s="427"/>
      <c r="AC107" s="427"/>
      <c r="AD107" s="427"/>
      <c r="AE107" s="427"/>
      <c r="AF107" s="427"/>
      <c r="AG107" s="427"/>
      <c r="AH107" s="427"/>
      <c r="AI107" s="427"/>
      <c r="AJ107" s="427"/>
      <c r="AK107" s="427"/>
      <c r="AL107" s="427"/>
      <c r="AM107" s="427"/>
      <c r="AN107" s="427"/>
      <c r="AO107" s="427"/>
      <c r="AP107" s="427"/>
      <c r="AQ107" s="427"/>
      <c r="AR107" s="427"/>
      <c r="AS107" s="427"/>
      <c r="AT107" s="427"/>
      <c r="AU107" s="427"/>
      <c r="AV107" s="427"/>
      <c r="AW107" s="427"/>
      <c r="AX107" s="427"/>
      <c r="AY107" s="427"/>
      <c r="AZ107" s="427"/>
      <c r="BA107" s="10"/>
      <c r="BB107" s="10"/>
      <c r="BC107" s="10"/>
      <c r="BD107" s="10"/>
      <c r="BE107" s="10"/>
      <c r="BF107" s="10"/>
      <c r="BG107" s="10"/>
      <c r="BH107" s="10"/>
      <c r="BI107" s="10"/>
      <c r="BJ107" s="10"/>
      <c r="BK107" s="10"/>
      <c r="BL107" s="10"/>
      <c r="BM107" s="10"/>
      <c r="BN107" s="10"/>
      <c r="BO107" s="10"/>
      <c r="BP107" s="10"/>
      <c r="BQ107" s="10"/>
      <c r="BR107" s="10"/>
      <c r="BS107" s="10"/>
      <c r="BT107" s="10"/>
    </row>
    <row r="108" spans="1:72" ht="18" x14ac:dyDescent="0.2">
      <c r="A108" s="427"/>
      <c r="B108" s="426"/>
      <c r="C108" s="428"/>
      <c r="D108" s="438"/>
      <c r="E108" s="426"/>
      <c r="F108" s="427"/>
      <c r="G108" s="427"/>
      <c r="H108" s="427"/>
      <c r="I108" s="427"/>
      <c r="J108" s="427"/>
      <c r="K108" s="427"/>
      <c r="L108" s="427"/>
      <c r="M108" s="427"/>
      <c r="N108" s="427"/>
      <c r="O108" s="427"/>
      <c r="P108" s="427"/>
      <c r="Q108" s="427"/>
      <c r="R108" s="427"/>
      <c r="S108" s="427"/>
      <c r="T108" s="427"/>
      <c r="U108" s="427"/>
      <c r="V108" s="427"/>
      <c r="W108" s="427"/>
      <c r="X108" s="427"/>
      <c r="Y108" s="427"/>
      <c r="Z108" s="427"/>
      <c r="AA108" s="427"/>
      <c r="AB108" s="427"/>
      <c r="AC108" s="427"/>
      <c r="AD108" s="427"/>
      <c r="AE108" s="427"/>
      <c r="AF108" s="427"/>
      <c r="AG108" s="427"/>
      <c r="AH108" s="427"/>
      <c r="AI108" s="427"/>
      <c r="AJ108" s="427"/>
      <c r="AK108" s="427"/>
      <c r="AL108" s="427"/>
      <c r="AM108" s="427"/>
      <c r="AN108" s="427"/>
      <c r="AO108" s="427"/>
      <c r="AP108" s="427"/>
      <c r="AQ108" s="427"/>
      <c r="AR108" s="427"/>
      <c r="AS108" s="427"/>
      <c r="AT108" s="427"/>
      <c r="AU108" s="427"/>
      <c r="AV108" s="427"/>
      <c r="AW108" s="427"/>
      <c r="AX108" s="427"/>
      <c r="AY108" s="427"/>
      <c r="AZ108" s="427"/>
      <c r="BA108" s="10"/>
      <c r="BB108" s="10"/>
      <c r="BC108" s="10"/>
      <c r="BD108" s="10"/>
      <c r="BE108" s="10"/>
      <c r="BF108" s="10"/>
      <c r="BG108" s="10"/>
      <c r="BH108" s="10"/>
      <c r="BI108" s="10"/>
      <c r="BJ108" s="10"/>
      <c r="BK108" s="10"/>
      <c r="BL108" s="10"/>
      <c r="BM108" s="10"/>
      <c r="BN108" s="10"/>
      <c r="BO108" s="10"/>
      <c r="BP108" s="10"/>
      <c r="BQ108" s="10"/>
      <c r="BR108" s="10"/>
      <c r="BS108" s="10"/>
      <c r="BT108" s="10"/>
    </row>
    <row r="109" spans="1:72" ht="18" x14ac:dyDescent="0.2">
      <c r="A109" s="427"/>
      <c r="B109" s="426"/>
      <c r="C109" s="428"/>
      <c r="D109" s="438"/>
      <c r="E109" s="426"/>
      <c r="F109" s="427"/>
      <c r="G109" s="427"/>
      <c r="H109" s="427"/>
      <c r="I109" s="427"/>
      <c r="J109" s="427"/>
      <c r="K109" s="427"/>
      <c r="L109" s="427"/>
      <c r="M109" s="427"/>
      <c r="N109" s="427"/>
      <c r="O109" s="427"/>
      <c r="P109" s="427"/>
      <c r="Q109" s="427"/>
      <c r="R109" s="427"/>
      <c r="S109" s="427"/>
      <c r="T109" s="427"/>
      <c r="U109" s="427"/>
      <c r="V109" s="427"/>
      <c r="W109" s="427"/>
      <c r="X109" s="427"/>
      <c r="Y109" s="427"/>
      <c r="Z109" s="427"/>
      <c r="AA109" s="427"/>
      <c r="AB109" s="427"/>
      <c r="AC109" s="427"/>
      <c r="AD109" s="427"/>
      <c r="AE109" s="427"/>
      <c r="AF109" s="427"/>
      <c r="AG109" s="427"/>
      <c r="AH109" s="427"/>
      <c r="AI109" s="427"/>
      <c r="AJ109" s="427"/>
      <c r="AK109" s="427"/>
      <c r="AL109" s="427"/>
      <c r="AM109" s="427"/>
      <c r="AN109" s="427"/>
      <c r="AO109" s="427"/>
      <c r="AP109" s="427"/>
      <c r="AQ109" s="427"/>
      <c r="AR109" s="427"/>
      <c r="AS109" s="427"/>
      <c r="AT109" s="427"/>
      <c r="AU109" s="427"/>
      <c r="AV109" s="427"/>
      <c r="AW109" s="427"/>
      <c r="AX109" s="427"/>
      <c r="AY109" s="427"/>
      <c r="AZ109" s="427"/>
      <c r="BA109" s="10"/>
      <c r="BB109" s="10"/>
      <c r="BC109" s="10"/>
      <c r="BD109" s="10"/>
      <c r="BE109" s="10"/>
      <c r="BF109" s="10"/>
      <c r="BG109" s="10"/>
      <c r="BH109" s="10"/>
      <c r="BI109" s="10"/>
      <c r="BJ109" s="10"/>
      <c r="BK109" s="10"/>
      <c r="BL109" s="10"/>
      <c r="BM109" s="10"/>
      <c r="BN109" s="10"/>
      <c r="BO109" s="10"/>
      <c r="BP109" s="10"/>
      <c r="BQ109" s="10"/>
      <c r="BR109" s="10"/>
      <c r="BS109" s="10"/>
      <c r="BT109" s="10"/>
    </row>
    <row r="110" spans="1:72" ht="18" x14ac:dyDescent="0.2">
      <c r="A110" s="427"/>
      <c r="B110" s="426"/>
      <c r="C110" s="428"/>
      <c r="D110" s="438"/>
      <c r="E110" s="426"/>
      <c r="F110" s="427"/>
      <c r="G110" s="427"/>
      <c r="H110" s="427"/>
      <c r="I110" s="427"/>
      <c r="J110" s="427"/>
      <c r="K110" s="427"/>
      <c r="L110" s="427"/>
      <c r="M110" s="427"/>
      <c r="N110" s="427"/>
      <c r="O110" s="427"/>
      <c r="P110" s="427"/>
      <c r="Q110" s="427"/>
      <c r="R110" s="427"/>
      <c r="S110" s="427"/>
      <c r="T110" s="427"/>
      <c r="U110" s="427"/>
      <c r="V110" s="427"/>
      <c r="W110" s="427"/>
      <c r="X110" s="427"/>
      <c r="Y110" s="427"/>
      <c r="Z110" s="427"/>
      <c r="AA110" s="427"/>
      <c r="AB110" s="427"/>
      <c r="AC110" s="427"/>
      <c r="AD110" s="427"/>
      <c r="AE110" s="427"/>
      <c r="AF110" s="427"/>
      <c r="AG110" s="427"/>
      <c r="AH110" s="427"/>
      <c r="AI110" s="427"/>
      <c r="AJ110" s="427"/>
      <c r="AK110" s="427"/>
      <c r="AL110" s="427"/>
      <c r="AM110" s="427"/>
      <c r="AN110" s="427"/>
      <c r="AO110" s="427"/>
      <c r="AP110" s="427"/>
      <c r="AQ110" s="427"/>
      <c r="AR110" s="427"/>
      <c r="AS110" s="427"/>
      <c r="AT110" s="427"/>
      <c r="AU110" s="427"/>
      <c r="AV110" s="427"/>
      <c r="AW110" s="427"/>
      <c r="AX110" s="427"/>
      <c r="AY110" s="427"/>
      <c r="AZ110" s="427"/>
      <c r="BA110" s="10"/>
      <c r="BB110" s="10"/>
      <c r="BC110" s="10"/>
      <c r="BD110" s="10"/>
      <c r="BE110" s="10"/>
      <c r="BF110" s="10"/>
      <c r="BG110" s="10"/>
      <c r="BH110" s="10"/>
      <c r="BI110" s="10"/>
      <c r="BJ110" s="10"/>
      <c r="BK110" s="10"/>
      <c r="BL110" s="10"/>
      <c r="BM110" s="10"/>
      <c r="BN110" s="10"/>
      <c r="BO110" s="10"/>
      <c r="BP110" s="10"/>
      <c r="BQ110" s="10"/>
      <c r="BR110" s="10"/>
      <c r="BS110" s="10"/>
      <c r="BT110" s="10"/>
    </row>
    <row r="111" spans="1:72" ht="18" x14ac:dyDescent="0.2">
      <c r="A111" s="427"/>
      <c r="B111" s="426"/>
      <c r="C111" s="428"/>
      <c r="D111" s="438"/>
      <c r="E111" s="426"/>
      <c r="F111" s="427"/>
      <c r="G111" s="427"/>
      <c r="H111" s="427"/>
      <c r="I111" s="427"/>
      <c r="J111" s="427"/>
      <c r="K111" s="427"/>
      <c r="L111" s="427"/>
      <c r="M111" s="427"/>
      <c r="N111" s="427"/>
      <c r="O111" s="427"/>
      <c r="P111" s="427"/>
      <c r="Q111" s="427"/>
      <c r="R111" s="427"/>
      <c r="S111" s="427"/>
      <c r="T111" s="427"/>
      <c r="U111" s="427"/>
      <c r="V111" s="427"/>
      <c r="W111" s="427"/>
      <c r="X111" s="427"/>
      <c r="Y111" s="427"/>
      <c r="Z111" s="427"/>
      <c r="AA111" s="427"/>
      <c r="AB111" s="427"/>
      <c r="AC111" s="427"/>
      <c r="AD111" s="427"/>
      <c r="AE111" s="427"/>
      <c r="AF111" s="427"/>
      <c r="AG111" s="427"/>
      <c r="AH111" s="427"/>
      <c r="AI111" s="427"/>
      <c r="AJ111" s="427"/>
      <c r="AK111" s="427"/>
      <c r="AL111" s="427"/>
      <c r="AM111" s="427"/>
      <c r="AN111" s="427"/>
      <c r="AO111" s="427"/>
      <c r="AP111" s="427"/>
      <c r="AQ111" s="427"/>
      <c r="AR111" s="427"/>
      <c r="AS111" s="427"/>
      <c r="AT111" s="427"/>
      <c r="AU111" s="427"/>
      <c r="AV111" s="427"/>
      <c r="AW111" s="427"/>
      <c r="AX111" s="427"/>
      <c r="AY111" s="427"/>
      <c r="AZ111" s="427"/>
      <c r="BA111" s="10"/>
      <c r="BB111" s="10"/>
      <c r="BC111" s="10"/>
      <c r="BD111" s="10"/>
      <c r="BE111" s="10"/>
      <c r="BF111" s="10"/>
      <c r="BG111" s="10"/>
      <c r="BH111" s="10"/>
      <c r="BI111" s="10"/>
      <c r="BJ111" s="10"/>
      <c r="BK111" s="10"/>
      <c r="BL111" s="10"/>
      <c r="BM111" s="10"/>
      <c r="BN111" s="10"/>
      <c r="BO111" s="10"/>
      <c r="BP111" s="10"/>
      <c r="BQ111" s="10"/>
      <c r="BR111" s="10"/>
      <c r="BS111" s="10"/>
      <c r="BT111" s="10"/>
    </row>
    <row r="112" spans="1:72" ht="18" x14ac:dyDescent="0.2">
      <c r="A112" s="427"/>
      <c r="B112" s="426"/>
      <c r="C112" s="428"/>
      <c r="D112" s="438"/>
      <c r="E112" s="426"/>
      <c r="F112" s="427"/>
      <c r="G112" s="427"/>
      <c r="H112" s="427"/>
      <c r="I112" s="427"/>
      <c r="J112" s="427"/>
      <c r="K112" s="427"/>
      <c r="L112" s="427"/>
      <c r="M112" s="427"/>
      <c r="N112" s="427"/>
      <c r="O112" s="427"/>
      <c r="P112" s="427"/>
      <c r="Q112" s="427"/>
      <c r="R112" s="427"/>
      <c r="S112" s="427"/>
      <c r="T112" s="427"/>
      <c r="U112" s="427"/>
      <c r="V112" s="427"/>
      <c r="W112" s="427"/>
      <c r="X112" s="427"/>
      <c r="Y112" s="427"/>
      <c r="Z112" s="427"/>
      <c r="AA112" s="427"/>
      <c r="AB112" s="427"/>
      <c r="AC112" s="427"/>
      <c r="AD112" s="427"/>
      <c r="AE112" s="427"/>
      <c r="AF112" s="427"/>
      <c r="AG112" s="427"/>
      <c r="AH112" s="427"/>
      <c r="AI112" s="427"/>
      <c r="AJ112" s="427"/>
      <c r="AK112" s="427"/>
      <c r="AL112" s="427"/>
      <c r="AM112" s="427"/>
      <c r="AN112" s="427"/>
      <c r="AO112" s="427"/>
      <c r="AP112" s="427"/>
      <c r="AQ112" s="427"/>
      <c r="AR112" s="427"/>
      <c r="AS112" s="427"/>
      <c r="AT112" s="427"/>
      <c r="AU112" s="427"/>
      <c r="AV112" s="427"/>
      <c r="AW112" s="427"/>
      <c r="AX112" s="427"/>
      <c r="AY112" s="427"/>
      <c r="AZ112" s="427"/>
      <c r="BA112" s="10"/>
      <c r="BB112" s="10"/>
      <c r="BC112" s="10"/>
      <c r="BD112" s="10"/>
      <c r="BE112" s="10"/>
      <c r="BF112" s="10"/>
      <c r="BG112" s="10"/>
      <c r="BH112" s="10"/>
      <c r="BI112" s="10"/>
      <c r="BJ112" s="10"/>
      <c r="BK112" s="10"/>
      <c r="BL112" s="10"/>
      <c r="BM112" s="10"/>
      <c r="BN112" s="10"/>
      <c r="BO112" s="10"/>
      <c r="BP112" s="10"/>
      <c r="BQ112" s="10"/>
      <c r="BR112" s="10"/>
      <c r="BS112" s="10"/>
      <c r="BT112" s="10"/>
    </row>
    <row r="113" spans="1:72" ht="18" x14ac:dyDescent="0.2">
      <c r="A113" s="427"/>
      <c r="B113" s="426"/>
      <c r="C113" s="428"/>
      <c r="D113" s="438"/>
      <c r="E113" s="426"/>
      <c r="F113" s="427"/>
      <c r="G113" s="427"/>
      <c r="H113" s="427"/>
      <c r="I113" s="427"/>
      <c r="J113" s="427"/>
      <c r="K113" s="427"/>
      <c r="L113" s="427"/>
      <c r="M113" s="427"/>
      <c r="N113" s="427"/>
      <c r="O113" s="427"/>
      <c r="P113" s="427"/>
      <c r="Q113" s="427"/>
      <c r="R113" s="427"/>
      <c r="S113" s="427"/>
      <c r="T113" s="427"/>
      <c r="U113" s="427"/>
      <c r="V113" s="427"/>
      <c r="W113" s="427"/>
      <c r="X113" s="427"/>
      <c r="Y113" s="427"/>
      <c r="Z113" s="427"/>
      <c r="AA113" s="427"/>
      <c r="AB113" s="427"/>
      <c r="AC113" s="427"/>
      <c r="AD113" s="427"/>
      <c r="AE113" s="427"/>
      <c r="AF113" s="427"/>
      <c r="AG113" s="427"/>
      <c r="AH113" s="427"/>
      <c r="AI113" s="427"/>
      <c r="AJ113" s="427"/>
      <c r="AK113" s="427"/>
      <c r="AL113" s="427"/>
      <c r="AM113" s="427"/>
      <c r="AN113" s="427"/>
      <c r="AO113" s="427"/>
      <c r="AP113" s="427"/>
      <c r="AQ113" s="427"/>
      <c r="AR113" s="427"/>
      <c r="AS113" s="427"/>
      <c r="AT113" s="427"/>
      <c r="AU113" s="427"/>
      <c r="AV113" s="427"/>
      <c r="AW113" s="427"/>
      <c r="AX113" s="427"/>
      <c r="AY113" s="427"/>
      <c r="AZ113" s="427"/>
      <c r="BA113" s="10"/>
      <c r="BB113" s="10"/>
      <c r="BC113" s="10"/>
      <c r="BD113" s="10"/>
      <c r="BE113" s="10"/>
      <c r="BF113" s="10"/>
      <c r="BG113" s="10"/>
      <c r="BH113" s="10"/>
      <c r="BI113" s="10"/>
      <c r="BJ113" s="10"/>
      <c r="BK113" s="10"/>
      <c r="BL113" s="10"/>
      <c r="BM113" s="10"/>
      <c r="BN113" s="10"/>
      <c r="BO113" s="10"/>
      <c r="BP113" s="10"/>
      <c r="BQ113" s="10"/>
      <c r="BR113" s="10"/>
      <c r="BS113" s="10"/>
      <c r="BT113" s="10"/>
    </row>
    <row r="114" spans="1:72" ht="18" x14ac:dyDescent="0.2">
      <c r="A114" s="427"/>
      <c r="B114" s="426"/>
      <c r="C114" s="428"/>
      <c r="D114" s="438"/>
      <c r="E114" s="426"/>
      <c r="F114" s="427"/>
      <c r="G114" s="427"/>
      <c r="H114" s="427"/>
      <c r="I114" s="427"/>
      <c r="J114" s="427"/>
      <c r="K114" s="427"/>
      <c r="L114" s="427"/>
      <c r="M114" s="427"/>
      <c r="N114" s="427"/>
      <c r="O114" s="427"/>
      <c r="P114" s="427"/>
      <c r="Q114" s="427"/>
      <c r="R114" s="427"/>
      <c r="S114" s="427"/>
      <c r="T114" s="427"/>
      <c r="U114" s="427"/>
      <c r="V114" s="427"/>
      <c r="W114" s="427"/>
      <c r="X114" s="427"/>
      <c r="Y114" s="427"/>
      <c r="Z114" s="427"/>
      <c r="AA114" s="427"/>
      <c r="AB114" s="427"/>
      <c r="AC114" s="427"/>
      <c r="AD114" s="427"/>
      <c r="AE114" s="427"/>
      <c r="AF114" s="427"/>
      <c r="AG114" s="427"/>
      <c r="AH114" s="427"/>
      <c r="AI114" s="427"/>
      <c r="AJ114" s="427"/>
      <c r="AK114" s="427"/>
      <c r="AL114" s="427"/>
      <c r="AM114" s="427"/>
      <c r="AN114" s="427"/>
      <c r="AO114" s="427"/>
      <c r="AP114" s="427"/>
      <c r="AQ114" s="427"/>
      <c r="AR114" s="427"/>
      <c r="AS114" s="427"/>
      <c r="AT114" s="427"/>
      <c r="AU114" s="427"/>
      <c r="AV114" s="427"/>
      <c r="AW114" s="427"/>
      <c r="AX114" s="427"/>
      <c r="AY114" s="427"/>
      <c r="AZ114" s="427"/>
      <c r="BA114" s="10"/>
      <c r="BB114" s="10"/>
      <c r="BC114" s="10"/>
      <c r="BD114" s="10"/>
      <c r="BE114" s="10"/>
      <c r="BF114" s="10"/>
      <c r="BG114" s="10"/>
      <c r="BH114" s="10"/>
      <c r="BI114" s="10"/>
      <c r="BJ114" s="10"/>
      <c r="BK114" s="10"/>
      <c r="BL114" s="10"/>
      <c r="BM114" s="10"/>
      <c r="BN114" s="10"/>
      <c r="BO114" s="10"/>
      <c r="BP114" s="10"/>
      <c r="BQ114" s="10"/>
      <c r="BR114" s="10"/>
      <c r="BS114" s="10"/>
      <c r="BT114" s="10"/>
    </row>
    <row r="115" spans="1:72" ht="18" x14ac:dyDescent="0.2">
      <c r="A115" s="427"/>
      <c r="B115" s="426"/>
      <c r="C115" s="428"/>
      <c r="D115" s="438"/>
      <c r="E115" s="426"/>
      <c r="F115" s="427"/>
      <c r="G115" s="427"/>
      <c r="H115" s="427"/>
      <c r="I115" s="427"/>
      <c r="J115" s="427"/>
      <c r="K115" s="427"/>
      <c r="L115" s="427"/>
      <c r="M115" s="427"/>
      <c r="N115" s="427"/>
      <c r="O115" s="427"/>
      <c r="P115" s="427"/>
      <c r="Q115" s="427"/>
      <c r="R115" s="427"/>
      <c r="S115" s="427"/>
      <c r="T115" s="427"/>
      <c r="U115" s="427"/>
      <c r="V115" s="427"/>
      <c r="W115" s="427"/>
      <c r="X115" s="427"/>
      <c r="Y115" s="427"/>
      <c r="Z115" s="427"/>
      <c r="AA115" s="427"/>
      <c r="AB115" s="427"/>
      <c r="AC115" s="427"/>
      <c r="AD115" s="427"/>
      <c r="AE115" s="427"/>
      <c r="AF115" s="427"/>
      <c r="AG115" s="427"/>
      <c r="AH115" s="427"/>
      <c r="AI115" s="427"/>
      <c r="AJ115" s="427"/>
      <c r="AK115" s="427"/>
      <c r="AL115" s="427"/>
      <c r="AM115" s="427"/>
      <c r="AN115" s="427"/>
      <c r="AO115" s="427"/>
      <c r="AP115" s="427"/>
      <c r="AQ115" s="427"/>
      <c r="AR115" s="427"/>
      <c r="AS115" s="427"/>
      <c r="AT115" s="427"/>
      <c r="AU115" s="427"/>
      <c r="AV115" s="427"/>
      <c r="AW115" s="427"/>
      <c r="AX115" s="427"/>
      <c r="AY115" s="427"/>
      <c r="AZ115" s="427"/>
      <c r="BA115" s="10"/>
      <c r="BB115" s="10"/>
      <c r="BC115" s="10"/>
      <c r="BD115" s="10"/>
      <c r="BE115" s="10"/>
      <c r="BF115" s="10"/>
      <c r="BG115" s="10"/>
      <c r="BH115" s="10"/>
      <c r="BI115" s="10"/>
      <c r="BJ115" s="10"/>
      <c r="BK115" s="10"/>
      <c r="BL115" s="10"/>
      <c r="BM115" s="10"/>
      <c r="BN115" s="10"/>
      <c r="BO115" s="10"/>
      <c r="BP115" s="10"/>
      <c r="BQ115" s="10"/>
      <c r="BR115" s="10"/>
      <c r="BS115" s="10"/>
      <c r="BT115" s="10"/>
    </row>
    <row r="116" spans="1:72" ht="18" x14ac:dyDescent="0.2">
      <c r="A116" s="427"/>
      <c r="B116" s="426"/>
      <c r="C116" s="428"/>
      <c r="D116" s="438"/>
      <c r="E116" s="426"/>
      <c r="F116" s="427"/>
      <c r="G116" s="427"/>
      <c r="H116" s="427"/>
      <c r="I116" s="427"/>
      <c r="J116" s="427"/>
      <c r="K116" s="427"/>
      <c r="L116" s="427"/>
      <c r="M116" s="427"/>
      <c r="N116" s="427"/>
      <c r="O116" s="427"/>
      <c r="P116" s="427"/>
      <c r="Q116" s="427"/>
      <c r="R116" s="427"/>
      <c r="S116" s="427"/>
      <c r="T116" s="427"/>
      <c r="U116" s="427"/>
      <c r="V116" s="427"/>
      <c r="W116" s="427"/>
      <c r="X116" s="427"/>
      <c r="Y116" s="427"/>
      <c r="Z116" s="427"/>
      <c r="AA116" s="427"/>
      <c r="AB116" s="427"/>
      <c r="AC116" s="427"/>
      <c r="AD116" s="427"/>
      <c r="AE116" s="427"/>
      <c r="AF116" s="427"/>
      <c r="AG116" s="427"/>
      <c r="AH116" s="427"/>
      <c r="AI116" s="427"/>
      <c r="AJ116" s="427"/>
      <c r="AK116" s="427"/>
      <c r="AL116" s="427"/>
      <c r="AM116" s="427"/>
      <c r="AN116" s="427"/>
      <c r="AO116" s="427"/>
      <c r="AP116" s="427"/>
      <c r="AQ116" s="427"/>
      <c r="AR116" s="427"/>
      <c r="AS116" s="427"/>
      <c r="AT116" s="427"/>
      <c r="AU116" s="427"/>
      <c r="AV116" s="427"/>
      <c r="AW116" s="427"/>
      <c r="AX116" s="427"/>
      <c r="AY116" s="427"/>
      <c r="AZ116" s="427"/>
      <c r="BA116" s="10"/>
      <c r="BB116" s="10"/>
      <c r="BC116" s="10"/>
      <c r="BD116" s="10"/>
      <c r="BE116" s="10"/>
      <c r="BF116" s="10"/>
      <c r="BG116" s="10"/>
      <c r="BH116" s="10"/>
      <c r="BI116" s="10"/>
      <c r="BJ116" s="10"/>
      <c r="BK116" s="10"/>
      <c r="BL116" s="10"/>
      <c r="BM116" s="10"/>
      <c r="BN116" s="10"/>
      <c r="BO116" s="10"/>
      <c r="BP116" s="10"/>
      <c r="BQ116" s="10"/>
      <c r="BR116" s="10"/>
      <c r="BS116" s="10"/>
      <c r="BT116" s="10"/>
    </row>
    <row r="117" spans="1:72" ht="18" x14ac:dyDescent="0.2">
      <c r="A117" s="427"/>
      <c r="B117" s="426"/>
      <c r="C117" s="428"/>
      <c r="D117" s="438"/>
      <c r="E117" s="426"/>
      <c r="F117" s="427"/>
      <c r="G117" s="427"/>
      <c r="H117" s="427"/>
      <c r="I117" s="427"/>
      <c r="J117" s="427"/>
      <c r="K117" s="427"/>
      <c r="L117" s="427"/>
      <c r="M117" s="427"/>
      <c r="N117" s="427"/>
      <c r="O117" s="427"/>
      <c r="P117" s="427"/>
      <c r="Q117" s="427"/>
      <c r="R117" s="427"/>
      <c r="S117" s="427"/>
      <c r="T117" s="427"/>
      <c r="U117" s="427"/>
      <c r="V117" s="427"/>
      <c r="W117" s="427"/>
      <c r="X117" s="427"/>
      <c r="Y117" s="427"/>
      <c r="Z117" s="427"/>
      <c r="AA117" s="427"/>
      <c r="AB117" s="427"/>
      <c r="AC117" s="427"/>
      <c r="AD117" s="427"/>
      <c r="AE117" s="427"/>
      <c r="AF117" s="427"/>
      <c r="AG117" s="427"/>
      <c r="AH117" s="427"/>
      <c r="AI117" s="427"/>
      <c r="AJ117" s="427"/>
      <c r="AK117" s="427"/>
      <c r="AL117" s="427"/>
      <c r="AM117" s="427"/>
      <c r="AN117" s="427"/>
      <c r="AO117" s="427"/>
      <c r="AP117" s="427"/>
      <c r="AQ117" s="427"/>
      <c r="AR117" s="427"/>
      <c r="AS117" s="427"/>
      <c r="AT117" s="427"/>
      <c r="AU117" s="427"/>
      <c r="AV117" s="427"/>
      <c r="AW117" s="427"/>
      <c r="AX117" s="427"/>
      <c r="AY117" s="427"/>
      <c r="AZ117" s="427"/>
      <c r="BA117" s="10"/>
      <c r="BB117" s="10"/>
      <c r="BC117" s="10"/>
      <c r="BD117" s="10"/>
      <c r="BE117" s="10"/>
      <c r="BF117" s="10"/>
      <c r="BG117" s="10"/>
      <c r="BH117" s="10"/>
      <c r="BI117" s="10"/>
      <c r="BJ117" s="10"/>
      <c r="BK117" s="10"/>
      <c r="BL117" s="10"/>
      <c r="BM117" s="10"/>
      <c r="BN117" s="10"/>
      <c r="BO117" s="10"/>
      <c r="BP117" s="10"/>
      <c r="BQ117" s="10"/>
      <c r="BR117" s="10"/>
      <c r="BS117" s="10"/>
      <c r="BT117" s="10"/>
    </row>
    <row r="118" spans="1:72" ht="18" x14ac:dyDescent="0.2">
      <c r="A118" s="427"/>
      <c r="B118" s="426"/>
      <c r="C118" s="428"/>
      <c r="D118" s="438"/>
      <c r="E118" s="426"/>
      <c r="F118" s="427"/>
      <c r="G118" s="427"/>
      <c r="H118" s="427"/>
      <c r="I118" s="427"/>
      <c r="J118" s="427"/>
      <c r="K118" s="427"/>
      <c r="L118" s="427"/>
      <c r="M118" s="427"/>
      <c r="N118" s="427"/>
      <c r="O118" s="427"/>
      <c r="P118" s="427"/>
      <c r="Q118" s="427"/>
      <c r="R118" s="427"/>
      <c r="S118" s="427"/>
      <c r="T118" s="427"/>
      <c r="U118" s="427"/>
      <c r="V118" s="427"/>
      <c r="W118" s="427"/>
      <c r="X118" s="427"/>
      <c r="Y118" s="427"/>
      <c r="Z118" s="427"/>
      <c r="AA118" s="427"/>
      <c r="AB118" s="427"/>
      <c r="AC118" s="427"/>
      <c r="AD118" s="427"/>
      <c r="AE118" s="427"/>
      <c r="AF118" s="427"/>
      <c r="AG118" s="427"/>
      <c r="AH118" s="427"/>
      <c r="AI118" s="427"/>
      <c r="AJ118" s="427"/>
      <c r="AK118" s="427"/>
      <c r="AL118" s="427"/>
      <c r="AM118" s="427"/>
      <c r="AN118" s="427"/>
      <c r="AO118" s="427"/>
      <c r="AP118" s="427"/>
      <c r="AQ118" s="427"/>
      <c r="AR118" s="427"/>
      <c r="AS118" s="427"/>
      <c r="AT118" s="427"/>
      <c r="AU118" s="427"/>
      <c r="AV118" s="427"/>
      <c r="AW118" s="427"/>
      <c r="AX118" s="427"/>
      <c r="AY118" s="427"/>
      <c r="AZ118" s="427"/>
      <c r="BA118" s="10"/>
      <c r="BB118" s="10"/>
      <c r="BC118" s="10"/>
      <c r="BD118" s="10"/>
      <c r="BE118" s="10"/>
      <c r="BF118" s="10"/>
      <c r="BG118" s="10"/>
      <c r="BH118" s="10"/>
      <c r="BI118" s="10"/>
      <c r="BJ118" s="10"/>
      <c r="BK118" s="10"/>
      <c r="BL118" s="10"/>
      <c r="BM118" s="10"/>
      <c r="BN118" s="10"/>
      <c r="BO118" s="10"/>
      <c r="BP118" s="10"/>
      <c r="BQ118" s="10"/>
      <c r="BR118" s="10"/>
      <c r="BS118" s="10"/>
      <c r="BT118" s="10"/>
    </row>
    <row r="119" spans="1:72" ht="18" x14ac:dyDescent="0.2">
      <c r="A119" s="427"/>
      <c r="B119" s="426"/>
      <c r="C119" s="428"/>
      <c r="D119" s="438"/>
      <c r="E119" s="426"/>
      <c r="F119" s="427"/>
      <c r="G119" s="427"/>
      <c r="H119" s="427"/>
      <c r="I119" s="427"/>
      <c r="J119" s="427"/>
      <c r="K119" s="427"/>
      <c r="L119" s="427"/>
      <c r="M119" s="427"/>
      <c r="N119" s="427"/>
      <c r="O119" s="427"/>
      <c r="P119" s="427"/>
      <c r="Q119" s="427"/>
      <c r="R119" s="427"/>
      <c r="S119" s="427"/>
      <c r="T119" s="427"/>
      <c r="U119" s="427"/>
      <c r="V119" s="427"/>
      <c r="W119" s="427"/>
      <c r="X119" s="427"/>
      <c r="Y119" s="427"/>
      <c r="Z119" s="427"/>
      <c r="AA119" s="427"/>
      <c r="AB119" s="427"/>
      <c r="AC119" s="427"/>
      <c r="AD119" s="427"/>
      <c r="AE119" s="427"/>
      <c r="AF119" s="427"/>
      <c r="AG119" s="427"/>
      <c r="AH119" s="427"/>
      <c r="AI119" s="427"/>
      <c r="AJ119" s="427"/>
      <c r="AK119" s="427"/>
      <c r="AL119" s="427"/>
      <c r="AM119" s="427"/>
      <c r="AN119" s="427"/>
      <c r="AO119" s="427"/>
      <c r="AP119" s="427"/>
      <c r="AQ119" s="427"/>
      <c r="AR119" s="427"/>
      <c r="AS119" s="427"/>
      <c r="AT119" s="427"/>
      <c r="AU119" s="427"/>
      <c r="AV119" s="427"/>
      <c r="AW119" s="427"/>
      <c r="AX119" s="427"/>
      <c r="AY119" s="427"/>
      <c r="AZ119" s="427"/>
      <c r="BA119" s="10"/>
      <c r="BB119" s="10"/>
      <c r="BC119" s="10"/>
      <c r="BD119" s="10"/>
      <c r="BE119" s="10"/>
      <c r="BF119" s="10"/>
      <c r="BG119" s="10"/>
      <c r="BH119" s="10"/>
      <c r="BI119" s="10"/>
      <c r="BJ119" s="10"/>
      <c r="BK119" s="10"/>
      <c r="BL119" s="10"/>
      <c r="BM119" s="10"/>
      <c r="BN119" s="10"/>
      <c r="BO119" s="10"/>
      <c r="BP119" s="10"/>
      <c r="BQ119" s="10"/>
      <c r="BR119" s="10"/>
      <c r="BS119" s="10"/>
      <c r="BT119" s="10"/>
    </row>
    <row r="120" spans="1:72" ht="18" x14ac:dyDescent="0.2">
      <c r="A120" s="427"/>
      <c r="B120" s="426"/>
      <c r="C120" s="428"/>
      <c r="D120" s="438"/>
      <c r="E120" s="426"/>
      <c r="F120" s="427"/>
      <c r="G120" s="427"/>
      <c r="H120" s="427"/>
      <c r="I120" s="427"/>
      <c r="J120" s="427"/>
      <c r="K120" s="427"/>
      <c r="L120" s="427"/>
      <c r="M120" s="427"/>
      <c r="N120" s="427"/>
      <c r="O120" s="427"/>
      <c r="P120" s="427"/>
      <c r="Q120" s="427"/>
      <c r="R120" s="427"/>
      <c r="S120" s="427"/>
      <c r="T120" s="427"/>
      <c r="U120" s="427"/>
      <c r="V120" s="427"/>
      <c r="W120" s="427"/>
      <c r="X120" s="427"/>
      <c r="Y120" s="427"/>
      <c r="Z120" s="427"/>
      <c r="AA120" s="427"/>
      <c r="AB120" s="427"/>
      <c r="AC120" s="427"/>
      <c r="AD120" s="427"/>
      <c r="AE120" s="427"/>
      <c r="AF120" s="427"/>
      <c r="AG120" s="427"/>
      <c r="AH120" s="427"/>
      <c r="AI120" s="427"/>
      <c r="AJ120" s="427"/>
      <c r="AK120" s="427"/>
      <c r="AL120" s="427"/>
      <c r="AM120" s="427"/>
      <c r="AN120" s="427"/>
      <c r="AO120" s="427"/>
      <c r="AP120" s="427"/>
      <c r="AQ120" s="427"/>
      <c r="AR120" s="427"/>
      <c r="AS120" s="427"/>
      <c r="AT120" s="427"/>
      <c r="AU120" s="427"/>
      <c r="AV120" s="427"/>
      <c r="AW120" s="427"/>
      <c r="AX120" s="427"/>
      <c r="AY120" s="427"/>
      <c r="AZ120" s="427"/>
      <c r="BA120" s="10"/>
      <c r="BB120" s="10"/>
      <c r="BC120" s="10"/>
      <c r="BD120" s="10"/>
      <c r="BE120" s="10"/>
      <c r="BF120" s="10"/>
      <c r="BG120" s="10"/>
      <c r="BH120" s="10"/>
      <c r="BI120" s="10"/>
      <c r="BJ120" s="10"/>
      <c r="BK120" s="10"/>
      <c r="BL120" s="10"/>
      <c r="BM120" s="10"/>
      <c r="BN120" s="10"/>
      <c r="BO120" s="10"/>
      <c r="BP120" s="10"/>
      <c r="BQ120" s="10"/>
      <c r="BR120" s="10"/>
      <c r="BS120" s="10"/>
      <c r="BT120" s="10"/>
    </row>
    <row r="121" spans="1:72" ht="18" x14ac:dyDescent="0.2">
      <c r="A121" s="427"/>
      <c r="B121" s="426"/>
      <c r="C121" s="428"/>
      <c r="D121" s="438"/>
      <c r="E121" s="426"/>
      <c r="F121" s="427"/>
      <c r="G121" s="427"/>
      <c r="H121" s="427"/>
      <c r="I121" s="427"/>
      <c r="J121" s="427"/>
      <c r="K121" s="427"/>
      <c r="L121" s="427"/>
      <c r="M121" s="427"/>
      <c r="N121" s="427"/>
      <c r="O121" s="427"/>
      <c r="P121" s="427"/>
      <c r="Q121" s="427"/>
      <c r="R121" s="427"/>
      <c r="S121" s="427"/>
      <c r="T121" s="427"/>
      <c r="U121" s="427"/>
      <c r="V121" s="427"/>
      <c r="W121" s="427"/>
      <c r="X121" s="427"/>
      <c r="Y121" s="427"/>
      <c r="Z121" s="427"/>
      <c r="AA121" s="427"/>
      <c r="AB121" s="427"/>
      <c r="AC121" s="427"/>
      <c r="AD121" s="427"/>
      <c r="AE121" s="427"/>
      <c r="AF121" s="427"/>
      <c r="AG121" s="427"/>
      <c r="AH121" s="427"/>
      <c r="AI121" s="427"/>
      <c r="AJ121" s="427"/>
      <c r="AK121" s="427"/>
      <c r="AL121" s="427"/>
      <c r="AM121" s="427"/>
      <c r="AN121" s="427"/>
      <c r="AO121" s="427"/>
      <c r="AP121" s="427"/>
      <c r="AQ121" s="427"/>
      <c r="AR121" s="427"/>
      <c r="AS121" s="427"/>
      <c r="AT121" s="427"/>
      <c r="AU121" s="427"/>
      <c r="AV121" s="427"/>
      <c r="AW121" s="427"/>
      <c r="AX121" s="427"/>
      <c r="AY121" s="427"/>
      <c r="AZ121" s="427"/>
      <c r="BA121" s="10"/>
      <c r="BB121" s="10"/>
      <c r="BC121" s="10"/>
      <c r="BD121" s="10"/>
      <c r="BE121" s="10"/>
      <c r="BF121" s="10"/>
      <c r="BG121" s="10"/>
      <c r="BH121" s="10"/>
      <c r="BI121" s="10"/>
      <c r="BJ121" s="10"/>
      <c r="BK121" s="10"/>
      <c r="BL121" s="10"/>
      <c r="BM121" s="10"/>
      <c r="BN121" s="10"/>
      <c r="BO121" s="10"/>
      <c r="BP121" s="10"/>
      <c r="BQ121" s="10"/>
      <c r="BR121" s="10"/>
      <c r="BS121" s="10"/>
      <c r="BT121" s="10"/>
    </row>
    <row r="122" spans="1:72" ht="18" x14ac:dyDescent="0.2">
      <c r="A122" s="427"/>
      <c r="B122" s="426"/>
      <c r="C122" s="428"/>
      <c r="D122" s="438"/>
      <c r="E122" s="426"/>
      <c r="F122" s="427"/>
      <c r="G122" s="427"/>
      <c r="H122" s="427"/>
      <c r="I122" s="427"/>
      <c r="J122" s="427"/>
      <c r="K122" s="427"/>
      <c r="L122" s="427"/>
      <c r="M122" s="427"/>
      <c r="N122" s="427"/>
      <c r="O122" s="427"/>
      <c r="P122" s="427"/>
      <c r="Q122" s="427"/>
      <c r="R122" s="427"/>
      <c r="S122" s="427"/>
      <c r="T122" s="427"/>
      <c r="U122" s="427"/>
      <c r="V122" s="427"/>
      <c r="W122" s="427"/>
      <c r="X122" s="427"/>
      <c r="Y122" s="427"/>
      <c r="Z122" s="427"/>
      <c r="AA122" s="427"/>
      <c r="AB122" s="427"/>
      <c r="AC122" s="427"/>
      <c r="AD122" s="427"/>
      <c r="AE122" s="427"/>
      <c r="AF122" s="427"/>
      <c r="AG122" s="427"/>
      <c r="AH122" s="427"/>
      <c r="AI122" s="427"/>
      <c r="AJ122" s="427"/>
      <c r="AK122" s="427"/>
      <c r="AL122" s="427"/>
      <c r="AM122" s="427"/>
      <c r="AN122" s="427"/>
      <c r="AO122" s="427"/>
      <c r="AP122" s="427"/>
      <c r="AQ122" s="427"/>
      <c r="AR122" s="427"/>
      <c r="AS122" s="427"/>
      <c r="AT122" s="427"/>
      <c r="AU122" s="427"/>
      <c r="AV122" s="427"/>
      <c r="AW122" s="427"/>
      <c r="AX122" s="427"/>
      <c r="AY122" s="427"/>
      <c r="AZ122" s="427"/>
      <c r="BA122" s="10"/>
      <c r="BB122" s="10"/>
      <c r="BC122" s="10"/>
      <c r="BD122" s="10"/>
      <c r="BE122" s="10"/>
      <c r="BF122" s="10"/>
      <c r="BG122" s="10"/>
      <c r="BH122" s="10"/>
      <c r="BI122" s="10"/>
      <c r="BJ122" s="10"/>
      <c r="BK122" s="10"/>
      <c r="BL122" s="10"/>
      <c r="BM122" s="10"/>
      <c r="BN122" s="10"/>
      <c r="BO122" s="10"/>
      <c r="BP122" s="10"/>
      <c r="BQ122" s="10"/>
      <c r="BR122" s="10"/>
      <c r="BS122" s="10"/>
      <c r="BT122" s="10"/>
    </row>
    <row r="123" spans="1:72" ht="18" x14ac:dyDescent="0.2">
      <c r="A123" s="427"/>
      <c r="B123" s="426"/>
      <c r="C123" s="428"/>
      <c r="D123" s="438"/>
      <c r="E123" s="426"/>
      <c r="F123" s="427"/>
      <c r="G123" s="427"/>
      <c r="H123" s="427"/>
      <c r="I123" s="427"/>
      <c r="J123" s="427"/>
      <c r="K123" s="427"/>
      <c r="L123" s="427"/>
      <c r="M123" s="427"/>
      <c r="N123" s="427"/>
      <c r="O123" s="427"/>
      <c r="P123" s="427"/>
      <c r="Q123" s="427"/>
      <c r="R123" s="427"/>
      <c r="S123" s="427"/>
      <c r="T123" s="427"/>
      <c r="U123" s="427"/>
      <c r="V123" s="427"/>
      <c r="W123" s="427"/>
      <c r="X123" s="427"/>
      <c r="Y123" s="427"/>
      <c r="Z123" s="427"/>
      <c r="AA123" s="427"/>
      <c r="AB123" s="427"/>
      <c r="AC123" s="427"/>
      <c r="AD123" s="427"/>
      <c r="AE123" s="427"/>
      <c r="AF123" s="427"/>
      <c r="AG123" s="427"/>
      <c r="AH123" s="427"/>
      <c r="AI123" s="427"/>
      <c r="AJ123" s="427"/>
      <c r="AK123" s="427"/>
      <c r="AL123" s="427"/>
      <c r="AM123" s="427"/>
      <c r="AN123" s="427"/>
      <c r="AO123" s="427"/>
      <c r="AP123" s="427"/>
      <c r="AQ123" s="427"/>
      <c r="AR123" s="427"/>
      <c r="AS123" s="427"/>
      <c r="AT123" s="427"/>
      <c r="AU123" s="427"/>
      <c r="AV123" s="427"/>
      <c r="AW123" s="427"/>
      <c r="AX123" s="427"/>
      <c r="AY123" s="427"/>
      <c r="AZ123" s="427"/>
      <c r="BA123" s="10"/>
      <c r="BB123" s="10"/>
      <c r="BC123" s="10"/>
      <c r="BD123" s="10"/>
      <c r="BE123" s="10"/>
      <c r="BF123" s="10"/>
      <c r="BG123" s="10"/>
      <c r="BH123" s="10"/>
      <c r="BI123" s="10"/>
      <c r="BJ123" s="10"/>
      <c r="BK123" s="10"/>
      <c r="BL123" s="10"/>
      <c r="BM123" s="10"/>
      <c r="BN123" s="10"/>
      <c r="BO123" s="10"/>
      <c r="BP123" s="10"/>
      <c r="BQ123" s="10"/>
      <c r="BR123" s="10"/>
      <c r="BS123" s="10"/>
      <c r="BT123" s="10"/>
    </row>
    <row r="124" spans="1:72" ht="18" x14ac:dyDescent="0.2">
      <c r="A124" s="427"/>
      <c r="B124" s="426"/>
      <c r="C124" s="428"/>
      <c r="D124" s="438"/>
      <c r="E124" s="426"/>
      <c r="F124" s="427"/>
      <c r="G124" s="427"/>
      <c r="H124" s="427"/>
      <c r="I124" s="427"/>
      <c r="J124" s="427"/>
      <c r="K124" s="427"/>
      <c r="L124" s="427"/>
      <c r="M124" s="427"/>
      <c r="N124" s="427"/>
      <c r="O124" s="427"/>
      <c r="P124" s="427"/>
      <c r="Q124" s="427"/>
      <c r="R124" s="427"/>
      <c r="S124" s="427"/>
      <c r="T124" s="427"/>
      <c r="U124" s="427"/>
      <c r="V124" s="427"/>
      <c r="W124" s="427"/>
      <c r="X124" s="427"/>
      <c r="Y124" s="427"/>
      <c r="Z124" s="427"/>
      <c r="AA124" s="427"/>
      <c r="AB124" s="427"/>
      <c r="AC124" s="427"/>
      <c r="AD124" s="427"/>
      <c r="AE124" s="427"/>
      <c r="AF124" s="427"/>
      <c r="AG124" s="427"/>
      <c r="AH124" s="427"/>
      <c r="AI124" s="427"/>
      <c r="AJ124" s="427"/>
      <c r="AK124" s="427"/>
      <c r="AL124" s="427"/>
      <c r="AM124" s="427"/>
      <c r="AN124" s="427"/>
      <c r="AO124" s="427"/>
      <c r="AP124" s="427"/>
      <c r="AQ124" s="427"/>
      <c r="AR124" s="427"/>
      <c r="AS124" s="427"/>
      <c r="AT124" s="427"/>
      <c r="AU124" s="427"/>
      <c r="AV124" s="427"/>
      <c r="AW124" s="427"/>
      <c r="AX124" s="427"/>
      <c r="AY124" s="427"/>
      <c r="AZ124" s="427"/>
      <c r="BA124" s="10"/>
      <c r="BB124" s="10"/>
      <c r="BC124" s="10"/>
      <c r="BD124" s="10"/>
      <c r="BE124" s="10"/>
      <c r="BF124" s="10"/>
      <c r="BG124" s="10"/>
      <c r="BH124" s="10"/>
      <c r="BI124" s="10"/>
      <c r="BJ124" s="10"/>
      <c r="BK124" s="10"/>
      <c r="BL124" s="10"/>
      <c r="BM124" s="10"/>
      <c r="BN124" s="10"/>
      <c r="BO124" s="10"/>
      <c r="BP124" s="10"/>
      <c r="BQ124" s="10"/>
      <c r="BR124" s="10"/>
      <c r="BS124" s="10"/>
      <c r="BT124" s="10"/>
    </row>
    <row r="125" spans="1:72" ht="18" x14ac:dyDescent="0.2">
      <c r="A125" s="427"/>
      <c r="B125" s="426"/>
      <c r="C125" s="428"/>
      <c r="D125" s="438"/>
      <c r="E125" s="426"/>
      <c r="F125" s="427"/>
      <c r="G125" s="427"/>
      <c r="H125" s="427"/>
      <c r="I125" s="427"/>
      <c r="J125" s="427"/>
      <c r="K125" s="427"/>
      <c r="L125" s="427"/>
      <c r="M125" s="427"/>
      <c r="N125" s="427"/>
      <c r="O125" s="427"/>
      <c r="P125" s="427"/>
      <c r="Q125" s="427"/>
      <c r="R125" s="427"/>
      <c r="S125" s="427"/>
      <c r="T125" s="427"/>
      <c r="U125" s="427"/>
      <c r="V125" s="427"/>
      <c r="W125" s="427"/>
      <c r="X125" s="427"/>
      <c r="Y125" s="427"/>
      <c r="Z125" s="427"/>
      <c r="AA125" s="427"/>
      <c r="AB125" s="427"/>
      <c r="AC125" s="427"/>
      <c r="AD125" s="427"/>
      <c r="AE125" s="427"/>
      <c r="AF125" s="427"/>
      <c r="AG125" s="427"/>
      <c r="AH125" s="427"/>
      <c r="AI125" s="427"/>
      <c r="AJ125" s="427"/>
      <c r="AK125" s="427"/>
      <c r="AL125" s="427"/>
      <c r="AM125" s="427"/>
      <c r="AN125" s="427"/>
      <c r="AO125" s="427"/>
      <c r="AP125" s="427"/>
      <c r="AQ125" s="427"/>
      <c r="AR125" s="427"/>
      <c r="AS125" s="427"/>
      <c r="AT125" s="427"/>
      <c r="AU125" s="427"/>
      <c r="AV125" s="427"/>
      <c r="AW125" s="427"/>
      <c r="AX125" s="427"/>
      <c r="AY125" s="427"/>
      <c r="AZ125" s="427"/>
      <c r="BA125" s="10"/>
      <c r="BB125" s="10"/>
      <c r="BC125" s="10"/>
      <c r="BD125" s="10"/>
      <c r="BE125" s="10"/>
      <c r="BF125" s="10"/>
      <c r="BG125" s="10"/>
      <c r="BH125" s="10"/>
      <c r="BI125" s="10"/>
      <c r="BJ125" s="10"/>
      <c r="BK125" s="10"/>
      <c r="BL125" s="10"/>
      <c r="BM125" s="10"/>
      <c r="BN125" s="10"/>
      <c r="BO125" s="10"/>
      <c r="BP125" s="10"/>
      <c r="BQ125" s="10"/>
      <c r="BR125" s="10"/>
      <c r="BS125" s="10"/>
      <c r="BT125" s="10"/>
    </row>
    <row r="126" spans="1:72" ht="18" x14ac:dyDescent="0.2">
      <c r="A126" s="427"/>
      <c r="B126" s="426"/>
      <c r="C126" s="428"/>
      <c r="D126" s="438"/>
      <c r="E126" s="426"/>
      <c r="F126" s="427"/>
      <c r="G126" s="427"/>
      <c r="H126" s="427"/>
      <c r="I126" s="427"/>
      <c r="J126" s="427"/>
      <c r="K126" s="427"/>
      <c r="L126" s="427"/>
      <c r="M126" s="427"/>
      <c r="N126" s="427"/>
      <c r="O126" s="427"/>
      <c r="P126" s="427"/>
      <c r="Q126" s="427"/>
      <c r="R126" s="427"/>
      <c r="S126" s="427"/>
      <c r="T126" s="427"/>
      <c r="U126" s="427"/>
      <c r="V126" s="427"/>
      <c r="W126" s="427"/>
      <c r="X126" s="427"/>
      <c r="Y126" s="427"/>
      <c r="Z126" s="427"/>
      <c r="AA126" s="427"/>
      <c r="AB126" s="427"/>
      <c r="AC126" s="427"/>
      <c r="AD126" s="427"/>
      <c r="AE126" s="427"/>
      <c r="AF126" s="427"/>
      <c r="AG126" s="427"/>
      <c r="AH126" s="427"/>
      <c r="AI126" s="427"/>
      <c r="AJ126" s="427"/>
      <c r="AK126" s="427"/>
      <c r="AL126" s="427"/>
      <c r="AM126" s="427"/>
      <c r="AN126" s="427"/>
      <c r="AO126" s="427"/>
      <c r="AP126" s="427"/>
      <c r="AQ126" s="427"/>
      <c r="AR126" s="427"/>
      <c r="AS126" s="427"/>
      <c r="AT126" s="427"/>
      <c r="AU126" s="427"/>
      <c r="AV126" s="427"/>
      <c r="AW126" s="427"/>
      <c r="AX126" s="427"/>
      <c r="AY126" s="427"/>
      <c r="AZ126" s="427"/>
      <c r="BA126" s="10"/>
      <c r="BB126" s="10"/>
      <c r="BC126" s="10"/>
      <c r="BD126" s="10"/>
      <c r="BE126" s="10"/>
      <c r="BF126" s="10"/>
      <c r="BG126" s="10"/>
      <c r="BH126" s="10"/>
      <c r="BI126" s="10"/>
      <c r="BJ126" s="10"/>
      <c r="BK126" s="10"/>
      <c r="BL126" s="10"/>
      <c r="BM126" s="10"/>
      <c r="BN126" s="10"/>
      <c r="BO126" s="10"/>
      <c r="BP126" s="10"/>
      <c r="BQ126" s="10"/>
      <c r="BR126" s="10"/>
      <c r="BS126" s="10"/>
      <c r="BT126" s="10"/>
    </row>
    <row r="127" spans="1:72" ht="18" x14ac:dyDescent="0.2">
      <c r="A127" s="427"/>
      <c r="B127" s="426"/>
      <c r="C127" s="428"/>
      <c r="D127" s="438"/>
      <c r="E127" s="426"/>
      <c r="F127" s="427"/>
      <c r="G127" s="427"/>
      <c r="H127" s="427"/>
      <c r="I127" s="427"/>
      <c r="J127" s="427"/>
      <c r="K127" s="427"/>
      <c r="L127" s="427"/>
      <c r="M127" s="427"/>
      <c r="N127" s="427"/>
      <c r="O127" s="427"/>
      <c r="P127" s="427"/>
      <c r="Q127" s="427"/>
      <c r="R127" s="427"/>
      <c r="S127" s="427"/>
      <c r="T127" s="427"/>
      <c r="U127" s="427"/>
      <c r="V127" s="427"/>
      <c r="W127" s="427"/>
      <c r="X127" s="427"/>
      <c r="Y127" s="427"/>
      <c r="Z127" s="427"/>
      <c r="AA127" s="427"/>
      <c r="AB127" s="427"/>
      <c r="AC127" s="427"/>
      <c r="AD127" s="427"/>
      <c r="AE127" s="427"/>
      <c r="AF127" s="427"/>
      <c r="AG127" s="427"/>
      <c r="AH127" s="427"/>
      <c r="AI127" s="427"/>
      <c r="AJ127" s="427"/>
      <c r="AK127" s="427"/>
      <c r="AL127" s="427"/>
      <c r="AM127" s="427"/>
      <c r="AN127" s="427"/>
      <c r="AO127" s="427"/>
      <c r="AP127" s="427"/>
      <c r="AQ127" s="427"/>
      <c r="AR127" s="427"/>
      <c r="AS127" s="427"/>
      <c r="AT127" s="427"/>
      <c r="AU127" s="427"/>
      <c r="AV127" s="427"/>
      <c r="AW127" s="427"/>
      <c r="AX127" s="427"/>
      <c r="AY127" s="427"/>
      <c r="AZ127" s="427"/>
      <c r="BA127" s="10"/>
      <c r="BB127" s="10"/>
      <c r="BC127" s="10"/>
      <c r="BD127" s="10"/>
      <c r="BE127" s="10"/>
      <c r="BF127" s="10"/>
      <c r="BG127" s="10"/>
      <c r="BH127" s="10"/>
      <c r="BI127" s="10"/>
      <c r="BJ127" s="10"/>
      <c r="BK127" s="10"/>
      <c r="BL127" s="10"/>
      <c r="BM127" s="10"/>
      <c r="BN127" s="10"/>
      <c r="BO127" s="10"/>
      <c r="BP127" s="10"/>
      <c r="BQ127" s="10"/>
      <c r="BR127" s="10"/>
      <c r="BS127" s="10"/>
      <c r="BT127" s="10"/>
    </row>
    <row r="128" spans="1:72" ht="18" x14ac:dyDescent="0.2">
      <c r="A128" s="427"/>
      <c r="B128" s="426"/>
      <c r="C128" s="428"/>
      <c r="D128" s="438"/>
      <c r="E128" s="426"/>
      <c r="F128" s="427"/>
      <c r="G128" s="427"/>
      <c r="H128" s="427"/>
      <c r="I128" s="427"/>
      <c r="J128" s="427"/>
      <c r="K128" s="427"/>
      <c r="L128" s="427"/>
      <c r="M128" s="427"/>
      <c r="N128" s="427"/>
      <c r="O128" s="427"/>
      <c r="P128" s="427"/>
      <c r="Q128" s="427"/>
      <c r="R128" s="427"/>
      <c r="S128" s="427"/>
      <c r="T128" s="427"/>
      <c r="U128" s="427"/>
      <c r="V128" s="427"/>
      <c r="W128" s="427"/>
      <c r="X128" s="427"/>
      <c r="Y128" s="427"/>
      <c r="Z128" s="427"/>
      <c r="AA128" s="427"/>
      <c r="AB128" s="427"/>
      <c r="AC128" s="427"/>
      <c r="AD128" s="427"/>
      <c r="AE128" s="427"/>
      <c r="AF128" s="427"/>
      <c r="AG128" s="427"/>
      <c r="AH128" s="427"/>
      <c r="AI128" s="427"/>
      <c r="AJ128" s="427"/>
      <c r="AK128" s="427"/>
      <c r="AL128" s="427"/>
      <c r="AM128" s="427"/>
      <c r="AN128" s="427"/>
      <c r="AO128" s="427"/>
      <c r="AP128" s="427"/>
      <c r="AQ128" s="427"/>
      <c r="AR128" s="427"/>
      <c r="AS128" s="427"/>
      <c r="AT128" s="427"/>
      <c r="AU128" s="427"/>
      <c r="AV128" s="427"/>
      <c r="AW128" s="427"/>
      <c r="AX128" s="427"/>
      <c r="AY128" s="427"/>
      <c r="AZ128" s="427"/>
      <c r="BA128" s="10"/>
      <c r="BB128" s="10"/>
      <c r="BC128" s="10"/>
      <c r="BD128" s="10"/>
      <c r="BE128" s="10"/>
      <c r="BF128" s="10"/>
      <c r="BG128" s="10"/>
      <c r="BH128" s="10"/>
      <c r="BI128" s="10"/>
      <c r="BJ128" s="10"/>
      <c r="BK128" s="10"/>
      <c r="BL128" s="10"/>
      <c r="BM128" s="10"/>
      <c r="BN128" s="10"/>
      <c r="BO128" s="10"/>
      <c r="BP128" s="10"/>
      <c r="BQ128" s="10"/>
      <c r="BR128" s="10"/>
      <c r="BS128" s="10"/>
      <c r="BT128" s="10"/>
    </row>
    <row r="129" spans="1:72" ht="18" x14ac:dyDescent="0.2">
      <c r="A129" s="427"/>
      <c r="B129" s="426"/>
      <c r="C129" s="428"/>
      <c r="D129" s="438"/>
      <c r="E129" s="426"/>
      <c r="F129" s="427"/>
      <c r="G129" s="427"/>
      <c r="H129" s="427"/>
      <c r="I129" s="427"/>
      <c r="J129" s="427"/>
      <c r="K129" s="427"/>
      <c r="L129" s="427"/>
      <c r="M129" s="427"/>
      <c r="N129" s="427"/>
      <c r="O129" s="427"/>
      <c r="P129" s="427"/>
      <c r="Q129" s="427"/>
      <c r="R129" s="427"/>
      <c r="S129" s="427"/>
      <c r="T129" s="427"/>
      <c r="U129" s="427"/>
      <c r="V129" s="427"/>
      <c r="W129" s="427"/>
      <c r="X129" s="427"/>
      <c r="Y129" s="427"/>
      <c r="Z129" s="427"/>
      <c r="AA129" s="427"/>
      <c r="AB129" s="427"/>
      <c r="AC129" s="427"/>
      <c r="AD129" s="427"/>
      <c r="AE129" s="427"/>
      <c r="AF129" s="427"/>
      <c r="AG129" s="427"/>
      <c r="AH129" s="427"/>
      <c r="AI129" s="427"/>
      <c r="AJ129" s="427"/>
      <c r="AK129" s="427"/>
      <c r="AL129" s="427"/>
      <c r="AM129" s="427"/>
      <c r="AN129" s="427"/>
      <c r="AO129" s="427"/>
      <c r="AP129" s="427"/>
      <c r="AQ129" s="427"/>
      <c r="AR129" s="427"/>
      <c r="AS129" s="427"/>
      <c r="AT129" s="427"/>
      <c r="AU129" s="427"/>
      <c r="AV129" s="427"/>
      <c r="AW129" s="427"/>
      <c r="AX129" s="427"/>
      <c r="AY129" s="427"/>
      <c r="AZ129" s="427"/>
      <c r="BA129" s="10"/>
      <c r="BB129" s="10"/>
      <c r="BC129" s="10"/>
      <c r="BD129" s="10"/>
      <c r="BE129" s="10"/>
      <c r="BF129" s="10"/>
      <c r="BG129" s="10"/>
      <c r="BH129" s="10"/>
      <c r="BI129" s="10"/>
      <c r="BJ129" s="10"/>
      <c r="BK129" s="10"/>
      <c r="BL129" s="10"/>
      <c r="BM129" s="10"/>
      <c r="BN129" s="10"/>
      <c r="BO129" s="10"/>
      <c r="BP129" s="10"/>
      <c r="BQ129" s="10"/>
      <c r="BR129" s="10"/>
      <c r="BS129" s="10"/>
      <c r="BT129" s="10"/>
    </row>
    <row r="130" spans="1:72" ht="18" x14ac:dyDescent="0.2">
      <c r="A130" s="427"/>
      <c r="B130" s="426"/>
      <c r="C130" s="428"/>
      <c r="D130" s="438"/>
      <c r="E130" s="426"/>
      <c r="F130" s="427"/>
      <c r="G130" s="427"/>
      <c r="H130" s="427"/>
      <c r="I130" s="427"/>
      <c r="J130" s="427"/>
      <c r="K130" s="427"/>
      <c r="L130" s="427"/>
      <c r="M130" s="427"/>
      <c r="N130" s="427"/>
      <c r="O130" s="427"/>
      <c r="P130" s="427"/>
      <c r="Q130" s="427"/>
      <c r="R130" s="427"/>
      <c r="S130" s="427"/>
      <c r="T130" s="427"/>
      <c r="U130" s="427"/>
      <c r="V130" s="427"/>
      <c r="W130" s="427"/>
      <c r="X130" s="427"/>
      <c r="Y130" s="427"/>
      <c r="Z130" s="427"/>
      <c r="AA130" s="427"/>
      <c r="AB130" s="427"/>
      <c r="AC130" s="427"/>
      <c r="AD130" s="427"/>
      <c r="AE130" s="427"/>
      <c r="AF130" s="427"/>
      <c r="AG130" s="427"/>
      <c r="AH130" s="427"/>
      <c r="AI130" s="427"/>
      <c r="AJ130" s="427"/>
      <c r="AK130" s="427"/>
      <c r="AL130" s="427"/>
      <c r="AM130" s="427"/>
      <c r="AN130" s="427"/>
      <c r="AO130" s="427"/>
      <c r="AP130" s="427"/>
      <c r="AQ130" s="427"/>
      <c r="AR130" s="427"/>
      <c r="AS130" s="427"/>
      <c r="AT130" s="427"/>
      <c r="AU130" s="427"/>
      <c r="AV130" s="427"/>
      <c r="AW130" s="427"/>
      <c r="AX130" s="427"/>
      <c r="AY130" s="427"/>
      <c r="AZ130" s="427"/>
      <c r="BA130" s="10"/>
      <c r="BB130" s="10"/>
      <c r="BC130" s="10"/>
      <c r="BD130" s="10"/>
      <c r="BE130" s="10"/>
      <c r="BF130" s="10"/>
      <c r="BG130" s="10"/>
      <c r="BH130" s="10"/>
      <c r="BI130" s="10"/>
      <c r="BJ130" s="10"/>
      <c r="BK130" s="10"/>
      <c r="BL130" s="10"/>
      <c r="BM130" s="10"/>
      <c r="BN130" s="10"/>
      <c r="BO130" s="10"/>
      <c r="BP130" s="10"/>
      <c r="BQ130" s="10"/>
      <c r="BR130" s="10"/>
      <c r="BS130" s="10"/>
      <c r="BT130" s="10"/>
    </row>
    <row r="131" spans="1:72" ht="18" x14ac:dyDescent="0.2">
      <c r="A131" s="427"/>
      <c r="B131" s="426"/>
      <c r="C131" s="428"/>
      <c r="D131" s="438"/>
      <c r="E131" s="426"/>
      <c r="F131" s="427"/>
      <c r="G131" s="427"/>
      <c r="H131" s="427"/>
      <c r="I131" s="427"/>
      <c r="J131" s="427"/>
      <c r="K131" s="427"/>
      <c r="L131" s="427"/>
      <c r="M131" s="427"/>
      <c r="N131" s="427"/>
      <c r="O131" s="427"/>
      <c r="P131" s="427"/>
      <c r="Q131" s="427"/>
      <c r="R131" s="427"/>
      <c r="S131" s="427"/>
      <c r="T131" s="427"/>
      <c r="U131" s="427"/>
      <c r="V131" s="427"/>
      <c r="W131" s="427"/>
      <c r="X131" s="427"/>
      <c r="Y131" s="427"/>
      <c r="Z131" s="427"/>
      <c r="AA131" s="427"/>
      <c r="AB131" s="427"/>
      <c r="AC131" s="427"/>
      <c r="AD131" s="427"/>
      <c r="AE131" s="427"/>
      <c r="AF131" s="427"/>
      <c r="AG131" s="427"/>
      <c r="AH131" s="427"/>
      <c r="AI131" s="427"/>
      <c r="AJ131" s="427"/>
      <c r="AK131" s="427"/>
      <c r="AL131" s="427"/>
      <c r="AM131" s="427"/>
      <c r="AN131" s="427"/>
      <c r="AO131" s="427"/>
      <c r="AP131" s="427"/>
      <c r="AQ131" s="427"/>
      <c r="AR131" s="427"/>
      <c r="AS131" s="427"/>
      <c r="AT131" s="427"/>
      <c r="AU131" s="427"/>
      <c r="AV131" s="427"/>
      <c r="AW131" s="427"/>
      <c r="AX131" s="427"/>
      <c r="AY131" s="427"/>
      <c r="AZ131" s="427"/>
      <c r="BA131" s="10"/>
      <c r="BB131" s="10"/>
      <c r="BC131" s="10"/>
      <c r="BD131" s="10"/>
      <c r="BE131" s="10"/>
      <c r="BF131" s="10"/>
      <c r="BG131" s="10"/>
      <c r="BH131" s="10"/>
      <c r="BI131" s="10"/>
      <c r="BJ131" s="10"/>
      <c r="BK131" s="10"/>
      <c r="BL131" s="10"/>
      <c r="BM131" s="10"/>
      <c r="BN131" s="10"/>
      <c r="BO131" s="10"/>
      <c r="BP131" s="10"/>
      <c r="BQ131" s="10"/>
      <c r="BR131" s="10"/>
      <c r="BS131" s="10"/>
      <c r="BT131" s="10"/>
    </row>
    <row r="132" spans="1:72" ht="18" x14ac:dyDescent="0.2">
      <c r="A132" s="427"/>
      <c r="B132" s="426"/>
      <c r="C132" s="428"/>
      <c r="D132" s="438"/>
      <c r="E132" s="426"/>
      <c r="F132" s="427"/>
      <c r="G132" s="427"/>
      <c r="H132" s="427"/>
      <c r="I132" s="427"/>
      <c r="J132" s="427"/>
      <c r="K132" s="427"/>
      <c r="L132" s="427"/>
      <c r="M132" s="427"/>
      <c r="N132" s="427"/>
      <c r="O132" s="427"/>
      <c r="P132" s="427"/>
      <c r="Q132" s="427"/>
      <c r="R132" s="427"/>
      <c r="S132" s="427"/>
      <c r="T132" s="427"/>
      <c r="U132" s="427"/>
      <c r="V132" s="427"/>
      <c r="W132" s="427"/>
      <c r="X132" s="427"/>
      <c r="Y132" s="427"/>
      <c r="Z132" s="427"/>
      <c r="AA132" s="427"/>
      <c r="AB132" s="427"/>
      <c r="AC132" s="427"/>
      <c r="AD132" s="427"/>
      <c r="AE132" s="427"/>
      <c r="AF132" s="427"/>
      <c r="AG132" s="427"/>
      <c r="AH132" s="427"/>
      <c r="AI132" s="427"/>
      <c r="AJ132" s="427"/>
      <c r="AK132" s="427"/>
      <c r="AL132" s="427"/>
      <c r="AM132" s="427"/>
      <c r="AN132" s="427"/>
      <c r="AO132" s="427"/>
      <c r="AP132" s="427"/>
      <c r="AQ132" s="427"/>
      <c r="AR132" s="427"/>
      <c r="AS132" s="427"/>
      <c r="AT132" s="427"/>
      <c r="AU132" s="427"/>
      <c r="AV132" s="427"/>
      <c r="AW132" s="427"/>
      <c r="AX132" s="427"/>
      <c r="AY132" s="427"/>
      <c r="AZ132" s="427"/>
      <c r="BA132" s="10"/>
      <c r="BB132" s="10"/>
      <c r="BC132" s="10"/>
      <c r="BD132" s="10"/>
      <c r="BE132" s="10"/>
      <c r="BF132" s="10"/>
      <c r="BG132" s="10"/>
      <c r="BH132" s="10"/>
      <c r="BI132" s="10"/>
      <c r="BJ132" s="10"/>
      <c r="BK132" s="10"/>
      <c r="BL132" s="10"/>
      <c r="BM132" s="10"/>
      <c r="BN132" s="10"/>
      <c r="BO132" s="10"/>
      <c r="BP132" s="10"/>
      <c r="BQ132" s="10"/>
      <c r="BR132" s="10"/>
      <c r="BS132" s="10"/>
      <c r="BT132" s="10"/>
    </row>
    <row r="133" spans="1:72" ht="18" x14ac:dyDescent="0.2">
      <c r="A133" s="427"/>
      <c r="B133" s="426"/>
      <c r="C133" s="428"/>
      <c r="D133" s="438"/>
      <c r="E133" s="426"/>
      <c r="F133" s="427"/>
      <c r="G133" s="427"/>
      <c r="H133" s="427"/>
      <c r="I133" s="427"/>
      <c r="J133" s="427"/>
      <c r="K133" s="427"/>
      <c r="L133" s="427"/>
      <c r="M133" s="427"/>
      <c r="N133" s="427"/>
      <c r="O133" s="427"/>
      <c r="P133" s="427"/>
      <c r="Q133" s="427"/>
      <c r="R133" s="427"/>
      <c r="S133" s="427"/>
      <c r="T133" s="427"/>
      <c r="U133" s="427"/>
      <c r="V133" s="427"/>
      <c r="W133" s="427"/>
      <c r="X133" s="427"/>
      <c r="Y133" s="427"/>
      <c r="Z133" s="427"/>
      <c r="AA133" s="427"/>
      <c r="AB133" s="427"/>
      <c r="AC133" s="427"/>
      <c r="AD133" s="427"/>
      <c r="AE133" s="427"/>
      <c r="AF133" s="427"/>
      <c r="AG133" s="427"/>
      <c r="AH133" s="427"/>
      <c r="AI133" s="427"/>
      <c r="AJ133" s="427"/>
      <c r="AK133" s="427"/>
      <c r="AL133" s="427"/>
      <c r="AM133" s="427"/>
      <c r="AN133" s="427"/>
      <c r="AO133" s="427"/>
      <c r="AP133" s="427"/>
      <c r="AQ133" s="427"/>
      <c r="AR133" s="427"/>
      <c r="AS133" s="427"/>
      <c r="AT133" s="427"/>
      <c r="AU133" s="427"/>
      <c r="AV133" s="427"/>
      <c r="AW133" s="427"/>
      <c r="AX133" s="427"/>
      <c r="AY133" s="427"/>
      <c r="AZ133" s="427"/>
      <c r="BA133" s="10"/>
      <c r="BB133" s="10"/>
      <c r="BC133" s="10"/>
      <c r="BD133" s="10"/>
      <c r="BE133" s="10"/>
      <c r="BF133" s="10"/>
      <c r="BG133" s="10"/>
      <c r="BH133" s="10"/>
      <c r="BI133" s="10"/>
      <c r="BJ133" s="10"/>
      <c r="BK133" s="10"/>
      <c r="BL133" s="10"/>
      <c r="BM133" s="10"/>
      <c r="BN133" s="10"/>
      <c r="BO133" s="10"/>
      <c r="BP133" s="10"/>
      <c r="BQ133" s="10"/>
      <c r="BR133" s="10"/>
      <c r="BS133" s="10"/>
      <c r="BT133" s="10"/>
    </row>
    <row r="134" spans="1:72" ht="18" x14ac:dyDescent="0.2">
      <c r="A134" s="427"/>
      <c r="B134" s="426"/>
      <c r="C134" s="428"/>
      <c r="D134" s="438"/>
      <c r="E134" s="426"/>
      <c r="F134" s="427"/>
      <c r="G134" s="427"/>
      <c r="H134" s="427"/>
      <c r="I134" s="427"/>
      <c r="J134" s="427"/>
      <c r="K134" s="427"/>
      <c r="L134" s="427"/>
      <c r="M134" s="427"/>
      <c r="N134" s="427"/>
      <c r="O134" s="427"/>
      <c r="P134" s="427"/>
      <c r="Q134" s="427"/>
      <c r="R134" s="427"/>
      <c r="S134" s="427"/>
      <c r="T134" s="427"/>
      <c r="U134" s="427"/>
      <c r="V134" s="427"/>
      <c r="W134" s="427"/>
      <c r="X134" s="427"/>
      <c r="Y134" s="427"/>
      <c r="Z134" s="427"/>
      <c r="AA134" s="427"/>
      <c r="AB134" s="427"/>
      <c r="AC134" s="427"/>
      <c r="AD134" s="427"/>
      <c r="AE134" s="427"/>
      <c r="AF134" s="427"/>
      <c r="AG134" s="427"/>
      <c r="AH134" s="427"/>
      <c r="AI134" s="427"/>
      <c r="AJ134" s="427"/>
      <c r="AK134" s="427"/>
      <c r="AL134" s="427"/>
      <c r="AM134" s="427"/>
      <c r="AN134" s="427"/>
      <c r="AO134" s="427"/>
      <c r="AP134" s="427"/>
      <c r="AQ134" s="427"/>
      <c r="AR134" s="427"/>
      <c r="AS134" s="427"/>
      <c r="AT134" s="427"/>
      <c r="AU134" s="427"/>
      <c r="AV134" s="427"/>
      <c r="AW134" s="427"/>
      <c r="AX134" s="427"/>
      <c r="AY134" s="427"/>
      <c r="AZ134" s="427"/>
      <c r="BA134" s="10"/>
      <c r="BB134" s="10"/>
      <c r="BC134" s="10"/>
      <c r="BD134" s="10"/>
      <c r="BE134" s="10"/>
      <c r="BF134" s="10"/>
      <c r="BG134" s="10"/>
      <c r="BH134" s="10"/>
      <c r="BI134" s="10"/>
      <c r="BJ134" s="10"/>
      <c r="BK134" s="10"/>
      <c r="BL134" s="10"/>
      <c r="BM134" s="10"/>
      <c r="BN134" s="10"/>
      <c r="BO134" s="10"/>
      <c r="BP134" s="10"/>
      <c r="BQ134" s="10"/>
      <c r="BR134" s="10"/>
      <c r="BS134" s="10"/>
      <c r="BT134" s="10"/>
    </row>
    <row r="135" spans="1:72" ht="18" x14ac:dyDescent="0.2">
      <c r="A135" s="427"/>
      <c r="B135" s="426"/>
      <c r="C135" s="428"/>
      <c r="D135" s="438"/>
      <c r="E135" s="426"/>
      <c r="F135" s="427"/>
      <c r="G135" s="427"/>
      <c r="H135" s="427"/>
      <c r="I135" s="427"/>
      <c r="J135" s="427"/>
      <c r="K135" s="427"/>
      <c r="L135" s="427"/>
      <c r="M135" s="427"/>
      <c r="N135" s="427"/>
      <c r="O135" s="427"/>
      <c r="P135" s="427"/>
      <c r="Q135" s="427"/>
      <c r="R135" s="427"/>
      <c r="S135" s="427"/>
      <c r="T135" s="427"/>
      <c r="U135" s="427"/>
      <c r="V135" s="427"/>
      <c r="W135" s="427"/>
      <c r="X135" s="427"/>
      <c r="Y135" s="427"/>
      <c r="Z135" s="427"/>
      <c r="AA135" s="427"/>
      <c r="AB135" s="427"/>
      <c r="AC135" s="427"/>
      <c r="AD135" s="427"/>
      <c r="AE135" s="427"/>
      <c r="AF135" s="427"/>
      <c r="AG135" s="427"/>
      <c r="AH135" s="427"/>
      <c r="AI135" s="427"/>
      <c r="AJ135" s="427"/>
      <c r="AK135" s="427"/>
      <c r="AL135" s="427"/>
      <c r="AM135" s="427"/>
      <c r="AN135" s="427"/>
      <c r="AO135" s="427"/>
      <c r="AP135" s="427"/>
      <c r="AQ135" s="427"/>
      <c r="AR135" s="427"/>
      <c r="AS135" s="427"/>
      <c r="AT135" s="427"/>
      <c r="AU135" s="427"/>
      <c r="AV135" s="427"/>
      <c r="AW135" s="427"/>
      <c r="AX135" s="427"/>
      <c r="AY135" s="427"/>
      <c r="AZ135" s="427"/>
      <c r="BA135" s="10"/>
      <c r="BB135" s="10"/>
      <c r="BC135" s="10"/>
      <c r="BD135" s="10"/>
      <c r="BE135" s="10"/>
      <c r="BF135" s="10"/>
      <c r="BG135" s="10"/>
      <c r="BH135" s="10"/>
      <c r="BI135" s="10"/>
      <c r="BJ135" s="10"/>
      <c r="BK135" s="10"/>
      <c r="BL135" s="10"/>
      <c r="BM135" s="10"/>
      <c r="BN135" s="10"/>
      <c r="BO135" s="10"/>
      <c r="BP135" s="10"/>
      <c r="BQ135" s="10"/>
      <c r="BR135" s="10"/>
      <c r="BS135" s="10"/>
      <c r="BT135" s="10"/>
    </row>
    <row r="136" spans="1:72" ht="18" x14ac:dyDescent="0.2">
      <c r="A136" s="427"/>
      <c r="B136" s="426"/>
      <c r="C136" s="428"/>
      <c r="D136" s="438"/>
      <c r="E136" s="426"/>
      <c r="F136" s="427"/>
      <c r="G136" s="427"/>
      <c r="H136" s="427"/>
      <c r="I136" s="427"/>
      <c r="J136" s="427"/>
      <c r="K136" s="427"/>
      <c r="L136" s="427"/>
      <c r="M136" s="427"/>
      <c r="N136" s="427"/>
      <c r="O136" s="427"/>
      <c r="P136" s="427"/>
      <c r="Q136" s="427"/>
      <c r="R136" s="427"/>
      <c r="S136" s="427"/>
      <c r="T136" s="427"/>
      <c r="U136" s="427"/>
      <c r="V136" s="427"/>
      <c r="W136" s="427"/>
      <c r="X136" s="427"/>
      <c r="Y136" s="427"/>
      <c r="Z136" s="427"/>
      <c r="AA136" s="427"/>
      <c r="AB136" s="427"/>
      <c r="AC136" s="427"/>
      <c r="AD136" s="427"/>
      <c r="AE136" s="427"/>
      <c r="AF136" s="427"/>
      <c r="AG136" s="427"/>
      <c r="AH136" s="427"/>
      <c r="AI136" s="427"/>
      <c r="AJ136" s="427"/>
      <c r="AK136" s="427"/>
      <c r="AL136" s="427"/>
      <c r="AM136" s="427"/>
      <c r="AN136" s="427"/>
      <c r="AO136" s="427"/>
      <c r="AP136" s="427"/>
      <c r="AQ136" s="427"/>
      <c r="AR136" s="427"/>
      <c r="AS136" s="427"/>
      <c r="AT136" s="427"/>
      <c r="AU136" s="427"/>
      <c r="AV136" s="427"/>
      <c r="AW136" s="427"/>
      <c r="AX136" s="427"/>
      <c r="AY136" s="427"/>
      <c r="AZ136" s="427"/>
      <c r="BA136" s="10"/>
      <c r="BB136" s="10"/>
      <c r="BC136" s="10"/>
      <c r="BD136" s="10"/>
      <c r="BE136" s="10"/>
      <c r="BF136" s="10"/>
      <c r="BG136" s="10"/>
      <c r="BH136" s="10"/>
      <c r="BI136" s="10"/>
      <c r="BJ136" s="10"/>
      <c r="BK136" s="10"/>
      <c r="BL136" s="10"/>
      <c r="BM136" s="10"/>
      <c r="BN136" s="10"/>
      <c r="BO136" s="10"/>
      <c r="BP136" s="10"/>
      <c r="BQ136" s="10"/>
      <c r="BR136" s="10"/>
      <c r="BS136" s="10"/>
      <c r="BT136" s="10"/>
    </row>
    <row r="137" spans="1:72" ht="18" x14ac:dyDescent="0.2">
      <c r="A137" s="427"/>
      <c r="B137" s="426"/>
      <c r="C137" s="428"/>
      <c r="D137" s="438"/>
      <c r="E137" s="426"/>
      <c r="F137" s="427"/>
      <c r="G137" s="427"/>
      <c r="H137" s="427"/>
      <c r="I137" s="427"/>
      <c r="J137" s="427"/>
      <c r="K137" s="427"/>
      <c r="L137" s="427"/>
      <c r="M137" s="427"/>
      <c r="N137" s="427"/>
      <c r="O137" s="427"/>
      <c r="P137" s="427"/>
      <c r="Q137" s="427"/>
      <c r="R137" s="427"/>
      <c r="S137" s="427"/>
      <c r="T137" s="427"/>
      <c r="U137" s="427"/>
      <c r="V137" s="427"/>
      <c r="W137" s="427"/>
      <c r="X137" s="427"/>
      <c r="Y137" s="427"/>
      <c r="Z137" s="427"/>
      <c r="AA137" s="427"/>
      <c r="AB137" s="427"/>
      <c r="AC137" s="427"/>
      <c r="AD137" s="427"/>
      <c r="AE137" s="427"/>
      <c r="AF137" s="427"/>
      <c r="AG137" s="427"/>
      <c r="AH137" s="427"/>
      <c r="AI137" s="427"/>
      <c r="AJ137" s="427"/>
      <c r="AK137" s="427"/>
      <c r="AL137" s="427"/>
      <c r="AM137" s="427"/>
      <c r="AN137" s="427"/>
      <c r="AO137" s="427"/>
      <c r="AP137" s="427"/>
      <c r="AQ137" s="427"/>
      <c r="AR137" s="427"/>
      <c r="AS137" s="427"/>
      <c r="AT137" s="427"/>
      <c r="AU137" s="427"/>
      <c r="AV137" s="427"/>
      <c r="AW137" s="427"/>
      <c r="AX137" s="427"/>
      <c r="AY137" s="427"/>
      <c r="AZ137" s="427"/>
      <c r="BA137" s="10"/>
      <c r="BB137" s="10"/>
      <c r="BC137" s="10"/>
      <c r="BD137" s="10"/>
      <c r="BE137" s="10"/>
      <c r="BF137" s="10"/>
      <c r="BG137" s="10"/>
      <c r="BH137" s="10"/>
      <c r="BI137" s="10"/>
      <c r="BJ137" s="10"/>
      <c r="BK137" s="10"/>
      <c r="BL137" s="10"/>
      <c r="BM137" s="10"/>
      <c r="BN137" s="10"/>
      <c r="BO137" s="10"/>
      <c r="BP137" s="10"/>
      <c r="BQ137" s="10"/>
      <c r="BR137" s="10"/>
      <c r="BS137" s="10"/>
      <c r="BT137" s="10"/>
    </row>
    <row r="138" spans="1:72" ht="18" x14ac:dyDescent="0.2">
      <c r="A138" s="427"/>
      <c r="B138" s="426"/>
      <c r="C138" s="428"/>
      <c r="D138" s="438"/>
      <c r="E138" s="426"/>
      <c r="F138" s="427"/>
      <c r="G138" s="427"/>
      <c r="H138" s="427"/>
      <c r="I138" s="427"/>
      <c r="J138" s="427"/>
      <c r="K138" s="427"/>
      <c r="L138" s="427"/>
      <c r="M138" s="427"/>
      <c r="N138" s="427"/>
      <c r="O138" s="427"/>
      <c r="P138" s="427"/>
      <c r="Q138" s="427"/>
      <c r="R138" s="427"/>
      <c r="S138" s="427"/>
      <c r="T138" s="427"/>
      <c r="U138" s="427"/>
      <c r="V138" s="427"/>
      <c r="W138" s="427"/>
      <c r="X138" s="427"/>
      <c r="Y138" s="427"/>
      <c r="Z138" s="427"/>
      <c r="AA138" s="427"/>
      <c r="AB138" s="427"/>
      <c r="AC138" s="427"/>
      <c r="AD138" s="427"/>
      <c r="AE138" s="427"/>
      <c r="AF138" s="427"/>
      <c r="AG138" s="427"/>
      <c r="AH138" s="427"/>
      <c r="AI138" s="427"/>
      <c r="AJ138" s="427"/>
      <c r="AK138" s="427"/>
      <c r="AL138" s="427"/>
      <c r="AM138" s="427"/>
      <c r="AN138" s="427"/>
      <c r="AO138" s="427"/>
      <c r="AP138" s="427"/>
      <c r="AQ138" s="427"/>
      <c r="AR138" s="427"/>
      <c r="AS138" s="427"/>
      <c r="AT138" s="427"/>
      <c r="AU138" s="427"/>
      <c r="AV138" s="427"/>
      <c r="AW138" s="427"/>
      <c r="AX138" s="427"/>
      <c r="AY138" s="427"/>
      <c r="AZ138" s="427"/>
      <c r="BA138" s="10"/>
      <c r="BB138" s="10"/>
      <c r="BC138" s="10"/>
      <c r="BD138" s="10"/>
      <c r="BE138" s="10"/>
      <c r="BF138" s="10"/>
      <c r="BG138" s="10"/>
      <c r="BH138" s="10"/>
      <c r="BI138" s="10"/>
      <c r="BJ138" s="10"/>
      <c r="BK138" s="10"/>
      <c r="BL138" s="10"/>
      <c r="BM138" s="10"/>
      <c r="BN138" s="10"/>
      <c r="BO138" s="10"/>
      <c r="BP138" s="10"/>
      <c r="BQ138" s="10"/>
      <c r="BR138" s="10"/>
      <c r="BS138" s="10"/>
      <c r="BT138" s="10"/>
    </row>
    <row r="139" spans="1:72" ht="18" x14ac:dyDescent="0.2">
      <c r="A139" s="427"/>
      <c r="B139" s="426"/>
      <c r="C139" s="428"/>
      <c r="D139" s="438"/>
      <c r="E139" s="426"/>
      <c r="F139" s="427"/>
      <c r="G139" s="427"/>
      <c r="H139" s="427"/>
      <c r="I139" s="427"/>
      <c r="J139" s="427"/>
      <c r="K139" s="427"/>
      <c r="L139" s="427"/>
      <c r="M139" s="427"/>
      <c r="N139" s="427"/>
      <c r="O139" s="427"/>
      <c r="P139" s="427"/>
      <c r="Q139" s="427"/>
      <c r="R139" s="427"/>
      <c r="S139" s="427"/>
      <c r="T139" s="427"/>
      <c r="U139" s="427"/>
      <c r="V139" s="427"/>
      <c r="W139" s="427"/>
      <c r="X139" s="427"/>
      <c r="Y139" s="427"/>
      <c r="Z139" s="427"/>
      <c r="AA139" s="427"/>
      <c r="AB139" s="427"/>
      <c r="AC139" s="427"/>
      <c r="AD139" s="427"/>
      <c r="AE139" s="427"/>
      <c r="AF139" s="427"/>
      <c r="AG139" s="427"/>
      <c r="AH139" s="427"/>
      <c r="AI139" s="427"/>
      <c r="AJ139" s="427"/>
      <c r="AK139" s="427"/>
      <c r="AL139" s="427"/>
      <c r="AM139" s="427"/>
      <c r="AN139" s="427"/>
      <c r="AO139" s="427"/>
      <c r="AP139" s="427"/>
      <c r="AQ139" s="427"/>
      <c r="AR139" s="427"/>
      <c r="AS139" s="427"/>
      <c r="AT139" s="427"/>
      <c r="AU139" s="427"/>
      <c r="AV139" s="427"/>
      <c r="AW139" s="427"/>
      <c r="AX139" s="427"/>
      <c r="AY139" s="427"/>
      <c r="AZ139" s="427"/>
      <c r="BA139" s="10"/>
      <c r="BB139" s="10"/>
      <c r="BC139" s="10"/>
      <c r="BD139" s="10"/>
      <c r="BE139" s="10"/>
      <c r="BF139" s="10"/>
      <c r="BG139" s="10"/>
      <c r="BH139" s="10"/>
      <c r="BI139" s="10"/>
      <c r="BJ139" s="10"/>
      <c r="BK139" s="10"/>
      <c r="BL139" s="10"/>
      <c r="BM139" s="10"/>
      <c r="BN139" s="10"/>
      <c r="BO139" s="10"/>
      <c r="BP139" s="10"/>
      <c r="BQ139" s="10"/>
      <c r="BR139" s="10"/>
      <c r="BS139" s="10"/>
      <c r="BT139" s="10"/>
    </row>
    <row r="140" spans="1:72" ht="18" x14ac:dyDescent="0.2">
      <c r="A140" s="427"/>
      <c r="B140" s="426"/>
      <c r="C140" s="428"/>
      <c r="D140" s="438"/>
      <c r="E140" s="426"/>
      <c r="F140" s="427"/>
      <c r="G140" s="427"/>
      <c r="H140" s="427"/>
      <c r="I140" s="427"/>
      <c r="J140" s="427"/>
      <c r="K140" s="427"/>
      <c r="L140" s="427"/>
      <c r="M140" s="427"/>
      <c r="N140" s="427"/>
      <c r="O140" s="427"/>
      <c r="P140" s="427"/>
      <c r="Q140" s="427"/>
      <c r="R140" s="427"/>
      <c r="S140" s="427"/>
      <c r="T140" s="427"/>
      <c r="U140" s="427"/>
      <c r="V140" s="427"/>
      <c r="W140" s="427"/>
      <c r="X140" s="427"/>
      <c r="Y140" s="427"/>
      <c r="Z140" s="427"/>
      <c r="AA140" s="427"/>
      <c r="AB140" s="427"/>
      <c r="AC140" s="427"/>
      <c r="AD140" s="427"/>
      <c r="AE140" s="427"/>
      <c r="AF140" s="427"/>
      <c r="AG140" s="427"/>
      <c r="AH140" s="427"/>
      <c r="AI140" s="427"/>
      <c r="AJ140" s="427"/>
      <c r="AK140" s="427"/>
      <c r="AL140" s="427"/>
      <c r="AM140" s="427"/>
      <c r="AN140" s="427"/>
      <c r="AO140" s="427"/>
      <c r="AP140" s="427"/>
      <c r="AQ140" s="427"/>
      <c r="AR140" s="427"/>
      <c r="AS140" s="427"/>
      <c r="AT140" s="427"/>
      <c r="AU140" s="427"/>
      <c r="AV140" s="427"/>
      <c r="AW140" s="427"/>
      <c r="AX140" s="427"/>
      <c r="AY140" s="427"/>
      <c r="AZ140" s="427"/>
      <c r="BA140" s="10"/>
      <c r="BB140" s="10"/>
      <c r="BC140" s="10"/>
      <c r="BD140" s="10"/>
      <c r="BE140" s="10"/>
      <c r="BF140" s="10"/>
      <c r="BG140" s="10"/>
      <c r="BH140" s="10"/>
      <c r="BI140" s="10"/>
      <c r="BJ140" s="10"/>
      <c r="BK140" s="10"/>
      <c r="BL140" s="10"/>
      <c r="BM140" s="10"/>
      <c r="BN140" s="10"/>
      <c r="BO140" s="10"/>
      <c r="BP140" s="10"/>
      <c r="BQ140" s="10"/>
      <c r="BR140" s="10"/>
      <c r="BS140" s="10"/>
      <c r="BT140" s="10"/>
    </row>
    <row r="141" spans="1:72" ht="18" x14ac:dyDescent="0.2">
      <c r="A141" s="427"/>
      <c r="B141" s="426"/>
      <c r="C141" s="428"/>
      <c r="D141" s="438"/>
      <c r="E141" s="426"/>
      <c r="F141" s="427"/>
      <c r="G141" s="427"/>
      <c r="H141" s="427"/>
      <c r="I141" s="427"/>
      <c r="J141" s="427"/>
      <c r="K141" s="427"/>
      <c r="L141" s="427"/>
      <c r="M141" s="427"/>
      <c r="N141" s="427"/>
      <c r="O141" s="427"/>
      <c r="P141" s="427"/>
      <c r="Q141" s="427"/>
      <c r="R141" s="427"/>
      <c r="S141" s="427"/>
      <c r="T141" s="427"/>
      <c r="U141" s="427"/>
      <c r="V141" s="427"/>
      <c r="W141" s="427"/>
      <c r="X141" s="427"/>
      <c r="Y141" s="427"/>
      <c r="Z141" s="427"/>
      <c r="AA141" s="427"/>
      <c r="AB141" s="427"/>
      <c r="AC141" s="427"/>
      <c r="AD141" s="427"/>
      <c r="AE141" s="427"/>
      <c r="AF141" s="427"/>
      <c r="AG141" s="427"/>
      <c r="AH141" s="427"/>
      <c r="AI141" s="427"/>
      <c r="AJ141" s="427"/>
      <c r="AK141" s="427"/>
      <c r="AL141" s="427"/>
      <c r="AM141" s="427"/>
      <c r="AN141" s="427"/>
      <c r="AO141" s="427"/>
      <c r="AP141" s="427"/>
      <c r="AQ141" s="427"/>
      <c r="AR141" s="427"/>
      <c r="AS141" s="427"/>
      <c r="AT141" s="427"/>
      <c r="AU141" s="427"/>
      <c r="AV141" s="427"/>
      <c r="AW141" s="427"/>
      <c r="AX141" s="427"/>
      <c r="AY141" s="427"/>
      <c r="AZ141" s="427"/>
      <c r="BA141" s="10"/>
      <c r="BB141" s="10"/>
      <c r="BC141" s="10"/>
      <c r="BD141" s="10"/>
      <c r="BE141" s="10"/>
      <c r="BF141" s="10"/>
      <c r="BG141" s="10"/>
      <c r="BH141" s="10"/>
      <c r="BI141" s="10"/>
      <c r="BJ141" s="10"/>
      <c r="BK141" s="10"/>
      <c r="BL141" s="10"/>
      <c r="BM141" s="10"/>
      <c r="BN141" s="10"/>
      <c r="BO141" s="10"/>
      <c r="BP141" s="10"/>
      <c r="BQ141" s="10"/>
      <c r="BR141" s="10"/>
      <c r="BS141" s="10"/>
      <c r="BT141" s="10"/>
    </row>
    <row r="142" spans="1:72" ht="18" x14ac:dyDescent="0.2">
      <c r="A142" s="427"/>
      <c r="B142" s="426"/>
      <c r="C142" s="428"/>
      <c r="D142" s="438"/>
      <c r="E142" s="426"/>
      <c r="F142" s="427"/>
      <c r="G142" s="427"/>
      <c r="H142" s="427"/>
      <c r="I142" s="427"/>
      <c r="J142" s="427"/>
      <c r="K142" s="427"/>
      <c r="L142" s="427"/>
      <c r="M142" s="427"/>
      <c r="N142" s="427"/>
      <c r="O142" s="427"/>
      <c r="P142" s="427"/>
      <c r="Q142" s="427"/>
      <c r="R142" s="427"/>
      <c r="S142" s="427"/>
      <c r="T142" s="427"/>
      <c r="U142" s="427"/>
      <c r="V142" s="427"/>
      <c r="W142" s="427"/>
      <c r="X142" s="427"/>
      <c r="Y142" s="427"/>
      <c r="Z142" s="427"/>
      <c r="AA142" s="427"/>
      <c r="AB142" s="427"/>
      <c r="AC142" s="427"/>
      <c r="AD142" s="427"/>
      <c r="AE142" s="427"/>
      <c r="AF142" s="427"/>
      <c r="AG142" s="427"/>
      <c r="AH142" s="427"/>
      <c r="AI142" s="427"/>
      <c r="AJ142" s="427"/>
      <c r="AK142" s="427"/>
      <c r="AL142" s="427"/>
      <c r="AM142" s="427"/>
      <c r="AN142" s="427"/>
      <c r="AO142" s="427"/>
      <c r="AP142" s="427"/>
      <c r="AQ142" s="427"/>
      <c r="AR142" s="427"/>
      <c r="AS142" s="427"/>
      <c r="AT142" s="427"/>
      <c r="AU142" s="427"/>
      <c r="AV142" s="427"/>
      <c r="AW142" s="427"/>
      <c r="AX142" s="427"/>
      <c r="AY142" s="427"/>
      <c r="AZ142" s="427"/>
      <c r="BA142" s="10"/>
      <c r="BB142" s="10"/>
      <c r="BC142" s="10"/>
      <c r="BD142" s="10"/>
      <c r="BE142" s="10"/>
      <c r="BF142" s="10"/>
      <c r="BG142" s="10"/>
      <c r="BH142" s="10"/>
      <c r="BI142" s="10"/>
      <c r="BJ142" s="10"/>
      <c r="BK142" s="10"/>
      <c r="BL142" s="10"/>
      <c r="BM142" s="10"/>
      <c r="BN142" s="10"/>
      <c r="BO142" s="10"/>
      <c r="BP142" s="10"/>
      <c r="BQ142" s="10"/>
      <c r="BR142" s="10"/>
      <c r="BS142" s="10"/>
      <c r="BT142" s="10"/>
    </row>
    <row r="143" spans="1:72" ht="18" x14ac:dyDescent="0.2">
      <c r="A143" s="427"/>
      <c r="B143" s="426"/>
      <c r="C143" s="428"/>
      <c r="D143" s="438"/>
      <c r="E143" s="426"/>
      <c r="F143" s="427"/>
      <c r="G143" s="427"/>
      <c r="H143" s="427"/>
      <c r="I143" s="427"/>
      <c r="J143" s="427"/>
      <c r="K143" s="427"/>
      <c r="L143" s="427"/>
      <c r="M143" s="427"/>
      <c r="N143" s="427"/>
      <c r="O143" s="427"/>
      <c r="P143" s="427"/>
      <c r="Q143" s="427"/>
      <c r="R143" s="427"/>
      <c r="S143" s="427"/>
      <c r="T143" s="427"/>
      <c r="U143" s="427"/>
      <c r="V143" s="427"/>
      <c r="W143" s="427"/>
      <c r="X143" s="427"/>
      <c r="Y143" s="427"/>
      <c r="Z143" s="427"/>
      <c r="AA143" s="427"/>
      <c r="AB143" s="427"/>
      <c r="AC143" s="427"/>
      <c r="AD143" s="427"/>
      <c r="AE143" s="427"/>
      <c r="AF143" s="427"/>
      <c r="AG143" s="427"/>
      <c r="AH143" s="427"/>
      <c r="AI143" s="427"/>
      <c r="AJ143" s="427"/>
      <c r="AK143" s="427"/>
      <c r="AL143" s="427"/>
      <c r="AM143" s="427"/>
      <c r="AN143" s="427"/>
      <c r="AO143" s="427"/>
      <c r="AP143" s="427"/>
      <c r="AQ143" s="427"/>
      <c r="AR143" s="427"/>
      <c r="AS143" s="427"/>
      <c r="AT143" s="427"/>
      <c r="AU143" s="427"/>
      <c r="AV143" s="427"/>
      <c r="AW143" s="427"/>
      <c r="AX143" s="427"/>
      <c r="AY143" s="427"/>
      <c r="AZ143" s="427"/>
      <c r="BA143" s="10"/>
      <c r="BB143" s="10"/>
      <c r="BC143" s="10"/>
      <c r="BD143" s="10"/>
      <c r="BE143" s="10"/>
      <c r="BF143" s="10"/>
      <c r="BG143" s="10"/>
      <c r="BH143" s="10"/>
      <c r="BI143" s="10"/>
      <c r="BJ143" s="10"/>
      <c r="BK143" s="10"/>
      <c r="BL143" s="10"/>
      <c r="BM143" s="10"/>
      <c r="BN143" s="10"/>
      <c r="BO143" s="10"/>
      <c r="BP143" s="10"/>
      <c r="BQ143" s="10"/>
      <c r="BR143" s="10"/>
      <c r="BS143" s="10"/>
      <c r="BT143" s="10"/>
    </row>
    <row r="144" spans="1:72" ht="18" x14ac:dyDescent="0.2">
      <c r="A144" s="427"/>
      <c r="B144" s="426"/>
      <c r="C144" s="428"/>
      <c r="D144" s="438"/>
      <c r="E144" s="426"/>
      <c r="F144" s="427"/>
      <c r="G144" s="427"/>
      <c r="H144" s="427"/>
      <c r="I144" s="427"/>
      <c r="J144" s="427"/>
      <c r="K144" s="427"/>
      <c r="L144" s="427"/>
      <c r="M144" s="427"/>
      <c r="N144" s="427"/>
      <c r="O144" s="427"/>
      <c r="P144" s="427"/>
      <c r="Q144" s="427"/>
      <c r="R144" s="427"/>
      <c r="S144" s="427"/>
      <c r="T144" s="427"/>
      <c r="U144" s="427"/>
      <c r="V144" s="427"/>
      <c r="W144" s="427"/>
      <c r="X144" s="427"/>
      <c r="Y144" s="427"/>
      <c r="Z144" s="427"/>
      <c r="AA144" s="427"/>
      <c r="AB144" s="427"/>
      <c r="AC144" s="427"/>
      <c r="AD144" s="427"/>
      <c r="AE144" s="427"/>
      <c r="AF144" s="427"/>
      <c r="AG144" s="427"/>
      <c r="AH144" s="427"/>
      <c r="AI144" s="427"/>
      <c r="AJ144" s="427"/>
      <c r="AK144" s="427"/>
      <c r="AL144" s="427"/>
      <c r="AM144" s="427"/>
      <c r="AN144" s="427"/>
      <c r="AO144" s="427"/>
      <c r="AP144" s="427"/>
      <c r="AQ144" s="427"/>
      <c r="AR144" s="427"/>
      <c r="AS144" s="427"/>
      <c r="AT144" s="427"/>
      <c r="AU144" s="427"/>
      <c r="AV144" s="427"/>
      <c r="AW144" s="427"/>
      <c r="AX144" s="427"/>
      <c r="AY144" s="427"/>
      <c r="AZ144" s="427"/>
      <c r="BA144" s="10"/>
      <c r="BB144" s="10"/>
      <c r="BC144" s="10"/>
      <c r="BD144" s="10"/>
      <c r="BE144" s="10"/>
      <c r="BF144" s="10"/>
      <c r="BG144" s="10"/>
      <c r="BH144" s="10"/>
      <c r="BI144" s="10"/>
      <c r="BJ144" s="10"/>
      <c r="BK144" s="10"/>
      <c r="BL144" s="10"/>
      <c r="BM144" s="10"/>
      <c r="BN144" s="10"/>
      <c r="BO144" s="10"/>
      <c r="BP144" s="10"/>
      <c r="BQ144" s="10"/>
      <c r="BR144" s="10"/>
      <c r="BS144" s="10"/>
      <c r="BT144" s="10"/>
    </row>
    <row r="145" spans="1:72" ht="18" x14ac:dyDescent="0.2">
      <c r="A145" s="427"/>
      <c r="B145" s="426"/>
      <c r="C145" s="428"/>
      <c r="D145" s="438"/>
      <c r="E145" s="426"/>
      <c r="F145" s="427"/>
      <c r="G145" s="427"/>
      <c r="H145" s="427"/>
      <c r="I145" s="427"/>
      <c r="J145" s="427"/>
      <c r="K145" s="427"/>
      <c r="L145" s="427"/>
      <c r="M145" s="427"/>
      <c r="N145" s="427"/>
      <c r="O145" s="427"/>
      <c r="P145" s="427"/>
      <c r="Q145" s="427"/>
      <c r="R145" s="427"/>
      <c r="S145" s="427"/>
      <c r="T145" s="427"/>
      <c r="U145" s="427"/>
      <c r="V145" s="427"/>
      <c r="W145" s="427"/>
      <c r="X145" s="427"/>
      <c r="Y145" s="427"/>
      <c r="Z145" s="427"/>
      <c r="AA145" s="427"/>
      <c r="AB145" s="427"/>
      <c r="AC145" s="427"/>
      <c r="AD145" s="427"/>
      <c r="AE145" s="427"/>
      <c r="AF145" s="427"/>
      <c r="AG145" s="427"/>
      <c r="AH145" s="427"/>
      <c r="AI145" s="427"/>
      <c r="AJ145" s="427"/>
      <c r="AK145" s="427"/>
      <c r="AL145" s="427"/>
      <c r="AM145" s="427"/>
      <c r="AN145" s="427"/>
      <c r="AO145" s="427"/>
      <c r="AP145" s="427"/>
      <c r="AQ145" s="427"/>
      <c r="AR145" s="427"/>
      <c r="AS145" s="427"/>
      <c r="AT145" s="427"/>
      <c r="AU145" s="427"/>
      <c r="AV145" s="427"/>
      <c r="AW145" s="427"/>
      <c r="AX145" s="427"/>
      <c r="AY145" s="427"/>
      <c r="AZ145" s="427"/>
      <c r="BA145" s="10"/>
      <c r="BB145" s="10"/>
      <c r="BC145" s="10"/>
      <c r="BD145" s="10"/>
      <c r="BE145" s="10"/>
      <c r="BF145" s="10"/>
      <c r="BG145" s="10"/>
      <c r="BH145" s="10"/>
      <c r="BI145" s="10"/>
      <c r="BJ145" s="10"/>
      <c r="BK145" s="10"/>
      <c r="BL145" s="10"/>
      <c r="BM145" s="10"/>
      <c r="BN145" s="10"/>
      <c r="BO145" s="10"/>
      <c r="BP145" s="10"/>
      <c r="BQ145" s="10"/>
      <c r="BR145" s="10"/>
      <c r="BS145" s="10"/>
      <c r="BT145" s="10"/>
    </row>
    <row r="146" spans="1:72" ht="18" x14ac:dyDescent="0.2">
      <c r="A146" s="427"/>
      <c r="B146" s="426"/>
      <c r="C146" s="428"/>
      <c r="D146" s="438"/>
      <c r="E146" s="426"/>
      <c r="F146" s="427"/>
      <c r="G146" s="427"/>
      <c r="H146" s="427"/>
      <c r="I146" s="427"/>
      <c r="J146" s="427"/>
      <c r="K146" s="427"/>
      <c r="L146" s="427"/>
      <c r="M146" s="427"/>
      <c r="N146" s="427"/>
      <c r="O146" s="427"/>
      <c r="P146" s="427"/>
      <c r="Q146" s="427"/>
      <c r="R146" s="427"/>
      <c r="S146" s="427"/>
      <c r="T146" s="427"/>
      <c r="U146" s="427"/>
      <c r="V146" s="427"/>
      <c r="W146" s="427"/>
      <c r="X146" s="427"/>
      <c r="Y146" s="427"/>
      <c r="Z146" s="427"/>
      <c r="AA146" s="427"/>
      <c r="AB146" s="427"/>
      <c r="AC146" s="427"/>
      <c r="AD146" s="427"/>
      <c r="AE146" s="427"/>
      <c r="AF146" s="427"/>
      <c r="AG146" s="427"/>
      <c r="AH146" s="427"/>
      <c r="AI146" s="427"/>
      <c r="AJ146" s="427"/>
      <c r="AK146" s="427"/>
      <c r="AL146" s="427"/>
      <c r="AM146" s="427"/>
      <c r="AN146" s="427"/>
      <c r="AO146" s="427"/>
      <c r="AP146" s="427"/>
      <c r="AQ146" s="427"/>
      <c r="AR146" s="427"/>
      <c r="AS146" s="427"/>
      <c r="AT146" s="427"/>
      <c r="AU146" s="427"/>
      <c r="AV146" s="427"/>
      <c r="AW146" s="427"/>
      <c r="AX146" s="427"/>
      <c r="AY146" s="427"/>
      <c r="AZ146" s="427"/>
      <c r="BA146" s="10"/>
      <c r="BB146" s="10"/>
      <c r="BC146" s="10"/>
      <c r="BD146" s="10"/>
      <c r="BE146" s="10"/>
      <c r="BF146" s="10"/>
      <c r="BG146" s="10"/>
      <c r="BH146" s="10"/>
      <c r="BI146" s="10"/>
      <c r="BJ146" s="10"/>
      <c r="BK146" s="10"/>
      <c r="BL146" s="10"/>
      <c r="BM146" s="10"/>
      <c r="BN146" s="10"/>
      <c r="BO146" s="10"/>
      <c r="BP146" s="10"/>
      <c r="BQ146" s="10"/>
      <c r="BR146" s="10"/>
      <c r="BS146" s="10"/>
      <c r="BT146" s="10"/>
    </row>
    <row r="147" spans="1:72" ht="18" x14ac:dyDescent="0.2">
      <c r="A147" s="427"/>
      <c r="B147" s="426"/>
      <c r="C147" s="428"/>
      <c r="D147" s="438"/>
      <c r="E147" s="426"/>
      <c r="F147" s="427"/>
      <c r="G147" s="427"/>
      <c r="H147" s="427"/>
      <c r="I147" s="427"/>
      <c r="J147" s="427"/>
      <c r="K147" s="427"/>
      <c r="L147" s="427"/>
      <c r="M147" s="427"/>
      <c r="N147" s="427"/>
      <c r="O147" s="427"/>
      <c r="P147" s="427"/>
      <c r="Q147" s="427"/>
      <c r="R147" s="427"/>
      <c r="S147" s="427"/>
      <c r="T147" s="427"/>
      <c r="U147" s="427"/>
      <c r="V147" s="427"/>
      <c r="W147" s="427"/>
      <c r="X147" s="427"/>
      <c r="Y147" s="427"/>
      <c r="Z147" s="427"/>
      <c r="AA147" s="427"/>
      <c r="AB147" s="427"/>
      <c r="AC147" s="427"/>
      <c r="AD147" s="427"/>
      <c r="AE147" s="427"/>
      <c r="AF147" s="427"/>
      <c r="AG147" s="427"/>
      <c r="AH147" s="427"/>
      <c r="AI147" s="427"/>
      <c r="AJ147" s="427"/>
      <c r="AK147" s="427"/>
      <c r="AL147" s="427"/>
      <c r="AM147" s="427"/>
      <c r="AN147" s="427"/>
      <c r="AO147" s="427"/>
      <c r="AP147" s="427"/>
      <c r="AQ147" s="427"/>
      <c r="AR147" s="427"/>
      <c r="AS147" s="427"/>
      <c r="AT147" s="427"/>
      <c r="AU147" s="427"/>
      <c r="AV147" s="427"/>
      <c r="AW147" s="427"/>
      <c r="AX147" s="427"/>
      <c r="AY147" s="427"/>
      <c r="AZ147" s="427"/>
      <c r="BA147" s="10"/>
      <c r="BB147" s="10"/>
      <c r="BC147" s="10"/>
      <c r="BD147" s="10"/>
      <c r="BE147" s="10"/>
      <c r="BF147" s="10"/>
      <c r="BG147" s="10"/>
      <c r="BH147" s="10"/>
      <c r="BI147" s="10"/>
      <c r="BJ147" s="10"/>
      <c r="BK147" s="10"/>
      <c r="BL147" s="10"/>
      <c r="BM147" s="10"/>
      <c r="BN147" s="10"/>
      <c r="BO147" s="10"/>
      <c r="BP147" s="10"/>
      <c r="BQ147" s="10"/>
      <c r="BR147" s="10"/>
      <c r="BS147" s="10"/>
      <c r="BT147" s="10"/>
    </row>
    <row r="148" spans="1:72" ht="18" x14ac:dyDescent="0.2">
      <c r="A148" s="427"/>
      <c r="B148" s="426"/>
      <c r="C148" s="428"/>
      <c r="D148" s="438"/>
      <c r="E148" s="426"/>
      <c r="F148" s="427"/>
      <c r="G148" s="427"/>
      <c r="H148" s="427"/>
      <c r="I148" s="427"/>
      <c r="J148" s="427"/>
      <c r="K148" s="427"/>
      <c r="L148" s="427"/>
      <c r="M148" s="427"/>
      <c r="N148" s="427"/>
      <c r="O148" s="427"/>
      <c r="P148" s="427"/>
      <c r="Q148" s="427"/>
      <c r="R148" s="427"/>
      <c r="S148" s="427"/>
      <c r="T148" s="427"/>
      <c r="U148" s="427"/>
      <c r="V148" s="427"/>
      <c r="W148" s="427"/>
      <c r="X148" s="427"/>
      <c r="Y148" s="427"/>
      <c r="Z148" s="427"/>
      <c r="AA148" s="427"/>
      <c r="AB148" s="427"/>
      <c r="AC148" s="427"/>
      <c r="AD148" s="427"/>
      <c r="AE148" s="427"/>
      <c r="AF148" s="427"/>
      <c r="AG148" s="427"/>
      <c r="AH148" s="427"/>
      <c r="AI148" s="427"/>
      <c r="AJ148" s="427"/>
      <c r="AK148" s="427"/>
      <c r="AL148" s="427"/>
      <c r="AM148" s="427"/>
      <c r="AN148" s="427"/>
      <c r="AO148" s="427"/>
      <c r="AP148" s="427"/>
      <c r="AQ148" s="427"/>
      <c r="AR148" s="427"/>
      <c r="AS148" s="427"/>
      <c r="AT148" s="427"/>
      <c r="AU148" s="427"/>
      <c r="AV148" s="427"/>
      <c r="AW148" s="427"/>
      <c r="AX148" s="427"/>
      <c r="AY148" s="427"/>
      <c r="AZ148" s="427"/>
      <c r="BA148" s="10"/>
      <c r="BB148" s="10"/>
      <c r="BC148" s="10"/>
      <c r="BD148" s="10"/>
      <c r="BE148" s="10"/>
      <c r="BF148" s="10"/>
      <c r="BG148" s="10"/>
      <c r="BH148" s="10"/>
      <c r="BI148" s="10"/>
      <c r="BJ148" s="10"/>
      <c r="BK148" s="10"/>
      <c r="BL148" s="10"/>
      <c r="BM148" s="10"/>
      <c r="BN148" s="10"/>
      <c r="BO148" s="10"/>
      <c r="BP148" s="10"/>
      <c r="BQ148" s="10"/>
      <c r="BR148" s="10"/>
      <c r="BS148" s="10"/>
      <c r="BT148" s="10"/>
    </row>
    <row r="149" spans="1:72" ht="18" x14ac:dyDescent="0.2">
      <c r="A149" s="427"/>
      <c r="B149" s="426"/>
      <c r="C149" s="428"/>
      <c r="D149" s="438"/>
      <c r="E149" s="426"/>
      <c r="F149" s="427"/>
      <c r="G149" s="427"/>
      <c r="H149" s="427"/>
      <c r="I149" s="427"/>
      <c r="J149" s="427"/>
      <c r="K149" s="427"/>
      <c r="L149" s="427"/>
      <c r="M149" s="427"/>
      <c r="N149" s="427"/>
      <c r="O149" s="427"/>
      <c r="P149" s="427"/>
      <c r="Q149" s="427"/>
      <c r="R149" s="427"/>
      <c r="S149" s="427"/>
      <c r="T149" s="427"/>
      <c r="U149" s="427"/>
      <c r="V149" s="427"/>
      <c r="W149" s="427"/>
      <c r="X149" s="427"/>
      <c r="Y149" s="427"/>
      <c r="Z149" s="427"/>
      <c r="AA149" s="427"/>
      <c r="AB149" s="427"/>
      <c r="AC149" s="427"/>
      <c r="AD149" s="427"/>
      <c r="AE149" s="427"/>
      <c r="AF149" s="427"/>
      <c r="AG149" s="427"/>
      <c r="AH149" s="427"/>
      <c r="AI149" s="427"/>
      <c r="AJ149" s="427"/>
      <c r="AK149" s="427"/>
      <c r="AL149" s="427"/>
      <c r="AM149" s="427"/>
      <c r="AN149" s="427"/>
      <c r="AO149" s="427"/>
      <c r="AP149" s="427"/>
      <c r="AQ149" s="427"/>
      <c r="AR149" s="427"/>
      <c r="AS149" s="427"/>
      <c r="AT149" s="427"/>
      <c r="AU149" s="427"/>
      <c r="AV149" s="427"/>
      <c r="AW149" s="427"/>
      <c r="AX149" s="427"/>
      <c r="AY149" s="427"/>
      <c r="AZ149" s="427"/>
      <c r="BA149" s="10"/>
      <c r="BB149" s="10"/>
      <c r="BC149" s="10"/>
      <c r="BD149" s="10"/>
      <c r="BE149" s="10"/>
      <c r="BF149" s="10"/>
      <c r="BG149" s="10"/>
      <c r="BH149" s="10"/>
      <c r="BI149" s="10"/>
      <c r="BJ149" s="10"/>
      <c r="BK149" s="10"/>
      <c r="BL149" s="10"/>
      <c r="BM149" s="10"/>
      <c r="BN149" s="10"/>
      <c r="BO149" s="10"/>
      <c r="BP149" s="10"/>
      <c r="BQ149" s="10"/>
      <c r="BR149" s="10"/>
      <c r="BS149" s="10"/>
      <c r="BT149" s="10"/>
    </row>
    <row r="150" spans="1:72" ht="18" x14ac:dyDescent="0.2">
      <c r="A150" s="427"/>
      <c r="B150" s="426"/>
      <c r="C150" s="428"/>
      <c r="D150" s="438"/>
      <c r="E150" s="426"/>
      <c r="F150" s="427"/>
      <c r="G150" s="427"/>
      <c r="H150" s="427"/>
      <c r="I150" s="427"/>
      <c r="J150" s="427"/>
      <c r="K150" s="427"/>
      <c r="L150" s="427"/>
      <c r="M150" s="427"/>
      <c r="N150" s="427"/>
      <c r="O150" s="427"/>
      <c r="P150" s="427"/>
      <c r="Q150" s="427"/>
      <c r="R150" s="427"/>
      <c r="S150" s="427"/>
      <c r="T150" s="427"/>
      <c r="U150" s="427"/>
      <c r="V150" s="427"/>
      <c r="W150" s="427"/>
      <c r="X150" s="427"/>
      <c r="Y150" s="427"/>
      <c r="Z150" s="427"/>
      <c r="AA150" s="427"/>
      <c r="AB150" s="427"/>
      <c r="AC150" s="427"/>
      <c r="AD150" s="427"/>
      <c r="AE150" s="427"/>
      <c r="AF150" s="427"/>
      <c r="AG150" s="427"/>
      <c r="AH150" s="427"/>
      <c r="AI150" s="427"/>
      <c r="AJ150" s="427"/>
      <c r="AK150" s="427"/>
      <c r="AL150" s="427"/>
      <c r="AM150" s="427"/>
      <c r="AN150" s="427"/>
      <c r="AO150" s="427"/>
      <c r="AP150" s="427"/>
      <c r="AQ150" s="427"/>
      <c r="AR150" s="427"/>
      <c r="AS150" s="427"/>
      <c r="AT150" s="427"/>
      <c r="AU150" s="427"/>
      <c r="AV150" s="427"/>
      <c r="AW150" s="427"/>
      <c r="AX150" s="427"/>
      <c r="AY150" s="427"/>
      <c r="AZ150" s="427"/>
      <c r="BA150" s="10"/>
      <c r="BB150" s="10"/>
      <c r="BC150" s="10"/>
      <c r="BD150" s="10"/>
      <c r="BE150" s="10"/>
      <c r="BF150" s="10"/>
      <c r="BG150" s="10"/>
      <c r="BH150" s="10"/>
      <c r="BI150" s="10"/>
      <c r="BJ150" s="10"/>
      <c r="BK150" s="10"/>
      <c r="BL150" s="10"/>
      <c r="BM150" s="10"/>
      <c r="BN150" s="10"/>
      <c r="BO150" s="10"/>
      <c r="BP150" s="10"/>
      <c r="BQ150" s="10"/>
      <c r="BR150" s="10"/>
      <c r="BS150" s="10"/>
      <c r="BT150" s="10"/>
    </row>
    <row r="151" spans="1:72" ht="18" x14ac:dyDescent="0.2">
      <c r="A151" s="427"/>
      <c r="B151" s="426"/>
      <c r="C151" s="428"/>
      <c r="D151" s="438"/>
      <c r="E151" s="426"/>
      <c r="F151" s="427"/>
      <c r="G151" s="427"/>
      <c r="H151" s="427"/>
      <c r="I151" s="427"/>
      <c r="J151" s="427"/>
      <c r="K151" s="427"/>
      <c r="L151" s="427"/>
      <c r="M151" s="427"/>
      <c r="N151" s="427"/>
      <c r="O151" s="427"/>
      <c r="P151" s="427"/>
      <c r="Q151" s="427"/>
      <c r="R151" s="427"/>
      <c r="S151" s="427"/>
      <c r="T151" s="427"/>
      <c r="U151" s="427"/>
      <c r="V151" s="427"/>
      <c r="W151" s="427"/>
      <c r="X151" s="427"/>
      <c r="Y151" s="427"/>
      <c r="Z151" s="427"/>
      <c r="AA151" s="427"/>
      <c r="AB151" s="427"/>
      <c r="AC151" s="427"/>
      <c r="AD151" s="427"/>
      <c r="AE151" s="427"/>
      <c r="AF151" s="427"/>
      <c r="AG151" s="427"/>
      <c r="AH151" s="427"/>
      <c r="AI151" s="427"/>
      <c r="AJ151" s="427"/>
      <c r="AK151" s="427"/>
      <c r="AL151" s="427"/>
      <c r="AM151" s="427"/>
      <c r="AN151" s="427"/>
      <c r="AO151" s="427"/>
      <c r="AP151" s="427"/>
      <c r="AQ151" s="427"/>
      <c r="AR151" s="427"/>
      <c r="AS151" s="427"/>
      <c r="AT151" s="427"/>
      <c r="AU151" s="427"/>
      <c r="AV151" s="427"/>
      <c r="AW151" s="427"/>
      <c r="AX151" s="427"/>
      <c r="AY151" s="427"/>
      <c r="AZ151" s="427"/>
      <c r="BA151" s="10"/>
      <c r="BB151" s="10"/>
      <c r="BC151" s="10"/>
      <c r="BD151" s="10"/>
      <c r="BE151" s="10"/>
      <c r="BF151" s="10"/>
      <c r="BG151" s="10"/>
      <c r="BH151" s="10"/>
      <c r="BI151" s="10"/>
      <c r="BJ151" s="10"/>
      <c r="BK151" s="10"/>
      <c r="BL151" s="10"/>
      <c r="BM151" s="10"/>
      <c r="BN151" s="10"/>
      <c r="BO151" s="10"/>
      <c r="BP151" s="10"/>
      <c r="BQ151" s="10"/>
      <c r="BR151" s="10"/>
      <c r="BS151" s="10"/>
      <c r="BT151" s="10"/>
    </row>
    <row r="152" spans="1:72" ht="18" x14ac:dyDescent="0.2">
      <c r="BA152" s="10"/>
      <c r="BB152" s="10"/>
      <c r="BC152" s="10"/>
      <c r="BD152" s="10"/>
      <c r="BE152" s="10"/>
      <c r="BF152" s="10"/>
      <c r="BG152" s="10"/>
      <c r="BH152" s="10"/>
      <c r="BI152" s="10"/>
      <c r="BJ152" s="10"/>
      <c r="BK152" s="10"/>
      <c r="BL152" s="10"/>
      <c r="BM152" s="10"/>
      <c r="BN152" s="10"/>
      <c r="BO152" s="10"/>
      <c r="BP152" s="10"/>
      <c r="BQ152" s="10"/>
      <c r="BR152" s="10"/>
      <c r="BS152" s="10"/>
      <c r="BT152" s="10"/>
    </row>
    <row r="153" spans="1:72" ht="18" x14ac:dyDescent="0.2">
      <c r="BA153" s="10"/>
      <c r="BB153" s="10"/>
      <c r="BC153" s="10"/>
      <c r="BD153" s="10"/>
      <c r="BE153" s="10"/>
      <c r="BF153" s="10"/>
      <c r="BG153" s="10"/>
      <c r="BH153" s="10"/>
      <c r="BI153" s="10"/>
      <c r="BJ153" s="10"/>
      <c r="BK153" s="10"/>
      <c r="BL153" s="10"/>
      <c r="BM153" s="10"/>
      <c r="BN153" s="10"/>
      <c r="BO153" s="10"/>
      <c r="BP153" s="10"/>
      <c r="BQ153" s="10"/>
      <c r="BR153" s="10"/>
      <c r="BS153" s="10"/>
      <c r="BT153" s="10"/>
    </row>
    <row r="154" spans="1:72" ht="18" x14ac:dyDescent="0.2">
      <c r="BA154" s="10"/>
      <c r="BB154" s="10"/>
      <c r="BC154" s="10"/>
      <c r="BD154" s="10"/>
      <c r="BE154" s="10"/>
      <c r="BF154" s="10"/>
      <c r="BG154" s="10"/>
      <c r="BH154" s="10"/>
      <c r="BI154" s="10"/>
      <c r="BJ154" s="10"/>
      <c r="BK154" s="10"/>
      <c r="BL154" s="10"/>
      <c r="BM154" s="10"/>
      <c r="BN154" s="10"/>
      <c r="BO154" s="10"/>
      <c r="BP154" s="10"/>
      <c r="BQ154" s="10"/>
      <c r="BR154" s="10"/>
      <c r="BS154" s="10"/>
      <c r="BT154" s="10"/>
    </row>
    <row r="155" spans="1:72" ht="18" x14ac:dyDescent="0.2">
      <c r="BA155" s="10"/>
      <c r="BB155" s="10"/>
      <c r="BC155" s="10"/>
      <c r="BD155" s="10"/>
      <c r="BE155" s="10"/>
      <c r="BF155" s="10"/>
      <c r="BG155" s="10"/>
      <c r="BH155" s="10"/>
      <c r="BI155" s="10"/>
      <c r="BJ155" s="10"/>
      <c r="BK155" s="10"/>
      <c r="BL155" s="10"/>
      <c r="BM155" s="10"/>
      <c r="BN155" s="10"/>
      <c r="BO155" s="10"/>
      <c r="BP155" s="10"/>
      <c r="BQ155" s="10"/>
      <c r="BR155" s="10"/>
      <c r="BS155" s="10"/>
      <c r="BT155" s="10"/>
    </row>
    <row r="156" spans="1:72" ht="18" x14ac:dyDescent="0.2">
      <c r="BA156" s="10"/>
      <c r="BB156" s="10"/>
      <c r="BC156" s="10"/>
      <c r="BD156" s="10"/>
      <c r="BE156" s="10"/>
      <c r="BF156" s="10"/>
      <c r="BG156" s="10"/>
      <c r="BH156" s="10"/>
      <c r="BI156" s="10"/>
      <c r="BJ156" s="10"/>
      <c r="BK156" s="10"/>
      <c r="BL156" s="10"/>
      <c r="BM156" s="10"/>
      <c r="BN156" s="10"/>
      <c r="BO156" s="10"/>
      <c r="BP156" s="10"/>
      <c r="BQ156" s="10"/>
      <c r="BR156" s="10"/>
      <c r="BS156" s="10"/>
      <c r="BT156" s="10"/>
    </row>
    <row r="157" spans="1:72" ht="18" x14ac:dyDescent="0.2">
      <c r="BA157" s="10"/>
      <c r="BB157" s="10"/>
      <c r="BC157" s="10"/>
      <c r="BD157" s="10"/>
      <c r="BE157" s="10"/>
      <c r="BF157" s="10"/>
      <c r="BG157" s="10"/>
      <c r="BH157" s="10"/>
      <c r="BI157" s="10"/>
      <c r="BJ157" s="10"/>
      <c r="BK157" s="10"/>
      <c r="BL157" s="10"/>
      <c r="BM157" s="10"/>
      <c r="BN157" s="10"/>
      <c r="BO157" s="10"/>
      <c r="BP157" s="10"/>
      <c r="BQ157" s="10"/>
      <c r="BR157" s="10"/>
      <c r="BS157" s="10"/>
      <c r="BT157" s="10"/>
    </row>
    <row r="158" spans="1:72" ht="18" x14ac:dyDescent="0.2">
      <c r="BA158" s="10"/>
      <c r="BB158" s="10"/>
      <c r="BC158" s="10"/>
      <c r="BD158" s="10"/>
      <c r="BE158" s="10"/>
      <c r="BF158" s="10"/>
      <c r="BG158" s="10"/>
      <c r="BH158" s="10"/>
      <c r="BI158" s="10"/>
      <c r="BJ158" s="10"/>
      <c r="BK158" s="10"/>
      <c r="BL158" s="10"/>
      <c r="BM158" s="10"/>
      <c r="BN158" s="10"/>
      <c r="BO158" s="10"/>
      <c r="BP158" s="10"/>
      <c r="BQ158" s="10"/>
      <c r="BR158" s="10"/>
      <c r="BS158" s="10"/>
      <c r="BT158" s="10"/>
    </row>
    <row r="159" spans="1:72" ht="18" x14ac:dyDescent="0.2">
      <c r="BA159" s="10"/>
      <c r="BB159" s="10"/>
      <c r="BC159" s="10"/>
      <c r="BD159" s="10"/>
      <c r="BE159" s="10"/>
      <c r="BF159" s="10"/>
      <c r="BG159" s="10"/>
      <c r="BH159" s="10"/>
      <c r="BI159" s="10"/>
      <c r="BJ159" s="10"/>
      <c r="BK159" s="10"/>
      <c r="BL159" s="10"/>
      <c r="BM159" s="10"/>
      <c r="BN159" s="10"/>
      <c r="BO159" s="10"/>
      <c r="BP159" s="10"/>
      <c r="BQ159" s="10"/>
      <c r="BR159" s="10"/>
      <c r="BS159" s="10"/>
      <c r="BT159" s="10"/>
    </row>
    <row r="160" spans="1:72" ht="18" x14ac:dyDescent="0.2">
      <c r="BA160" s="10"/>
      <c r="BB160" s="10"/>
      <c r="BC160" s="10"/>
      <c r="BD160" s="10"/>
      <c r="BE160" s="10"/>
      <c r="BF160" s="10"/>
      <c r="BG160" s="10"/>
      <c r="BH160" s="10"/>
      <c r="BI160" s="10"/>
      <c r="BJ160" s="10"/>
      <c r="BK160" s="10"/>
      <c r="BL160" s="10"/>
      <c r="BM160" s="10"/>
      <c r="BN160" s="10"/>
      <c r="BO160" s="10"/>
      <c r="BP160" s="10"/>
      <c r="BQ160" s="10"/>
      <c r="BR160" s="10"/>
      <c r="BS160" s="10"/>
      <c r="BT160" s="10"/>
    </row>
    <row r="161" spans="53:72" ht="18" x14ac:dyDescent="0.2">
      <c r="BA161" s="10"/>
      <c r="BB161" s="10"/>
      <c r="BC161" s="10"/>
      <c r="BD161" s="10"/>
      <c r="BE161" s="10"/>
      <c r="BF161" s="10"/>
      <c r="BG161" s="10"/>
      <c r="BH161" s="10"/>
      <c r="BI161" s="10"/>
      <c r="BJ161" s="10"/>
      <c r="BK161" s="10"/>
      <c r="BL161" s="10"/>
      <c r="BM161" s="10"/>
      <c r="BN161" s="10"/>
      <c r="BO161" s="10"/>
      <c r="BP161" s="10"/>
      <c r="BQ161" s="10"/>
      <c r="BR161" s="10"/>
      <c r="BS161" s="10"/>
      <c r="BT161" s="10"/>
    </row>
    <row r="162" spans="53:72" ht="18" x14ac:dyDescent="0.2">
      <c r="BA162" s="10"/>
      <c r="BB162" s="10"/>
      <c r="BC162" s="10"/>
      <c r="BD162" s="10"/>
      <c r="BE162" s="10"/>
      <c r="BF162" s="10"/>
      <c r="BG162" s="10"/>
      <c r="BH162" s="10"/>
      <c r="BI162" s="10"/>
      <c r="BJ162" s="10"/>
      <c r="BK162" s="10"/>
      <c r="BL162" s="10"/>
      <c r="BM162" s="10"/>
      <c r="BN162" s="10"/>
      <c r="BO162" s="10"/>
      <c r="BP162" s="10"/>
      <c r="BQ162" s="10"/>
      <c r="BR162" s="10"/>
      <c r="BS162" s="10"/>
      <c r="BT162" s="10"/>
    </row>
    <row r="163" spans="53:72" ht="18" x14ac:dyDescent="0.2">
      <c r="BA163" s="10"/>
      <c r="BB163" s="10"/>
      <c r="BC163" s="10"/>
      <c r="BD163" s="10"/>
      <c r="BE163" s="10"/>
      <c r="BF163" s="10"/>
      <c r="BG163" s="10"/>
      <c r="BH163" s="10"/>
      <c r="BI163" s="10"/>
      <c r="BJ163" s="10"/>
      <c r="BK163" s="10"/>
      <c r="BL163" s="10"/>
      <c r="BM163" s="10"/>
      <c r="BN163" s="10"/>
      <c r="BO163" s="10"/>
      <c r="BP163" s="10"/>
      <c r="BQ163" s="10"/>
      <c r="BR163" s="10"/>
      <c r="BS163" s="10"/>
      <c r="BT163" s="10"/>
    </row>
    <row r="164" spans="53:72" ht="18" x14ac:dyDescent="0.2">
      <c r="BA164" s="10"/>
      <c r="BB164" s="10"/>
      <c r="BC164" s="10"/>
      <c r="BD164" s="10"/>
      <c r="BE164" s="10"/>
      <c r="BF164" s="10"/>
      <c r="BG164" s="10"/>
      <c r="BH164" s="10"/>
      <c r="BI164" s="10"/>
      <c r="BJ164" s="10"/>
      <c r="BK164" s="10"/>
      <c r="BL164" s="10"/>
      <c r="BM164" s="10"/>
      <c r="BN164" s="10"/>
      <c r="BO164" s="10"/>
      <c r="BP164" s="10"/>
      <c r="BQ164" s="10"/>
      <c r="BR164" s="10"/>
      <c r="BS164" s="10"/>
      <c r="BT164" s="10"/>
    </row>
    <row r="165" spans="53:72" ht="18" x14ac:dyDescent="0.2">
      <c r="BA165" s="10"/>
      <c r="BB165" s="10"/>
      <c r="BC165" s="10"/>
      <c r="BD165" s="10"/>
      <c r="BE165" s="10"/>
      <c r="BF165" s="10"/>
      <c r="BG165" s="10"/>
      <c r="BH165" s="10"/>
      <c r="BI165" s="10"/>
      <c r="BJ165" s="10"/>
      <c r="BK165" s="10"/>
      <c r="BL165" s="10"/>
      <c r="BM165" s="10"/>
      <c r="BN165" s="10"/>
      <c r="BO165" s="10"/>
      <c r="BP165" s="10"/>
      <c r="BQ165" s="10"/>
      <c r="BR165" s="10"/>
      <c r="BS165" s="10"/>
      <c r="BT165" s="10"/>
    </row>
    <row r="166" spans="53:72" ht="18" x14ac:dyDescent="0.2">
      <c r="BA166" s="10"/>
      <c r="BB166" s="10"/>
      <c r="BC166" s="10"/>
      <c r="BD166" s="10"/>
      <c r="BE166" s="10"/>
      <c r="BF166" s="10"/>
      <c r="BG166" s="10"/>
      <c r="BH166" s="10"/>
      <c r="BI166" s="10"/>
      <c r="BJ166" s="10"/>
      <c r="BK166" s="10"/>
      <c r="BL166" s="10"/>
      <c r="BM166" s="10"/>
      <c r="BN166" s="10"/>
      <c r="BO166" s="10"/>
      <c r="BP166" s="10"/>
      <c r="BQ166" s="10"/>
      <c r="BR166" s="10"/>
      <c r="BS166" s="10"/>
      <c r="BT166" s="10"/>
    </row>
    <row r="167" spans="53:72" ht="18" x14ac:dyDescent="0.2">
      <c r="BA167" s="10"/>
      <c r="BB167" s="10"/>
      <c r="BC167" s="10"/>
      <c r="BD167" s="10"/>
      <c r="BE167" s="10"/>
      <c r="BF167" s="10"/>
      <c r="BG167" s="10"/>
      <c r="BH167" s="10"/>
      <c r="BI167" s="10"/>
      <c r="BJ167" s="10"/>
      <c r="BK167" s="10"/>
      <c r="BL167" s="10"/>
      <c r="BM167" s="10"/>
      <c r="BN167" s="10"/>
      <c r="BO167" s="10"/>
      <c r="BP167" s="10"/>
      <c r="BQ167" s="10"/>
      <c r="BR167" s="10"/>
      <c r="BS167" s="10"/>
      <c r="BT167" s="10"/>
    </row>
    <row r="168" spans="53:72" ht="18" x14ac:dyDescent="0.2">
      <c r="BA168" s="10"/>
      <c r="BB168" s="10"/>
      <c r="BC168" s="10"/>
      <c r="BD168" s="10"/>
      <c r="BE168" s="10"/>
      <c r="BF168" s="10"/>
      <c r="BG168" s="10"/>
      <c r="BH168" s="10"/>
      <c r="BI168" s="10"/>
      <c r="BJ168" s="10"/>
      <c r="BK168" s="10"/>
      <c r="BL168" s="10"/>
      <c r="BM168" s="10"/>
      <c r="BN168" s="10"/>
      <c r="BO168" s="10"/>
      <c r="BP168" s="10"/>
      <c r="BQ168" s="10"/>
      <c r="BR168" s="10"/>
      <c r="BS168" s="10"/>
      <c r="BT168" s="10"/>
    </row>
    <row r="169" spans="53:72" ht="18" x14ac:dyDescent="0.2">
      <c r="BA169" s="10"/>
      <c r="BB169" s="10"/>
      <c r="BC169" s="10"/>
      <c r="BD169" s="10"/>
      <c r="BE169" s="10"/>
      <c r="BF169" s="10"/>
      <c r="BG169" s="10"/>
      <c r="BH169" s="10"/>
      <c r="BI169" s="10"/>
      <c r="BJ169" s="10"/>
      <c r="BK169" s="10"/>
      <c r="BL169" s="10"/>
      <c r="BM169" s="10"/>
      <c r="BN169" s="10"/>
      <c r="BO169" s="10"/>
      <c r="BP169" s="10"/>
      <c r="BQ169" s="10"/>
      <c r="BR169" s="10"/>
      <c r="BS169" s="10"/>
      <c r="BT169" s="10"/>
    </row>
    <row r="170" spans="53:72" ht="18" x14ac:dyDescent="0.2">
      <c r="BA170" s="10"/>
      <c r="BB170" s="10"/>
      <c r="BC170" s="10"/>
      <c r="BD170" s="10"/>
      <c r="BE170" s="10"/>
      <c r="BF170" s="10"/>
      <c r="BG170" s="10"/>
      <c r="BH170" s="10"/>
      <c r="BI170" s="10"/>
      <c r="BJ170" s="10"/>
      <c r="BK170" s="10"/>
      <c r="BL170" s="10"/>
      <c r="BM170" s="10"/>
      <c r="BN170" s="10"/>
      <c r="BO170" s="10"/>
      <c r="BP170" s="10"/>
      <c r="BQ170" s="10"/>
      <c r="BR170" s="10"/>
      <c r="BS170" s="10"/>
      <c r="BT170" s="10"/>
    </row>
    <row r="171" spans="53:72" ht="18" x14ac:dyDescent="0.2">
      <c r="BA171" s="10"/>
      <c r="BB171" s="10"/>
      <c r="BC171" s="10"/>
      <c r="BD171" s="10"/>
      <c r="BE171" s="10"/>
      <c r="BF171" s="10"/>
      <c r="BG171" s="10"/>
      <c r="BH171" s="10"/>
      <c r="BI171" s="10"/>
      <c r="BJ171" s="10"/>
      <c r="BK171" s="10"/>
      <c r="BL171" s="10"/>
      <c r="BM171" s="10"/>
      <c r="BN171" s="10"/>
      <c r="BO171" s="10"/>
      <c r="BP171" s="10"/>
      <c r="BQ171" s="10"/>
      <c r="BR171" s="10"/>
      <c r="BS171" s="10"/>
      <c r="BT171" s="10"/>
    </row>
    <row r="172" spans="53:72" ht="18" x14ac:dyDescent="0.2">
      <c r="BA172" s="10"/>
      <c r="BB172" s="10"/>
      <c r="BC172" s="10"/>
      <c r="BD172" s="10"/>
      <c r="BE172" s="10"/>
      <c r="BF172" s="10"/>
      <c r="BG172" s="10"/>
      <c r="BH172" s="10"/>
      <c r="BI172" s="10"/>
      <c r="BJ172" s="10"/>
      <c r="BK172" s="10"/>
      <c r="BL172" s="10"/>
      <c r="BM172" s="10"/>
      <c r="BN172" s="10"/>
      <c r="BO172" s="10"/>
      <c r="BP172" s="10"/>
      <c r="BQ172" s="10"/>
      <c r="BR172" s="10"/>
      <c r="BS172" s="10"/>
      <c r="BT172" s="10"/>
    </row>
    <row r="173" spans="53:72" ht="18" x14ac:dyDescent="0.2">
      <c r="BA173" s="10"/>
      <c r="BB173" s="10"/>
      <c r="BC173" s="10"/>
      <c r="BD173" s="10"/>
      <c r="BE173" s="10"/>
      <c r="BF173" s="10"/>
      <c r="BG173" s="10"/>
      <c r="BH173" s="10"/>
      <c r="BI173" s="10"/>
      <c r="BJ173" s="10"/>
      <c r="BK173" s="10"/>
      <c r="BL173" s="10"/>
      <c r="BM173" s="10"/>
      <c r="BN173" s="10"/>
      <c r="BO173" s="10"/>
      <c r="BP173" s="10"/>
      <c r="BQ173" s="10"/>
      <c r="BR173" s="10"/>
      <c r="BS173" s="10"/>
      <c r="BT173" s="10"/>
    </row>
    <row r="174" spans="53:72" ht="18" x14ac:dyDescent="0.2">
      <c r="BA174" s="10"/>
      <c r="BB174" s="10"/>
      <c r="BC174" s="10"/>
      <c r="BD174" s="10"/>
      <c r="BE174" s="10"/>
      <c r="BF174" s="10"/>
      <c r="BG174" s="10"/>
      <c r="BH174" s="10"/>
      <c r="BI174" s="10"/>
      <c r="BJ174" s="10"/>
      <c r="BK174" s="10"/>
      <c r="BL174" s="10"/>
      <c r="BM174" s="10"/>
      <c r="BN174" s="10"/>
      <c r="BO174" s="10"/>
      <c r="BP174" s="10"/>
      <c r="BQ174" s="10"/>
      <c r="BR174" s="10"/>
      <c r="BS174" s="10"/>
      <c r="BT174" s="10"/>
    </row>
    <row r="175" spans="53:72" ht="18" x14ac:dyDescent="0.2">
      <c r="BA175" s="10"/>
      <c r="BB175" s="10"/>
      <c r="BC175" s="10"/>
      <c r="BD175" s="10"/>
      <c r="BE175" s="10"/>
      <c r="BF175" s="10"/>
      <c r="BG175" s="10"/>
      <c r="BH175" s="10"/>
      <c r="BI175" s="10"/>
      <c r="BJ175" s="10"/>
      <c r="BK175" s="10"/>
      <c r="BL175" s="10"/>
      <c r="BM175" s="10"/>
      <c r="BN175" s="10"/>
      <c r="BO175" s="10"/>
      <c r="BP175" s="10"/>
      <c r="BQ175" s="10"/>
      <c r="BR175" s="10"/>
      <c r="BS175" s="10"/>
      <c r="BT175" s="10"/>
    </row>
    <row r="176" spans="53:72" ht="18" x14ac:dyDescent="0.2">
      <c r="BA176" s="10"/>
      <c r="BB176" s="10"/>
      <c r="BC176" s="10"/>
      <c r="BD176" s="10"/>
      <c r="BE176" s="10"/>
      <c r="BF176" s="10"/>
      <c r="BG176" s="10"/>
      <c r="BH176" s="10"/>
      <c r="BI176" s="10"/>
      <c r="BJ176" s="10"/>
      <c r="BK176" s="10"/>
      <c r="BL176" s="10"/>
      <c r="BM176" s="10"/>
      <c r="BN176" s="10"/>
      <c r="BO176" s="10"/>
      <c r="BP176" s="10"/>
      <c r="BQ176" s="10"/>
      <c r="BR176" s="10"/>
      <c r="BS176" s="10"/>
      <c r="BT176" s="10"/>
    </row>
    <row r="177" spans="53:72" ht="18" x14ac:dyDescent="0.2">
      <c r="BA177" s="10"/>
      <c r="BB177" s="10"/>
      <c r="BC177" s="10"/>
      <c r="BD177" s="10"/>
      <c r="BE177" s="10"/>
      <c r="BF177" s="10"/>
      <c r="BG177" s="10"/>
      <c r="BH177" s="10"/>
      <c r="BI177" s="10"/>
      <c r="BJ177" s="10"/>
      <c r="BK177" s="10"/>
      <c r="BL177" s="10"/>
      <c r="BM177" s="10"/>
      <c r="BN177" s="10"/>
      <c r="BO177" s="10"/>
      <c r="BP177" s="10"/>
      <c r="BQ177" s="10"/>
      <c r="BR177" s="10"/>
      <c r="BS177" s="10"/>
      <c r="BT177" s="10"/>
    </row>
    <row r="178" spans="53:72" ht="18" x14ac:dyDescent="0.2">
      <c r="BA178" s="10"/>
      <c r="BB178" s="10"/>
      <c r="BC178" s="10"/>
      <c r="BD178" s="10"/>
      <c r="BE178" s="10"/>
      <c r="BF178" s="10"/>
      <c r="BG178" s="10"/>
      <c r="BH178" s="10"/>
      <c r="BI178" s="10"/>
      <c r="BJ178" s="10"/>
      <c r="BK178" s="10"/>
      <c r="BL178" s="10"/>
      <c r="BM178" s="10"/>
      <c r="BN178" s="10"/>
      <c r="BO178" s="10"/>
      <c r="BP178" s="10"/>
      <c r="BQ178" s="10"/>
      <c r="BR178" s="10"/>
      <c r="BS178" s="10"/>
      <c r="BT178" s="10"/>
    </row>
    <row r="179" spans="53:72" ht="18" x14ac:dyDescent="0.2">
      <c r="BA179" s="10"/>
      <c r="BB179" s="10"/>
      <c r="BC179" s="10"/>
      <c r="BD179" s="10"/>
      <c r="BE179" s="10"/>
      <c r="BF179" s="10"/>
      <c r="BG179" s="10"/>
      <c r="BH179" s="10"/>
      <c r="BI179" s="10"/>
      <c r="BJ179" s="10"/>
      <c r="BK179" s="10"/>
      <c r="BL179" s="10"/>
      <c r="BM179" s="10"/>
      <c r="BN179" s="10"/>
      <c r="BO179" s="10"/>
      <c r="BP179" s="10"/>
      <c r="BQ179" s="10"/>
      <c r="BR179" s="10"/>
      <c r="BS179" s="10"/>
      <c r="BT179" s="10"/>
    </row>
    <row r="180" spans="53:72" ht="18" x14ac:dyDescent="0.2">
      <c r="BA180" s="10"/>
      <c r="BB180" s="10"/>
      <c r="BC180" s="10"/>
      <c r="BD180" s="10"/>
      <c r="BE180" s="10"/>
      <c r="BF180" s="10"/>
      <c r="BG180" s="10"/>
      <c r="BH180" s="10"/>
      <c r="BI180" s="10"/>
      <c r="BJ180" s="10"/>
      <c r="BK180" s="10"/>
      <c r="BL180" s="10"/>
      <c r="BM180" s="10"/>
      <c r="BN180" s="10"/>
      <c r="BO180" s="10"/>
      <c r="BP180" s="10"/>
      <c r="BQ180" s="10"/>
      <c r="BR180" s="10"/>
      <c r="BS180" s="10"/>
      <c r="BT180" s="10"/>
    </row>
    <row r="181" spans="53:72" ht="18" x14ac:dyDescent="0.2">
      <c r="BA181" s="10"/>
      <c r="BB181" s="10"/>
      <c r="BC181" s="10"/>
      <c r="BD181" s="10"/>
      <c r="BE181" s="10"/>
      <c r="BF181" s="10"/>
      <c r="BG181" s="10"/>
      <c r="BH181" s="10"/>
      <c r="BI181" s="10"/>
      <c r="BJ181" s="10"/>
      <c r="BK181" s="10"/>
      <c r="BL181" s="10"/>
      <c r="BM181" s="10"/>
      <c r="BN181" s="10"/>
      <c r="BO181" s="10"/>
      <c r="BP181" s="10"/>
      <c r="BQ181" s="10"/>
      <c r="BR181" s="10"/>
      <c r="BS181" s="10"/>
      <c r="BT181" s="10"/>
    </row>
    <row r="182" spans="53:72" ht="18" x14ac:dyDescent="0.2">
      <c r="BA182" s="10"/>
      <c r="BB182" s="10"/>
      <c r="BC182" s="10"/>
      <c r="BD182" s="10"/>
      <c r="BE182" s="10"/>
      <c r="BF182" s="10"/>
      <c r="BG182" s="10"/>
      <c r="BH182" s="10"/>
      <c r="BI182" s="10"/>
      <c r="BJ182" s="10"/>
      <c r="BK182" s="10"/>
      <c r="BL182" s="10"/>
      <c r="BM182" s="10"/>
      <c r="BN182" s="10"/>
      <c r="BO182" s="10"/>
      <c r="BP182" s="10"/>
      <c r="BQ182" s="10"/>
      <c r="BR182" s="10"/>
      <c r="BS182" s="10"/>
      <c r="BT182" s="10"/>
    </row>
    <row r="183" spans="53:72" ht="18" x14ac:dyDescent="0.2">
      <c r="BA183" s="10"/>
      <c r="BB183" s="10"/>
      <c r="BC183" s="10"/>
      <c r="BD183" s="10"/>
      <c r="BE183" s="10"/>
      <c r="BF183" s="10"/>
      <c r="BG183" s="10"/>
      <c r="BH183" s="10"/>
      <c r="BI183" s="10"/>
      <c r="BJ183" s="10"/>
      <c r="BK183" s="10"/>
      <c r="BL183" s="10"/>
      <c r="BM183" s="10"/>
      <c r="BN183" s="10"/>
      <c r="BO183" s="10"/>
      <c r="BP183" s="10"/>
      <c r="BQ183" s="10"/>
      <c r="BR183" s="10"/>
      <c r="BS183" s="10"/>
      <c r="BT183" s="10"/>
    </row>
    <row r="184" spans="53:72" ht="18" x14ac:dyDescent="0.2">
      <c r="BA184" s="10"/>
      <c r="BB184" s="10"/>
      <c r="BC184" s="10"/>
      <c r="BD184" s="10"/>
      <c r="BE184" s="10"/>
      <c r="BF184" s="10"/>
      <c r="BG184" s="10"/>
      <c r="BH184" s="10"/>
      <c r="BI184" s="10"/>
      <c r="BJ184" s="10"/>
      <c r="BK184" s="10"/>
      <c r="BL184" s="10"/>
      <c r="BM184" s="10"/>
      <c r="BN184" s="10"/>
      <c r="BO184" s="10"/>
      <c r="BP184" s="10"/>
      <c r="BQ184" s="10"/>
      <c r="BR184" s="10"/>
      <c r="BS184" s="10"/>
      <c r="BT184" s="10"/>
    </row>
    <row r="185" spans="53:72" ht="18" x14ac:dyDescent="0.2">
      <c r="BA185" s="10"/>
      <c r="BB185" s="10"/>
      <c r="BC185" s="10"/>
      <c r="BD185" s="10"/>
      <c r="BE185" s="10"/>
      <c r="BF185" s="10"/>
      <c r="BG185" s="10"/>
      <c r="BH185" s="10"/>
      <c r="BI185" s="10"/>
      <c r="BJ185" s="10"/>
      <c r="BK185" s="10"/>
      <c r="BL185" s="10"/>
      <c r="BM185" s="10"/>
      <c r="BN185" s="10"/>
      <c r="BO185" s="10"/>
      <c r="BP185" s="10"/>
      <c r="BQ185" s="10"/>
      <c r="BR185" s="10"/>
      <c r="BS185" s="10"/>
      <c r="BT185" s="10"/>
    </row>
    <row r="186" spans="53:72" ht="18" x14ac:dyDescent="0.2">
      <c r="BA186" s="10"/>
      <c r="BB186" s="10"/>
      <c r="BC186" s="10"/>
      <c r="BD186" s="10"/>
      <c r="BE186" s="10"/>
      <c r="BF186" s="10"/>
      <c r="BG186" s="10"/>
      <c r="BH186" s="10"/>
      <c r="BI186" s="10"/>
      <c r="BJ186" s="10"/>
      <c r="BK186" s="10"/>
      <c r="BL186" s="10"/>
      <c r="BM186" s="10"/>
      <c r="BN186" s="10"/>
      <c r="BO186" s="10"/>
      <c r="BP186" s="10"/>
      <c r="BQ186" s="10"/>
      <c r="BR186" s="10"/>
      <c r="BS186" s="10"/>
      <c r="BT186" s="10"/>
    </row>
    <row r="187" spans="53:72" ht="18" x14ac:dyDescent="0.2">
      <c r="BA187" s="10"/>
      <c r="BB187" s="10"/>
      <c r="BC187" s="10"/>
      <c r="BD187" s="10"/>
      <c r="BE187" s="10"/>
      <c r="BF187" s="10"/>
      <c r="BG187" s="10"/>
      <c r="BH187" s="10"/>
      <c r="BI187" s="10"/>
      <c r="BJ187" s="10"/>
      <c r="BK187" s="10"/>
      <c r="BL187" s="10"/>
      <c r="BM187" s="10"/>
      <c r="BN187" s="10"/>
      <c r="BO187" s="10"/>
      <c r="BP187" s="10"/>
      <c r="BQ187" s="10"/>
      <c r="BR187" s="10"/>
      <c r="BS187" s="10"/>
      <c r="BT187" s="10"/>
    </row>
    <row r="188" spans="53:72" ht="18" x14ac:dyDescent="0.2">
      <c r="BA188" s="10"/>
      <c r="BB188" s="10"/>
      <c r="BC188" s="10"/>
      <c r="BD188" s="10"/>
      <c r="BE188" s="10"/>
      <c r="BF188" s="10"/>
      <c r="BG188" s="10"/>
      <c r="BH188" s="10"/>
      <c r="BI188" s="10"/>
      <c r="BJ188" s="10"/>
      <c r="BK188" s="10"/>
      <c r="BL188" s="10"/>
      <c r="BM188" s="10"/>
      <c r="BN188" s="10"/>
      <c r="BO188" s="10"/>
      <c r="BP188" s="10"/>
      <c r="BQ188" s="10"/>
      <c r="BR188" s="10"/>
      <c r="BS188" s="10"/>
      <c r="BT188" s="10"/>
    </row>
    <row r="189" spans="53:72" ht="18" x14ac:dyDescent="0.2">
      <c r="BA189" s="10"/>
      <c r="BB189" s="10"/>
      <c r="BC189" s="10"/>
      <c r="BD189" s="10"/>
      <c r="BE189" s="10"/>
      <c r="BF189" s="10"/>
      <c r="BG189" s="10"/>
      <c r="BH189" s="10"/>
      <c r="BI189" s="10"/>
      <c r="BJ189" s="10"/>
      <c r="BK189" s="10"/>
      <c r="BL189" s="10"/>
      <c r="BM189" s="10"/>
      <c r="BN189" s="10"/>
      <c r="BO189" s="10"/>
      <c r="BP189" s="10"/>
      <c r="BQ189" s="10"/>
      <c r="BR189" s="10"/>
      <c r="BS189" s="10"/>
      <c r="BT189" s="10"/>
    </row>
    <row r="190" spans="53:72" ht="18" x14ac:dyDescent="0.2">
      <c r="BA190" s="10"/>
      <c r="BB190" s="10"/>
      <c r="BC190" s="10"/>
      <c r="BD190" s="10"/>
      <c r="BE190" s="10"/>
      <c r="BF190" s="10"/>
      <c r="BG190" s="10"/>
      <c r="BH190" s="10"/>
      <c r="BI190" s="10"/>
      <c r="BJ190" s="10"/>
      <c r="BK190" s="10"/>
      <c r="BL190" s="10"/>
      <c r="BM190" s="10"/>
      <c r="BN190" s="10"/>
      <c r="BO190" s="10"/>
      <c r="BP190" s="10"/>
      <c r="BQ190" s="10"/>
      <c r="BR190" s="10"/>
      <c r="BS190" s="10"/>
      <c r="BT190" s="10"/>
    </row>
    <row r="191" spans="53:72" ht="18" x14ac:dyDescent="0.2">
      <c r="BA191" s="10"/>
      <c r="BB191" s="10"/>
      <c r="BC191" s="10"/>
      <c r="BD191" s="10"/>
      <c r="BE191" s="10"/>
      <c r="BF191" s="10"/>
      <c r="BG191" s="10"/>
      <c r="BH191" s="10"/>
      <c r="BI191" s="10"/>
      <c r="BJ191" s="10"/>
      <c r="BK191" s="10"/>
      <c r="BL191" s="10"/>
      <c r="BM191" s="10"/>
      <c r="BN191" s="10"/>
      <c r="BO191" s="10"/>
      <c r="BP191" s="10"/>
      <c r="BQ191" s="10"/>
      <c r="BR191" s="10"/>
      <c r="BS191" s="10"/>
      <c r="BT191" s="10"/>
    </row>
    <row r="192" spans="53:72" ht="18" x14ac:dyDescent="0.2">
      <c r="BA192" s="10"/>
      <c r="BB192" s="10"/>
      <c r="BC192" s="10"/>
      <c r="BD192" s="10"/>
      <c r="BE192" s="10"/>
      <c r="BF192" s="10"/>
      <c r="BG192" s="10"/>
      <c r="BH192" s="10"/>
      <c r="BI192" s="10"/>
      <c r="BJ192" s="10"/>
      <c r="BK192" s="10"/>
      <c r="BL192" s="10"/>
      <c r="BM192" s="10"/>
      <c r="BN192" s="10"/>
      <c r="BO192" s="10"/>
      <c r="BP192" s="10"/>
      <c r="BQ192" s="10"/>
      <c r="BR192" s="10"/>
      <c r="BS192" s="10"/>
      <c r="BT192" s="10"/>
    </row>
    <row r="193" spans="53:72" ht="18" x14ac:dyDescent="0.2">
      <c r="BA193" s="10"/>
      <c r="BB193" s="10"/>
      <c r="BC193" s="10"/>
      <c r="BD193" s="10"/>
      <c r="BE193" s="10"/>
      <c r="BF193" s="10"/>
      <c r="BG193" s="10"/>
      <c r="BH193" s="10"/>
      <c r="BI193" s="10"/>
      <c r="BJ193" s="10"/>
      <c r="BK193" s="10"/>
      <c r="BL193" s="10"/>
      <c r="BM193" s="10"/>
      <c r="BN193" s="10"/>
      <c r="BO193" s="10"/>
      <c r="BP193" s="10"/>
      <c r="BQ193" s="10"/>
      <c r="BR193" s="10"/>
      <c r="BS193" s="10"/>
      <c r="BT193" s="10"/>
    </row>
    <row r="194" spans="53:72" ht="18" x14ac:dyDescent="0.2">
      <c r="BA194" s="10"/>
      <c r="BB194" s="10"/>
      <c r="BC194" s="10"/>
      <c r="BD194" s="10"/>
      <c r="BE194" s="10"/>
      <c r="BF194" s="10"/>
      <c r="BG194" s="10"/>
      <c r="BH194" s="10"/>
      <c r="BI194" s="10"/>
      <c r="BJ194" s="10"/>
      <c r="BK194" s="10"/>
      <c r="BL194" s="10"/>
      <c r="BM194" s="10"/>
      <c r="BN194" s="10"/>
      <c r="BO194" s="10"/>
      <c r="BP194" s="10"/>
      <c r="BQ194" s="10"/>
      <c r="BR194" s="10"/>
      <c r="BS194" s="10"/>
      <c r="BT194" s="10"/>
    </row>
    <row r="195" spans="53:72" ht="18" x14ac:dyDescent="0.2">
      <c r="BA195" s="10"/>
      <c r="BB195" s="10"/>
      <c r="BC195" s="10"/>
      <c r="BD195" s="10"/>
      <c r="BE195" s="10"/>
      <c r="BF195" s="10"/>
      <c r="BG195" s="10"/>
      <c r="BH195" s="10"/>
      <c r="BI195" s="10"/>
      <c r="BJ195" s="10"/>
      <c r="BK195" s="10"/>
      <c r="BL195" s="10"/>
      <c r="BM195" s="10"/>
      <c r="BN195" s="10"/>
      <c r="BO195" s="10"/>
      <c r="BP195" s="10"/>
      <c r="BQ195" s="10"/>
      <c r="BR195" s="10"/>
      <c r="BS195" s="10"/>
      <c r="BT195" s="10"/>
    </row>
    <row r="196" spans="53:72" ht="18" x14ac:dyDescent="0.2">
      <c r="BA196" s="10"/>
      <c r="BB196" s="10"/>
      <c r="BC196" s="10"/>
      <c r="BD196" s="10"/>
      <c r="BE196" s="10"/>
      <c r="BF196" s="10"/>
      <c r="BG196" s="10"/>
      <c r="BH196" s="10"/>
      <c r="BI196" s="10"/>
      <c r="BJ196" s="10"/>
      <c r="BK196" s="10"/>
      <c r="BL196" s="10"/>
      <c r="BM196" s="10"/>
      <c r="BN196" s="10"/>
      <c r="BO196" s="10"/>
      <c r="BP196" s="10"/>
      <c r="BQ196" s="10"/>
      <c r="BR196" s="10"/>
      <c r="BS196" s="10"/>
      <c r="BT196" s="10"/>
    </row>
    <row r="197" spans="53:72" ht="18" x14ac:dyDescent="0.2">
      <c r="BA197" s="10"/>
      <c r="BB197" s="10"/>
      <c r="BC197" s="10"/>
      <c r="BD197" s="10"/>
      <c r="BE197" s="10"/>
      <c r="BF197" s="10"/>
      <c r="BG197" s="10"/>
      <c r="BH197" s="10"/>
      <c r="BI197" s="10"/>
      <c r="BJ197" s="10"/>
      <c r="BK197" s="10"/>
      <c r="BL197" s="10"/>
      <c r="BM197" s="10"/>
      <c r="BN197" s="10"/>
      <c r="BO197" s="10"/>
      <c r="BP197" s="10"/>
      <c r="BQ197" s="10"/>
      <c r="BR197" s="10"/>
      <c r="BS197" s="10"/>
      <c r="BT197" s="10"/>
    </row>
    <row r="198" spans="53:72" ht="18" x14ac:dyDescent="0.2">
      <c r="BA198" s="10"/>
      <c r="BB198" s="10"/>
      <c r="BC198" s="10"/>
      <c r="BD198" s="10"/>
      <c r="BE198" s="10"/>
      <c r="BF198" s="10"/>
      <c r="BG198" s="10"/>
      <c r="BH198" s="10"/>
      <c r="BI198" s="10"/>
      <c r="BJ198" s="10"/>
      <c r="BK198" s="10"/>
      <c r="BL198" s="10"/>
      <c r="BM198" s="10"/>
      <c r="BN198" s="10"/>
      <c r="BO198" s="10"/>
      <c r="BP198" s="10"/>
      <c r="BQ198" s="10"/>
      <c r="BR198" s="10"/>
      <c r="BS198" s="10"/>
      <c r="BT198" s="10"/>
    </row>
    <row r="199" spans="53:72" ht="18" x14ac:dyDescent="0.2">
      <c r="BA199" s="10"/>
      <c r="BB199" s="10"/>
      <c r="BC199" s="10"/>
      <c r="BD199" s="10"/>
      <c r="BE199" s="10"/>
      <c r="BF199" s="10"/>
      <c r="BG199" s="10"/>
      <c r="BH199" s="10"/>
      <c r="BI199" s="10"/>
      <c r="BJ199" s="10"/>
      <c r="BK199" s="10"/>
      <c r="BL199" s="10"/>
      <c r="BM199" s="10"/>
      <c r="BN199" s="10"/>
      <c r="BO199" s="10"/>
      <c r="BP199" s="10"/>
      <c r="BQ199" s="10"/>
      <c r="BR199" s="10"/>
      <c r="BS199" s="10"/>
      <c r="BT199" s="10"/>
    </row>
    <row r="200" spans="53:72" ht="18" x14ac:dyDescent="0.2">
      <c r="BA200" s="10"/>
      <c r="BB200" s="10"/>
      <c r="BC200" s="10"/>
      <c r="BD200" s="10"/>
      <c r="BE200" s="10"/>
      <c r="BF200" s="10"/>
      <c r="BG200" s="10"/>
      <c r="BH200" s="10"/>
      <c r="BI200" s="10"/>
      <c r="BJ200" s="10"/>
      <c r="BK200" s="10"/>
      <c r="BL200" s="10"/>
      <c r="BM200" s="10"/>
      <c r="BN200" s="10"/>
      <c r="BO200" s="10"/>
      <c r="BP200" s="10"/>
      <c r="BQ200" s="10"/>
      <c r="BR200" s="10"/>
      <c r="BS200" s="10"/>
      <c r="BT200" s="10"/>
    </row>
    <row r="201" spans="53:72" ht="18" x14ac:dyDescent="0.2">
      <c r="BA201" s="10"/>
      <c r="BB201" s="10"/>
      <c r="BC201" s="10"/>
      <c r="BD201" s="10"/>
      <c r="BE201" s="10"/>
      <c r="BF201" s="10"/>
      <c r="BG201" s="10"/>
      <c r="BH201" s="10"/>
      <c r="BI201" s="10"/>
      <c r="BJ201" s="10"/>
      <c r="BK201" s="10"/>
      <c r="BL201" s="10"/>
      <c r="BM201" s="10"/>
      <c r="BN201" s="10"/>
      <c r="BO201" s="10"/>
      <c r="BP201" s="10"/>
      <c r="BQ201" s="10"/>
      <c r="BR201" s="10"/>
      <c r="BS201" s="10"/>
      <c r="BT201" s="10"/>
    </row>
    <row r="202" spans="53:72" ht="18" x14ac:dyDescent="0.2">
      <c r="BA202" s="10"/>
      <c r="BB202" s="10"/>
      <c r="BC202" s="10"/>
      <c r="BD202" s="10"/>
      <c r="BE202" s="10"/>
      <c r="BF202" s="10"/>
      <c r="BG202" s="10"/>
      <c r="BH202" s="10"/>
      <c r="BI202" s="10"/>
      <c r="BJ202" s="10"/>
      <c r="BK202" s="10"/>
      <c r="BL202" s="10"/>
      <c r="BM202" s="10"/>
      <c r="BN202" s="10"/>
      <c r="BO202" s="10"/>
      <c r="BP202" s="10"/>
      <c r="BQ202" s="10"/>
      <c r="BR202" s="10"/>
      <c r="BS202" s="10"/>
      <c r="BT202" s="10"/>
    </row>
    <row r="203" spans="53:72" ht="18" x14ac:dyDescent="0.2">
      <c r="BA203" s="10"/>
      <c r="BB203" s="10"/>
      <c r="BC203" s="10"/>
      <c r="BD203" s="10"/>
      <c r="BE203" s="10"/>
      <c r="BF203" s="10"/>
      <c r="BG203" s="10"/>
      <c r="BH203" s="10"/>
      <c r="BI203" s="10"/>
      <c r="BJ203" s="10"/>
      <c r="BK203" s="10"/>
      <c r="BL203" s="10"/>
      <c r="BM203" s="10"/>
      <c r="BN203" s="10"/>
      <c r="BO203" s="10"/>
      <c r="BP203" s="10"/>
      <c r="BQ203" s="10"/>
      <c r="BR203" s="10"/>
      <c r="BS203" s="10"/>
      <c r="BT203" s="10"/>
    </row>
    <row r="204" spans="53:72" ht="18" x14ac:dyDescent="0.2">
      <c r="BA204" s="10"/>
      <c r="BB204" s="10"/>
      <c r="BC204" s="10"/>
      <c r="BD204" s="10"/>
      <c r="BE204" s="10"/>
      <c r="BF204" s="10"/>
      <c r="BG204" s="10"/>
      <c r="BH204" s="10"/>
      <c r="BI204" s="10"/>
      <c r="BJ204" s="10"/>
      <c r="BK204" s="10"/>
      <c r="BL204" s="10"/>
      <c r="BM204" s="10"/>
      <c r="BN204" s="10"/>
      <c r="BO204" s="10"/>
      <c r="BP204" s="10"/>
      <c r="BQ204" s="10"/>
      <c r="BR204" s="10"/>
      <c r="BS204" s="10"/>
      <c r="BT204" s="10"/>
    </row>
    <row r="205" spans="53:72" ht="18" x14ac:dyDescent="0.2">
      <c r="BA205" s="10"/>
      <c r="BB205" s="10"/>
      <c r="BC205" s="10"/>
      <c r="BD205" s="10"/>
      <c r="BE205" s="10"/>
      <c r="BF205" s="10"/>
      <c r="BG205" s="10"/>
      <c r="BH205" s="10"/>
      <c r="BI205" s="10"/>
      <c r="BJ205" s="10"/>
      <c r="BK205" s="10"/>
      <c r="BL205" s="10"/>
      <c r="BM205" s="10"/>
      <c r="BN205" s="10"/>
      <c r="BO205" s="10"/>
      <c r="BP205" s="10"/>
      <c r="BQ205" s="10"/>
      <c r="BR205" s="10"/>
      <c r="BS205" s="10"/>
      <c r="BT205" s="10"/>
    </row>
    <row r="206" spans="53:72" ht="18" x14ac:dyDescent="0.2">
      <c r="BA206" s="10"/>
      <c r="BB206" s="10"/>
      <c r="BC206" s="10"/>
      <c r="BD206" s="10"/>
      <c r="BE206" s="10"/>
      <c r="BF206" s="10"/>
      <c r="BG206" s="10"/>
      <c r="BH206" s="10"/>
      <c r="BI206" s="10"/>
      <c r="BJ206" s="10"/>
      <c r="BK206" s="10"/>
      <c r="BL206" s="10"/>
      <c r="BM206" s="10"/>
      <c r="BN206" s="10"/>
      <c r="BO206" s="10"/>
      <c r="BP206" s="10"/>
      <c r="BQ206" s="10"/>
      <c r="BR206" s="10"/>
      <c r="BS206" s="10"/>
      <c r="BT206" s="10"/>
    </row>
    <row r="207" spans="53:72" ht="18" x14ac:dyDescent="0.2">
      <c r="BA207" s="10"/>
      <c r="BB207" s="10"/>
      <c r="BC207" s="10"/>
      <c r="BD207" s="10"/>
      <c r="BE207" s="10"/>
      <c r="BF207" s="10"/>
      <c r="BG207" s="10"/>
      <c r="BH207" s="10"/>
      <c r="BI207" s="10"/>
      <c r="BJ207" s="10"/>
      <c r="BK207" s="10"/>
      <c r="BL207" s="10"/>
      <c r="BM207" s="10"/>
      <c r="BN207" s="10"/>
      <c r="BO207" s="10"/>
      <c r="BP207" s="10"/>
      <c r="BQ207" s="10"/>
      <c r="BR207" s="10"/>
      <c r="BS207" s="10"/>
      <c r="BT207" s="10"/>
    </row>
    <row r="208" spans="53:72" ht="18" x14ac:dyDescent="0.2">
      <c r="BA208" s="10"/>
      <c r="BB208" s="10"/>
      <c r="BC208" s="10"/>
      <c r="BD208" s="10"/>
      <c r="BE208" s="10"/>
      <c r="BF208" s="10"/>
      <c r="BG208" s="10"/>
      <c r="BH208" s="10"/>
      <c r="BI208" s="10"/>
      <c r="BJ208" s="10"/>
      <c r="BK208" s="10"/>
      <c r="BL208" s="10"/>
      <c r="BM208" s="10"/>
      <c r="BN208" s="10"/>
      <c r="BO208" s="10"/>
      <c r="BP208" s="10"/>
      <c r="BQ208" s="10"/>
      <c r="BR208" s="10"/>
      <c r="BS208" s="10"/>
      <c r="BT208" s="10"/>
    </row>
    <row r="209" spans="53:72" ht="18" x14ac:dyDescent="0.2">
      <c r="BA209" s="10"/>
      <c r="BB209" s="10"/>
      <c r="BC209" s="10"/>
      <c r="BD209" s="10"/>
      <c r="BE209" s="10"/>
      <c r="BF209" s="10"/>
      <c r="BG209" s="10"/>
      <c r="BH209" s="10"/>
      <c r="BI209" s="10"/>
      <c r="BJ209" s="10"/>
      <c r="BK209" s="10"/>
      <c r="BL209" s="10"/>
      <c r="BM209" s="10"/>
      <c r="BN209" s="10"/>
      <c r="BO209" s="10"/>
      <c r="BP209" s="10"/>
      <c r="BQ209" s="10"/>
      <c r="BR209" s="10"/>
      <c r="BS209" s="10"/>
      <c r="BT209" s="10"/>
    </row>
    <row r="210" spans="53:72" ht="18" x14ac:dyDescent="0.2">
      <c r="BA210" s="10"/>
      <c r="BB210" s="10"/>
      <c r="BC210" s="10"/>
      <c r="BD210" s="10"/>
      <c r="BE210" s="10"/>
      <c r="BF210" s="10"/>
      <c r="BG210" s="10"/>
      <c r="BH210" s="10"/>
      <c r="BI210" s="10"/>
      <c r="BJ210" s="10"/>
      <c r="BK210" s="10"/>
      <c r="BL210" s="10"/>
      <c r="BM210" s="10"/>
      <c r="BN210" s="10"/>
      <c r="BO210" s="10"/>
      <c r="BP210" s="10"/>
      <c r="BQ210" s="10"/>
      <c r="BR210" s="10"/>
      <c r="BS210" s="10"/>
      <c r="BT210" s="10"/>
    </row>
    <row r="211" spans="53:72" ht="18" x14ac:dyDescent="0.2">
      <c r="BA211" s="10"/>
      <c r="BB211" s="10"/>
      <c r="BC211" s="10"/>
      <c r="BD211" s="10"/>
      <c r="BE211" s="10"/>
      <c r="BF211" s="10"/>
      <c r="BG211" s="10"/>
      <c r="BH211" s="10"/>
      <c r="BI211" s="10"/>
      <c r="BJ211" s="10"/>
      <c r="BK211" s="10"/>
      <c r="BL211" s="10"/>
      <c r="BM211" s="10"/>
      <c r="BN211" s="10"/>
      <c r="BO211" s="10"/>
      <c r="BP211" s="10"/>
      <c r="BQ211" s="10"/>
      <c r="BR211" s="10"/>
      <c r="BS211" s="10"/>
      <c r="BT211" s="10"/>
    </row>
    <row r="212" spans="53:72" ht="18" x14ac:dyDescent="0.2">
      <c r="BA212" s="10"/>
      <c r="BB212" s="10"/>
      <c r="BC212" s="10"/>
      <c r="BD212" s="10"/>
      <c r="BE212" s="10"/>
      <c r="BF212" s="10"/>
      <c r="BG212" s="10"/>
      <c r="BH212" s="10"/>
      <c r="BI212" s="10"/>
      <c r="BJ212" s="10"/>
      <c r="BK212" s="10"/>
      <c r="BL212" s="10"/>
      <c r="BM212" s="10"/>
      <c r="BN212" s="10"/>
      <c r="BO212" s="10"/>
      <c r="BP212" s="10"/>
      <c r="BQ212" s="10"/>
      <c r="BR212" s="10"/>
      <c r="BS212" s="10"/>
      <c r="BT212" s="10"/>
    </row>
    <row r="213" spans="53:72" ht="18" x14ac:dyDescent="0.2">
      <c r="BA213" s="10"/>
      <c r="BB213" s="10"/>
      <c r="BC213" s="10"/>
      <c r="BD213" s="10"/>
      <c r="BE213" s="10"/>
      <c r="BF213" s="10"/>
      <c r="BG213" s="10"/>
      <c r="BH213" s="10"/>
      <c r="BI213" s="10"/>
      <c r="BJ213" s="10"/>
      <c r="BK213" s="10"/>
      <c r="BL213" s="10"/>
      <c r="BM213" s="10"/>
      <c r="BN213" s="10"/>
      <c r="BO213" s="10"/>
      <c r="BP213" s="10"/>
      <c r="BQ213" s="10"/>
      <c r="BR213" s="10"/>
      <c r="BS213" s="10"/>
      <c r="BT213" s="10"/>
    </row>
    <row r="214" spans="53:72" ht="18" x14ac:dyDescent="0.2">
      <c r="BA214" s="10"/>
      <c r="BB214" s="10"/>
      <c r="BC214" s="10"/>
      <c r="BD214" s="10"/>
      <c r="BE214" s="10"/>
      <c r="BF214" s="10"/>
      <c r="BG214" s="10"/>
      <c r="BH214" s="10"/>
      <c r="BI214" s="10"/>
      <c r="BJ214" s="10"/>
      <c r="BK214" s="10"/>
      <c r="BL214" s="10"/>
      <c r="BM214" s="10"/>
      <c r="BN214" s="10"/>
      <c r="BO214" s="10"/>
      <c r="BP214" s="10"/>
      <c r="BQ214" s="10"/>
      <c r="BR214" s="10"/>
      <c r="BS214" s="10"/>
      <c r="BT214" s="10"/>
    </row>
    <row r="215" spans="53:72" ht="18" x14ac:dyDescent="0.2">
      <c r="BA215" s="10"/>
      <c r="BB215" s="10"/>
      <c r="BC215" s="10"/>
      <c r="BD215" s="10"/>
      <c r="BE215" s="10"/>
      <c r="BF215" s="10"/>
      <c r="BG215" s="10"/>
      <c r="BH215" s="10"/>
      <c r="BI215" s="10"/>
      <c r="BJ215" s="10"/>
      <c r="BK215" s="10"/>
      <c r="BL215" s="10"/>
      <c r="BM215" s="10"/>
      <c r="BN215" s="10"/>
      <c r="BO215" s="10"/>
      <c r="BP215" s="10"/>
      <c r="BQ215" s="10"/>
      <c r="BR215" s="10"/>
      <c r="BS215" s="10"/>
      <c r="BT215" s="10"/>
    </row>
    <row r="216" spans="53:72" ht="18" x14ac:dyDescent="0.2">
      <c r="BA216" s="10"/>
      <c r="BB216" s="10"/>
      <c r="BC216" s="10"/>
      <c r="BD216" s="10"/>
      <c r="BE216" s="10"/>
      <c r="BF216" s="10"/>
      <c r="BG216" s="10"/>
      <c r="BH216" s="10"/>
      <c r="BI216" s="10"/>
      <c r="BJ216" s="10"/>
      <c r="BK216" s="10"/>
      <c r="BL216" s="10"/>
      <c r="BM216" s="10"/>
      <c r="BN216" s="10"/>
      <c r="BO216" s="10"/>
      <c r="BP216" s="10"/>
      <c r="BQ216" s="10"/>
      <c r="BR216" s="10"/>
      <c r="BS216" s="10"/>
      <c r="BT216" s="10"/>
    </row>
    <row r="217" spans="53:72" ht="18" x14ac:dyDescent="0.2">
      <c r="BA217" s="10"/>
      <c r="BB217" s="10"/>
      <c r="BC217" s="10"/>
      <c r="BD217" s="10"/>
      <c r="BE217" s="10"/>
      <c r="BF217" s="10"/>
      <c r="BG217" s="10"/>
      <c r="BH217" s="10"/>
      <c r="BI217" s="10"/>
      <c r="BJ217" s="10"/>
      <c r="BK217" s="10"/>
      <c r="BL217" s="10"/>
      <c r="BM217" s="10"/>
      <c r="BN217" s="10"/>
      <c r="BO217" s="10"/>
      <c r="BP217" s="10"/>
      <c r="BQ217" s="10"/>
      <c r="BR217" s="10"/>
      <c r="BS217" s="10"/>
      <c r="BT217" s="10"/>
    </row>
    <row r="218" spans="53:72" ht="18" x14ac:dyDescent="0.2">
      <c r="BA218" s="10"/>
      <c r="BB218" s="10"/>
      <c r="BC218" s="10"/>
      <c r="BD218" s="10"/>
      <c r="BE218" s="10"/>
      <c r="BF218" s="10"/>
      <c r="BG218" s="10"/>
      <c r="BH218" s="10"/>
      <c r="BI218" s="10"/>
      <c r="BJ218" s="10"/>
      <c r="BK218" s="10"/>
      <c r="BL218" s="10"/>
      <c r="BM218" s="10"/>
      <c r="BN218" s="10"/>
      <c r="BO218" s="10"/>
      <c r="BP218" s="10"/>
      <c r="BQ218" s="10"/>
      <c r="BR218" s="10"/>
      <c r="BS218" s="10"/>
      <c r="BT218" s="10"/>
    </row>
    <row r="219" spans="53:72" ht="18" x14ac:dyDescent="0.2">
      <c r="BA219" s="10"/>
      <c r="BB219" s="10"/>
      <c r="BC219" s="10"/>
      <c r="BD219" s="10"/>
      <c r="BE219" s="10"/>
      <c r="BF219" s="10"/>
      <c r="BG219" s="10"/>
      <c r="BH219" s="10"/>
      <c r="BI219" s="10"/>
      <c r="BJ219" s="10"/>
      <c r="BK219" s="10"/>
      <c r="BL219" s="10"/>
      <c r="BM219" s="10"/>
      <c r="BN219" s="10"/>
      <c r="BO219" s="10"/>
      <c r="BP219" s="10"/>
      <c r="BQ219" s="10"/>
      <c r="BR219" s="10"/>
      <c r="BS219" s="10"/>
      <c r="BT219" s="10"/>
    </row>
    <row r="220" spans="53:72" ht="18" x14ac:dyDescent="0.2">
      <c r="BA220" s="10"/>
      <c r="BB220" s="10"/>
      <c r="BC220" s="10"/>
      <c r="BD220" s="10"/>
      <c r="BE220" s="10"/>
      <c r="BF220" s="10"/>
      <c r="BG220" s="10"/>
      <c r="BH220" s="10"/>
      <c r="BI220" s="10"/>
      <c r="BJ220" s="10"/>
      <c r="BK220" s="10"/>
      <c r="BL220" s="10"/>
      <c r="BM220" s="10"/>
      <c r="BN220" s="10"/>
      <c r="BO220" s="10"/>
      <c r="BP220" s="10"/>
      <c r="BQ220" s="10"/>
      <c r="BR220" s="10"/>
      <c r="BS220" s="10"/>
      <c r="BT220" s="10"/>
    </row>
    <row r="221" spans="53:72" ht="18" x14ac:dyDescent="0.2">
      <c r="BA221" s="10"/>
      <c r="BB221" s="10"/>
      <c r="BC221" s="10"/>
      <c r="BD221" s="10"/>
      <c r="BE221" s="10"/>
      <c r="BF221" s="10"/>
      <c r="BG221" s="10"/>
      <c r="BH221" s="10"/>
      <c r="BI221" s="10"/>
      <c r="BJ221" s="10"/>
      <c r="BK221" s="10"/>
      <c r="BL221" s="10"/>
      <c r="BM221" s="10"/>
      <c r="BN221" s="10"/>
      <c r="BO221" s="10"/>
      <c r="BP221" s="10"/>
      <c r="BQ221" s="10"/>
      <c r="BR221" s="10"/>
      <c r="BS221" s="10"/>
      <c r="BT221" s="10"/>
    </row>
    <row r="222" spans="53:72" ht="18" x14ac:dyDescent="0.2">
      <c r="BA222" s="10"/>
      <c r="BB222" s="10"/>
      <c r="BC222" s="10"/>
      <c r="BD222" s="10"/>
      <c r="BE222" s="10"/>
      <c r="BF222" s="10"/>
      <c r="BG222" s="10"/>
      <c r="BH222" s="10"/>
      <c r="BI222" s="10"/>
      <c r="BJ222" s="10"/>
      <c r="BK222" s="10"/>
      <c r="BL222" s="10"/>
      <c r="BM222" s="10"/>
      <c r="BN222" s="10"/>
      <c r="BO222" s="10"/>
      <c r="BP222" s="10"/>
      <c r="BQ222" s="10"/>
      <c r="BR222" s="10"/>
      <c r="BS222" s="10"/>
      <c r="BT222" s="10"/>
    </row>
    <row r="223" spans="53:72" ht="18" x14ac:dyDescent="0.2">
      <c r="BA223" s="10"/>
      <c r="BB223" s="10"/>
      <c r="BC223" s="10"/>
      <c r="BD223" s="10"/>
      <c r="BE223" s="10"/>
      <c r="BF223" s="10"/>
      <c r="BG223" s="10"/>
      <c r="BH223" s="10"/>
      <c r="BI223" s="10"/>
      <c r="BJ223" s="10"/>
      <c r="BK223" s="10"/>
      <c r="BL223" s="10"/>
      <c r="BM223" s="10"/>
      <c r="BN223" s="10"/>
      <c r="BO223" s="10"/>
      <c r="BP223" s="10"/>
      <c r="BQ223" s="10"/>
      <c r="BR223" s="10"/>
      <c r="BS223" s="10"/>
      <c r="BT223" s="10"/>
    </row>
    <row r="224" spans="53:72" ht="18" x14ac:dyDescent="0.2">
      <c r="BA224" s="10"/>
      <c r="BB224" s="10"/>
      <c r="BC224" s="10"/>
      <c r="BD224" s="10"/>
      <c r="BE224" s="10"/>
      <c r="BF224" s="10"/>
      <c r="BG224" s="10"/>
      <c r="BH224" s="10"/>
      <c r="BI224" s="10"/>
      <c r="BJ224" s="10"/>
      <c r="BK224" s="10"/>
      <c r="BL224" s="10"/>
      <c r="BM224" s="10"/>
      <c r="BN224" s="10"/>
      <c r="BO224" s="10"/>
      <c r="BP224" s="10"/>
      <c r="BQ224" s="10"/>
      <c r="BR224" s="10"/>
      <c r="BS224" s="10"/>
      <c r="BT224" s="10"/>
    </row>
    <row r="225" spans="53:72" ht="18" x14ac:dyDescent="0.2">
      <c r="BA225" s="10"/>
      <c r="BB225" s="10"/>
      <c r="BC225" s="10"/>
      <c r="BD225" s="10"/>
      <c r="BE225" s="10"/>
      <c r="BF225" s="10"/>
      <c r="BG225" s="10"/>
      <c r="BH225" s="10"/>
      <c r="BI225" s="10"/>
      <c r="BJ225" s="10"/>
      <c r="BK225" s="10"/>
      <c r="BL225" s="10"/>
      <c r="BM225" s="10"/>
      <c r="BN225" s="10"/>
      <c r="BO225" s="10"/>
      <c r="BP225" s="10"/>
      <c r="BQ225" s="10"/>
      <c r="BR225" s="10"/>
      <c r="BS225" s="10"/>
      <c r="BT225" s="10"/>
    </row>
    <row r="226" spans="53:72" ht="18" x14ac:dyDescent="0.2">
      <c r="BA226" s="10"/>
      <c r="BB226" s="10"/>
      <c r="BC226" s="10"/>
      <c r="BD226" s="10"/>
      <c r="BE226" s="10"/>
      <c r="BF226" s="10"/>
      <c r="BG226" s="10"/>
      <c r="BH226" s="10"/>
      <c r="BI226" s="10"/>
      <c r="BJ226" s="10"/>
      <c r="BK226" s="10"/>
      <c r="BL226" s="10"/>
      <c r="BM226" s="10"/>
      <c r="BN226" s="10"/>
      <c r="BO226" s="10"/>
      <c r="BP226" s="10"/>
      <c r="BQ226" s="10"/>
      <c r="BR226" s="10"/>
      <c r="BS226" s="10"/>
      <c r="BT226" s="10"/>
    </row>
    <row r="227" spans="53:72" ht="18" x14ac:dyDescent="0.2">
      <c r="BA227" s="10"/>
      <c r="BB227" s="10"/>
      <c r="BC227" s="10"/>
      <c r="BD227" s="10"/>
      <c r="BE227" s="10"/>
      <c r="BF227" s="10"/>
      <c r="BG227" s="10"/>
      <c r="BH227" s="10"/>
      <c r="BI227" s="10"/>
      <c r="BJ227" s="10"/>
      <c r="BK227" s="10"/>
      <c r="BL227" s="10"/>
      <c r="BM227" s="10"/>
      <c r="BN227" s="10"/>
      <c r="BO227" s="10"/>
      <c r="BP227" s="10"/>
      <c r="BQ227" s="10"/>
      <c r="BR227" s="10"/>
      <c r="BS227" s="10"/>
      <c r="BT227" s="10"/>
    </row>
    <row r="228" spans="53:72" ht="18" x14ac:dyDescent="0.2">
      <c r="BA228" s="10"/>
      <c r="BB228" s="10"/>
      <c r="BC228" s="10"/>
      <c r="BD228" s="10"/>
      <c r="BE228" s="10"/>
      <c r="BF228" s="10"/>
      <c r="BG228" s="10"/>
      <c r="BH228" s="10"/>
      <c r="BI228" s="10"/>
      <c r="BJ228" s="10"/>
      <c r="BK228" s="10"/>
      <c r="BL228" s="10"/>
      <c r="BM228" s="10"/>
      <c r="BN228" s="10"/>
      <c r="BO228" s="10"/>
      <c r="BP228" s="10"/>
      <c r="BQ228" s="10"/>
      <c r="BR228" s="10"/>
      <c r="BS228" s="10"/>
      <c r="BT228" s="10"/>
    </row>
    <row r="229" spans="53:72" ht="18" x14ac:dyDescent="0.2">
      <c r="BA229" s="10"/>
      <c r="BB229" s="10"/>
      <c r="BC229" s="10"/>
      <c r="BD229" s="10"/>
      <c r="BE229" s="10"/>
      <c r="BF229" s="10"/>
      <c r="BG229" s="10"/>
      <c r="BH229" s="10"/>
      <c r="BI229" s="10"/>
      <c r="BJ229" s="10"/>
      <c r="BK229" s="10"/>
      <c r="BL229" s="10"/>
      <c r="BM229" s="10"/>
      <c r="BN229" s="10"/>
      <c r="BO229" s="10"/>
      <c r="BP229" s="10"/>
      <c r="BQ229" s="10"/>
      <c r="BR229" s="10"/>
      <c r="BS229" s="10"/>
      <c r="BT229" s="10"/>
    </row>
    <row r="230" spans="53:72" ht="18" x14ac:dyDescent="0.2">
      <c r="BA230" s="10"/>
      <c r="BB230" s="10"/>
      <c r="BC230" s="10"/>
      <c r="BD230" s="10"/>
      <c r="BE230" s="10"/>
      <c r="BF230" s="10"/>
      <c r="BG230" s="10"/>
      <c r="BH230" s="10"/>
      <c r="BI230" s="10"/>
      <c r="BJ230" s="10"/>
      <c r="BK230" s="10"/>
      <c r="BL230" s="10"/>
      <c r="BM230" s="10"/>
      <c r="BN230" s="10"/>
      <c r="BO230" s="10"/>
      <c r="BP230" s="10"/>
      <c r="BQ230" s="10"/>
      <c r="BR230" s="10"/>
      <c r="BS230" s="10"/>
      <c r="BT230" s="10"/>
    </row>
    <row r="231" spans="53:72" ht="18" x14ac:dyDescent="0.2">
      <c r="BA231" s="10"/>
      <c r="BB231" s="10"/>
      <c r="BC231" s="10"/>
      <c r="BD231" s="10"/>
      <c r="BE231" s="10"/>
      <c r="BF231" s="10"/>
      <c r="BG231" s="10"/>
      <c r="BH231" s="10"/>
      <c r="BI231" s="10"/>
      <c r="BJ231" s="10"/>
      <c r="BK231" s="10"/>
      <c r="BL231" s="10"/>
      <c r="BM231" s="10"/>
      <c r="BN231" s="10"/>
      <c r="BO231" s="10"/>
      <c r="BP231" s="10"/>
      <c r="BQ231" s="10"/>
      <c r="BR231" s="10"/>
      <c r="BS231" s="10"/>
      <c r="BT231" s="10"/>
    </row>
    <row r="232" spans="53:72" ht="18" x14ac:dyDescent="0.2">
      <c r="BA232" s="10"/>
      <c r="BB232" s="10"/>
      <c r="BC232" s="10"/>
      <c r="BD232" s="10"/>
      <c r="BE232" s="10"/>
      <c r="BF232" s="10"/>
      <c r="BG232" s="10"/>
      <c r="BH232" s="10"/>
      <c r="BI232" s="10"/>
      <c r="BJ232" s="10"/>
      <c r="BK232" s="10"/>
      <c r="BL232" s="10"/>
      <c r="BM232" s="10"/>
      <c r="BN232" s="10"/>
      <c r="BO232" s="10"/>
      <c r="BP232" s="10"/>
      <c r="BQ232" s="10"/>
      <c r="BR232" s="10"/>
      <c r="BS232" s="10"/>
      <c r="BT232" s="10"/>
    </row>
    <row r="233" spans="53:72" ht="18" x14ac:dyDescent="0.2">
      <c r="BA233" s="10"/>
      <c r="BB233" s="10"/>
      <c r="BC233" s="10"/>
      <c r="BD233" s="10"/>
      <c r="BE233" s="10"/>
      <c r="BF233" s="10"/>
      <c r="BG233" s="10"/>
      <c r="BH233" s="10"/>
      <c r="BI233" s="10"/>
      <c r="BJ233" s="10"/>
      <c r="BK233" s="10"/>
      <c r="BL233" s="10"/>
      <c r="BM233" s="10"/>
      <c r="BN233" s="10"/>
      <c r="BO233" s="10"/>
      <c r="BP233" s="10"/>
      <c r="BQ233" s="10"/>
      <c r="BR233" s="10"/>
      <c r="BS233" s="10"/>
      <c r="BT233" s="10"/>
    </row>
    <row r="234" spans="53:72" ht="18" x14ac:dyDescent="0.2">
      <c r="BA234" s="10"/>
      <c r="BB234" s="10"/>
      <c r="BC234" s="10"/>
      <c r="BD234" s="10"/>
      <c r="BE234" s="10"/>
      <c r="BF234" s="10"/>
      <c r="BG234" s="10"/>
      <c r="BH234" s="10"/>
      <c r="BI234" s="10"/>
      <c r="BJ234" s="10"/>
      <c r="BK234" s="10"/>
      <c r="BL234" s="10"/>
      <c r="BM234" s="10"/>
      <c r="BN234" s="10"/>
      <c r="BO234" s="10"/>
      <c r="BP234" s="10"/>
      <c r="BQ234" s="10"/>
      <c r="BR234" s="10"/>
      <c r="BS234" s="10"/>
      <c r="BT234" s="10"/>
    </row>
    <row r="235" spans="53:72" ht="18" x14ac:dyDescent="0.2">
      <c r="BA235" s="10"/>
      <c r="BB235" s="10"/>
      <c r="BC235" s="10"/>
      <c r="BD235" s="10"/>
      <c r="BE235" s="10"/>
      <c r="BF235" s="10"/>
      <c r="BG235" s="10"/>
      <c r="BH235" s="10"/>
      <c r="BI235" s="10"/>
      <c r="BJ235" s="10"/>
      <c r="BK235" s="10"/>
      <c r="BL235" s="10"/>
      <c r="BM235" s="10"/>
      <c r="BN235" s="10"/>
      <c r="BO235" s="10"/>
      <c r="BP235" s="10"/>
      <c r="BQ235" s="10"/>
      <c r="BR235" s="10"/>
      <c r="BS235" s="10"/>
      <c r="BT235" s="10"/>
    </row>
    <row r="236" spans="53:72" ht="18" x14ac:dyDescent="0.2">
      <c r="BA236" s="10"/>
      <c r="BB236" s="10"/>
      <c r="BC236" s="10"/>
      <c r="BD236" s="10"/>
      <c r="BE236" s="10"/>
      <c r="BF236" s="10"/>
      <c r="BG236" s="10"/>
      <c r="BH236" s="10"/>
      <c r="BI236" s="10"/>
      <c r="BJ236" s="10"/>
      <c r="BK236" s="10"/>
      <c r="BL236" s="10"/>
      <c r="BM236" s="10"/>
      <c r="BN236" s="10"/>
      <c r="BO236" s="10"/>
      <c r="BP236" s="10"/>
      <c r="BQ236" s="10"/>
      <c r="BR236" s="10"/>
      <c r="BS236" s="10"/>
      <c r="BT236" s="10"/>
    </row>
    <row r="237" spans="53:72" ht="18" x14ac:dyDescent="0.2">
      <c r="BA237" s="10"/>
      <c r="BB237" s="10"/>
      <c r="BC237" s="10"/>
      <c r="BD237" s="10"/>
      <c r="BE237" s="10"/>
      <c r="BF237" s="10"/>
      <c r="BG237" s="10"/>
      <c r="BH237" s="10"/>
      <c r="BI237" s="10"/>
      <c r="BJ237" s="10"/>
      <c r="BK237" s="10"/>
      <c r="BL237" s="10"/>
      <c r="BM237" s="10"/>
      <c r="BN237" s="10"/>
      <c r="BO237" s="10"/>
      <c r="BP237" s="10"/>
      <c r="BQ237" s="10"/>
      <c r="BR237" s="10"/>
      <c r="BS237" s="10"/>
      <c r="BT237" s="10"/>
    </row>
    <row r="238" spans="53:72" ht="18" x14ac:dyDescent="0.2">
      <c r="BA238" s="10"/>
      <c r="BB238" s="10"/>
      <c r="BC238" s="10"/>
      <c r="BD238" s="10"/>
      <c r="BE238" s="10"/>
      <c r="BF238" s="10"/>
      <c r="BG238" s="10"/>
      <c r="BH238" s="10"/>
      <c r="BI238" s="10"/>
      <c r="BJ238" s="10"/>
      <c r="BK238" s="10"/>
      <c r="BL238" s="10"/>
      <c r="BM238" s="10"/>
      <c r="BN238" s="10"/>
      <c r="BO238" s="10"/>
      <c r="BP238" s="10"/>
      <c r="BQ238" s="10"/>
      <c r="BR238" s="10"/>
      <c r="BS238" s="10"/>
      <c r="BT238" s="10"/>
    </row>
    <row r="239" spans="53:72" ht="18" x14ac:dyDescent="0.2">
      <c r="BA239" s="10"/>
      <c r="BB239" s="10"/>
      <c r="BC239" s="10"/>
      <c r="BD239" s="10"/>
      <c r="BE239" s="10"/>
      <c r="BF239" s="10"/>
      <c r="BG239" s="10"/>
      <c r="BH239" s="10"/>
      <c r="BI239" s="10"/>
      <c r="BJ239" s="10"/>
      <c r="BK239" s="10"/>
      <c r="BL239" s="10"/>
      <c r="BM239" s="10"/>
      <c r="BN239" s="10"/>
      <c r="BO239" s="10"/>
      <c r="BP239" s="10"/>
      <c r="BQ239" s="10"/>
      <c r="BR239" s="10"/>
      <c r="BS239" s="10"/>
      <c r="BT239" s="10"/>
    </row>
    <row r="240" spans="53:72" ht="18" x14ac:dyDescent="0.2">
      <c r="BA240" s="10"/>
      <c r="BB240" s="10"/>
      <c r="BC240" s="10"/>
      <c r="BD240" s="10"/>
      <c r="BE240" s="10"/>
      <c r="BF240" s="10"/>
      <c r="BG240" s="10"/>
      <c r="BH240" s="10"/>
      <c r="BI240" s="10"/>
      <c r="BJ240" s="10"/>
      <c r="BK240" s="10"/>
      <c r="BL240" s="10"/>
      <c r="BM240" s="10"/>
      <c r="BN240" s="10"/>
      <c r="BO240" s="10"/>
      <c r="BP240" s="10"/>
      <c r="BQ240" s="10"/>
      <c r="BR240" s="10"/>
      <c r="BS240" s="10"/>
      <c r="BT240" s="10"/>
    </row>
    <row r="241" spans="53:72" ht="18" x14ac:dyDescent="0.2">
      <c r="BA241" s="10"/>
      <c r="BB241" s="10"/>
      <c r="BC241" s="10"/>
      <c r="BD241" s="10"/>
      <c r="BE241" s="10"/>
      <c r="BF241" s="10"/>
      <c r="BG241" s="10"/>
      <c r="BH241" s="10"/>
      <c r="BI241" s="10"/>
      <c r="BJ241" s="10"/>
      <c r="BK241" s="10"/>
      <c r="BL241" s="10"/>
      <c r="BM241" s="10"/>
      <c r="BN241" s="10"/>
      <c r="BO241" s="10"/>
      <c r="BP241" s="10"/>
      <c r="BQ241" s="10"/>
      <c r="BR241" s="10"/>
      <c r="BS241" s="10"/>
      <c r="BT241" s="10"/>
    </row>
    <row r="242" spans="53:72" ht="18" x14ac:dyDescent="0.2">
      <c r="BA242" s="10"/>
      <c r="BB242" s="10"/>
      <c r="BC242" s="10"/>
      <c r="BD242" s="10"/>
      <c r="BE242" s="10"/>
      <c r="BF242" s="10"/>
      <c r="BG242" s="10"/>
      <c r="BH242" s="10"/>
      <c r="BI242" s="10"/>
      <c r="BJ242" s="10"/>
      <c r="BK242" s="10"/>
      <c r="BL242" s="10"/>
      <c r="BM242" s="10"/>
      <c r="BN242" s="10"/>
      <c r="BO242" s="10"/>
      <c r="BP242" s="10"/>
      <c r="BQ242" s="10"/>
      <c r="BR242" s="10"/>
      <c r="BS242" s="10"/>
      <c r="BT242" s="10"/>
    </row>
    <row r="243" spans="53:72" ht="18" x14ac:dyDescent="0.2">
      <c r="BA243" s="10"/>
      <c r="BB243" s="10"/>
      <c r="BC243" s="10"/>
      <c r="BD243" s="10"/>
      <c r="BE243" s="10"/>
      <c r="BF243" s="10"/>
      <c r="BG243" s="10"/>
      <c r="BH243" s="10"/>
      <c r="BI243" s="10"/>
      <c r="BJ243" s="10"/>
      <c r="BK243" s="10"/>
      <c r="BL243" s="10"/>
      <c r="BM243" s="10"/>
      <c r="BN243" s="10"/>
      <c r="BO243" s="10"/>
      <c r="BP243" s="10"/>
      <c r="BQ243" s="10"/>
      <c r="BR243" s="10"/>
      <c r="BS243" s="10"/>
      <c r="BT243" s="10"/>
    </row>
    <row r="244" spans="53:72" ht="18" x14ac:dyDescent="0.2">
      <c r="BA244" s="10"/>
      <c r="BB244" s="10"/>
      <c r="BC244" s="10"/>
      <c r="BD244" s="10"/>
      <c r="BE244" s="10"/>
      <c r="BF244" s="10"/>
      <c r="BG244" s="10"/>
      <c r="BH244" s="10"/>
      <c r="BI244" s="10"/>
      <c r="BJ244" s="10"/>
      <c r="BK244" s="10"/>
      <c r="BL244" s="10"/>
      <c r="BM244" s="10"/>
      <c r="BN244" s="10"/>
      <c r="BO244" s="10"/>
      <c r="BP244" s="10"/>
      <c r="BQ244" s="10"/>
      <c r="BR244" s="10"/>
      <c r="BS244" s="10"/>
      <c r="BT244" s="10"/>
    </row>
    <row r="245" spans="53:72" ht="18" x14ac:dyDescent="0.2">
      <c r="BA245" s="10"/>
      <c r="BB245" s="10"/>
      <c r="BC245" s="10"/>
      <c r="BD245" s="10"/>
      <c r="BE245" s="10"/>
      <c r="BF245" s="10"/>
      <c r="BG245" s="10"/>
      <c r="BH245" s="10"/>
      <c r="BI245" s="10"/>
      <c r="BJ245" s="10"/>
      <c r="BK245" s="10"/>
      <c r="BL245" s="10"/>
      <c r="BM245" s="10"/>
      <c r="BN245" s="10"/>
      <c r="BO245" s="10"/>
      <c r="BP245" s="10"/>
      <c r="BQ245" s="10"/>
      <c r="BR245" s="10"/>
      <c r="BS245" s="10"/>
      <c r="BT245" s="10"/>
    </row>
    <row r="246" spans="53:72" ht="18" x14ac:dyDescent="0.2">
      <c r="BA246" s="10"/>
      <c r="BB246" s="10"/>
      <c r="BC246" s="10"/>
      <c r="BD246" s="10"/>
      <c r="BE246" s="10"/>
      <c r="BF246" s="10"/>
      <c r="BG246" s="10"/>
      <c r="BH246" s="10"/>
      <c r="BI246" s="10"/>
      <c r="BJ246" s="10"/>
      <c r="BK246" s="10"/>
      <c r="BL246" s="10"/>
      <c r="BM246" s="10"/>
      <c r="BN246" s="10"/>
      <c r="BO246" s="10"/>
      <c r="BP246" s="10"/>
      <c r="BQ246" s="10"/>
      <c r="BR246" s="10"/>
      <c r="BS246" s="10"/>
      <c r="BT246" s="10"/>
    </row>
    <row r="247" spans="53:72" ht="18" x14ac:dyDescent="0.2">
      <c r="BA247" s="10"/>
      <c r="BB247" s="10"/>
      <c r="BC247" s="10"/>
      <c r="BD247" s="10"/>
      <c r="BE247" s="10"/>
      <c r="BF247" s="10"/>
      <c r="BG247" s="10"/>
      <c r="BH247" s="10"/>
      <c r="BI247" s="10"/>
      <c r="BJ247" s="10"/>
      <c r="BK247" s="10"/>
      <c r="BL247" s="10"/>
      <c r="BM247" s="10"/>
      <c r="BN247" s="10"/>
      <c r="BO247" s="10"/>
      <c r="BP247" s="10"/>
      <c r="BQ247" s="10"/>
      <c r="BR247" s="10"/>
      <c r="BS247" s="10"/>
      <c r="BT247" s="10"/>
    </row>
    <row r="248" spans="53:72" ht="18" x14ac:dyDescent="0.2">
      <c r="BA248" s="10"/>
      <c r="BB248" s="10"/>
      <c r="BC248" s="10"/>
      <c r="BD248" s="10"/>
      <c r="BE248" s="10"/>
      <c r="BF248" s="10"/>
      <c r="BG248" s="10"/>
      <c r="BH248" s="10"/>
      <c r="BI248" s="10"/>
      <c r="BJ248" s="10"/>
      <c r="BK248" s="10"/>
      <c r="BL248" s="10"/>
      <c r="BM248" s="10"/>
      <c r="BN248" s="10"/>
      <c r="BO248" s="10"/>
      <c r="BP248" s="10"/>
      <c r="BQ248" s="10"/>
      <c r="BR248" s="10"/>
      <c r="BS248" s="10"/>
      <c r="BT248" s="10"/>
    </row>
    <row r="249" spans="53:72" ht="18" x14ac:dyDescent="0.2">
      <c r="BA249" s="10"/>
      <c r="BB249" s="10"/>
      <c r="BC249" s="10"/>
      <c r="BD249" s="10"/>
      <c r="BE249" s="10"/>
      <c r="BF249" s="10"/>
      <c r="BG249" s="10"/>
      <c r="BH249" s="10"/>
      <c r="BI249" s="10"/>
      <c r="BJ249" s="10"/>
      <c r="BK249" s="10"/>
      <c r="BL249" s="10"/>
      <c r="BM249" s="10"/>
      <c r="BN249" s="10"/>
      <c r="BO249" s="10"/>
      <c r="BP249" s="10"/>
      <c r="BQ249" s="10"/>
      <c r="BR249" s="10"/>
      <c r="BS249" s="10"/>
      <c r="BT249" s="10"/>
    </row>
    <row r="250" spans="53:72" ht="18" x14ac:dyDescent="0.2">
      <c r="BA250" s="10"/>
      <c r="BB250" s="10"/>
      <c r="BC250" s="10"/>
      <c r="BD250" s="10"/>
      <c r="BE250" s="10"/>
      <c r="BF250" s="10"/>
      <c r="BG250" s="10"/>
      <c r="BH250" s="10"/>
      <c r="BI250" s="10"/>
      <c r="BJ250" s="10"/>
      <c r="BK250" s="10"/>
      <c r="BL250" s="10"/>
      <c r="BM250" s="10"/>
      <c r="BN250" s="10"/>
      <c r="BO250" s="10"/>
      <c r="BP250" s="10"/>
      <c r="BQ250" s="10"/>
      <c r="BR250" s="10"/>
      <c r="BS250" s="10"/>
      <c r="BT250" s="10"/>
    </row>
    <row r="251" spans="53:72" ht="18" x14ac:dyDescent="0.2">
      <c r="BA251" s="10"/>
      <c r="BB251" s="10"/>
      <c r="BC251" s="10"/>
      <c r="BD251" s="10"/>
      <c r="BE251" s="10"/>
      <c r="BF251" s="10"/>
      <c r="BG251" s="10"/>
      <c r="BH251" s="10"/>
      <c r="BI251" s="10"/>
      <c r="BJ251" s="10"/>
      <c r="BK251" s="10"/>
      <c r="BL251" s="10"/>
      <c r="BM251" s="10"/>
      <c r="BN251" s="10"/>
      <c r="BO251" s="10"/>
      <c r="BP251" s="10"/>
      <c r="BQ251" s="10"/>
      <c r="BR251" s="10"/>
      <c r="BS251" s="10"/>
      <c r="BT251" s="10"/>
    </row>
    <row r="252" spans="53:72" ht="18" x14ac:dyDescent="0.2">
      <c r="BA252" s="10"/>
      <c r="BB252" s="10"/>
      <c r="BC252" s="10"/>
      <c r="BD252" s="10"/>
      <c r="BE252" s="10"/>
      <c r="BF252" s="10"/>
      <c r="BG252" s="10"/>
      <c r="BH252" s="10"/>
      <c r="BI252" s="10"/>
      <c r="BJ252" s="10"/>
      <c r="BK252" s="10"/>
      <c r="BL252" s="10"/>
      <c r="BM252" s="10"/>
      <c r="BN252" s="10"/>
      <c r="BO252" s="10"/>
      <c r="BP252" s="10"/>
      <c r="BQ252" s="10"/>
      <c r="BR252" s="10"/>
      <c r="BS252" s="10"/>
      <c r="BT252" s="10"/>
    </row>
    <row r="253" spans="53:72" ht="18" x14ac:dyDescent="0.2">
      <c r="BA253" s="10"/>
      <c r="BB253" s="10"/>
      <c r="BC253" s="10"/>
      <c r="BD253" s="10"/>
      <c r="BE253" s="10"/>
      <c r="BF253" s="10"/>
      <c r="BG253" s="10"/>
      <c r="BH253" s="10"/>
      <c r="BI253" s="10"/>
      <c r="BJ253" s="10"/>
      <c r="BK253" s="10"/>
      <c r="BL253" s="10"/>
      <c r="BM253" s="10"/>
      <c r="BN253" s="10"/>
      <c r="BO253" s="10"/>
      <c r="BP253" s="10"/>
      <c r="BQ253" s="10"/>
      <c r="BR253" s="10"/>
      <c r="BS253" s="10"/>
      <c r="BT253" s="10"/>
    </row>
    <row r="254" spans="53:72" ht="18" x14ac:dyDescent="0.2">
      <c r="BA254" s="10"/>
      <c r="BB254" s="10"/>
      <c r="BC254" s="10"/>
      <c r="BD254" s="10"/>
      <c r="BE254" s="10"/>
      <c r="BF254" s="10"/>
      <c r="BG254" s="10"/>
      <c r="BH254" s="10"/>
      <c r="BI254" s="10"/>
      <c r="BJ254" s="10"/>
      <c r="BK254" s="10"/>
      <c r="BL254" s="10"/>
      <c r="BM254" s="10"/>
      <c r="BN254" s="10"/>
      <c r="BO254" s="10"/>
      <c r="BP254" s="10"/>
      <c r="BQ254" s="10"/>
      <c r="BR254" s="10"/>
      <c r="BS254" s="10"/>
      <c r="BT254" s="10"/>
    </row>
    <row r="255" spans="53:72" ht="18" x14ac:dyDescent="0.2">
      <c r="BA255" s="10"/>
      <c r="BB255" s="10"/>
      <c r="BC255" s="10"/>
      <c r="BD255" s="10"/>
      <c r="BE255" s="10"/>
      <c r="BF255" s="10"/>
      <c r="BG255" s="10"/>
      <c r="BH255" s="10"/>
      <c r="BI255" s="10"/>
      <c r="BJ255" s="10"/>
      <c r="BK255" s="10"/>
      <c r="BL255" s="10"/>
      <c r="BM255" s="10"/>
      <c r="BN255" s="10"/>
      <c r="BO255" s="10"/>
      <c r="BP255" s="10"/>
      <c r="BQ255" s="10"/>
      <c r="BR255" s="10"/>
      <c r="BS255" s="10"/>
      <c r="BT255" s="10"/>
    </row>
    <row r="256" spans="53:72" ht="18" x14ac:dyDescent="0.2">
      <c r="BA256" s="10"/>
      <c r="BB256" s="10"/>
      <c r="BC256" s="10"/>
      <c r="BD256" s="10"/>
      <c r="BE256" s="10"/>
      <c r="BF256" s="10"/>
      <c r="BG256" s="10"/>
      <c r="BH256" s="10"/>
      <c r="BI256" s="10"/>
      <c r="BJ256" s="10"/>
      <c r="BK256" s="10"/>
      <c r="BL256" s="10"/>
      <c r="BM256" s="10"/>
      <c r="BN256" s="10"/>
      <c r="BO256" s="10"/>
      <c r="BP256" s="10"/>
      <c r="BQ256" s="10"/>
      <c r="BR256" s="10"/>
      <c r="BS256" s="10"/>
      <c r="BT256" s="10"/>
    </row>
    <row r="257" spans="53:72" ht="18" x14ac:dyDescent="0.2">
      <c r="BA257" s="10"/>
      <c r="BB257" s="10"/>
      <c r="BC257" s="10"/>
      <c r="BD257" s="10"/>
      <c r="BE257" s="10"/>
      <c r="BF257" s="10"/>
      <c r="BG257" s="10"/>
      <c r="BH257" s="10"/>
      <c r="BI257" s="10"/>
      <c r="BJ257" s="10"/>
      <c r="BK257" s="10"/>
      <c r="BL257" s="10"/>
      <c r="BM257" s="10"/>
      <c r="BN257" s="10"/>
      <c r="BO257" s="10"/>
      <c r="BP257" s="10"/>
      <c r="BQ257" s="10"/>
      <c r="BR257" s="10"/>
      <c r="BS257" s="10"/>
      <c r="BT257" s="10"/>
    </row>
    <row r="258" spans="53:72" ht="18" x14ac:dyDescent="0.2">
      <c r="BA258" s="10"/>
      <c r="BB258" s="10"/>
      <c r="BC258" s="10"/>
      <c r="BD258" s="10"/>
      <c r="BE258" s="10"/>
      <c r="BF258" s="10"/>
      <c r="BG258" s="10"/>
      <c r="BH258" s="10"/>
      <c r="BI258" s="10"/>
      <c r="BJ258" s="10"/>
      <c r="BK258" s="10"/>
      <c r="BL258" s="10"/>
      <c r="BM258" s="10"/>
      <c r="BN258" s="10"/>
      <c r="BO258" s="10"/>
      <c r="BP258" s="10"/>
      <c r="BQ258" s="10"/>
      <c r="BR258" s="10"/>
      <c r="BS258" s="10"/>
      <c r="BT258" s="10"/>
    </row>
    <row r="259" spans="53:72" ht="18" x14ac:dyDescent="0.2">
      <c r="BA259" s="10"/>
      <c r="BB259" s="10"/>
      <c r="BC259" s="10"/>
      <c r="BD259" s="10"/>
      <c r="BE259" s="10"/>
      <c r="BF259" s="10"/>
      <c r="BG259" s="10"/>
      <c r="BH259" s="10"/>
      <c r="BI259" s="10"/>
      <c r="BJ259" s="10"/>
      <c r="BK259" s="10"/>
      <c r="BL259" s="10"/>
      <c r="BM259" s="10"/>
      <c r="BN259" s="10"/>
      <c r="BO259" s="10"/>
      <c r="BP259" s="10"/>
      <c r="BQ259" s="10"/>
      <c r="BR259" s="10"/>
      <c r="BS259" s="10"/>
      <c r="BT259" s="10"/>
    </row>
    <row r="260" spans="53:72" ht="18" x14ac:dyDescent="0.2">
      <c r="BA260" s="10"/>
      <c r="BB260" s="10"/>
      <c r="BC260" s="10"/>
      <c r="BD260" s="10"/>
      <c r="BE260" s="10"/>
      <c r="BF260" s="10"/>
      <c r="BG260" s="10"/>
      <c r="BH260" s="10"/>
      <c r="BI260" s="10"/>
      <c r="BJ260" s="10"/>
      <c r="BK260" s="10"/>
      <c r="BL260" s="10"/>
      <c r="BM260" s="10"/>
      <c r="BN260" s="10"/>
      <c r="BO260" s="10"/>
      <c r="BP260" s="10"/>
      <c r="BQ260" s="10"/>
      <c r="BR260" s="10"/>
      <c r="BS260" s="10"/>
      <c r="BT260" s="10"/>
    </row>
    <row r="261" spans="53:72" ht="18" x14ac:dyDescent="0.2">
      <c r="BA261" s="10"/>
      <c r="BB261" s="10"/>
      <c r="BC261" s="10"/>
      <c r="BD261" s="10"/>
      <c r="BE261" s="10"/>
      <c r="BF261" s="10"/>
      <c r="BG261" s="10"/>
      <c r="BH261" s="10"/>
      <c r="BI261" s="10"/>
      <c r="BJ261" s="10"/>
      <c r="BK261" s="10"/>
      <c r="BL261" s="10"/>
      <c r="BM261" s="10"/>
      <c r="BN261" s="10"/>
      <c r="BO261" s="10"/>
      <c r="BP261" s="10"/>
      <c r="BQ261" s="10"/>
      <c r="BR261" s="10"/>
      <c r="BS261" s="10"/>
      <c r="BT261" s="10"/>
    </row>
    <row r="262" spans="53:72" ht="18" x14ac:dyDescent="0.2">
      <c r="BA262" s="10"/>
      <c r="BB262" s="10"/>
      <c r="BC262" s="10"/>
      <c r="BD262" s="10"/>
      <c r="BE262" s="10"/>
      <c r="BF262" s="10"/>
      <c r="BG262" s="10"/>
      <c r="BH262" s="10"/>
      <c r="BI262" s="10"/>
      <c r="BJ262" s="10"/>
      <c r="BK262" s="10"/>
      <c r="BL262" s="10"/>
      <c r="BM262" s="10"/>
      <c r="BN262" s="10"/>
      <c r="BO262" s="10"/>
      <c r="BP262" s="10"/>
      <c r="BQ262" s="10"/>
      <c r="BR262" s="10"/>
      <c r="BS262" s="10"/>
      <c r="BT262" s="10"/>
    </row>
    <row r="263" spans="53:72" ht="18" x14ac:dyDescent="0.2">
      <c r="BA263" s="10"/>
      <c r="BB263" s="10"/>
      <c r="BC263" s="10"/>
      <c r="BD263" s="10"/>
      <c r="BE263" s="10"/>
      <c r="BF263" s="10"/>
      <c r="BG263" s="10"/>
      <c r="BH263" s="10"/>
      <c r="BI263" s="10"/>
      <c r="BJ263" s="10"/>
      <c r="BK263" s="10"/>
      <c r="BL263" s="10"/>
      <c r="BM263" s="10"/>
      <c r="BN263" s="10"/>
      <c r="BO263" s="10"/>
      <c r="BP263" s="10"/>
      <c r="BQ263" s="10"/>
      <c r="BR263" s="10"/>
      <c r="BS263" s="10"/>
      <c r="BT263" s="10"/>
    </row>
    <row r="264" spans="53:72" ht="18" x14ac:dyDescent="0.2">
      <c r="BA264" s="10"/>
      <c r="BB264" s="10"/>
      <c r="BC264" s="10"/>
      <c r="BD264" s="10"/>
      <c r="BE264" s="10"/>
      <c r="BF264" s="10"/>
      <c r="BG264" s="10"/>
      <c r="BH264" s="10"/>
      <c r="BI264" s="10"/>
      <c r="BJ264" s="10"/>
      <c r="BK264" s="10"/>
      <c r="BL264" s="10"/>
      <c r="BM264" s="10"/>
      <c r="BN264" s="10"/>
      <c r="BO264" s="10"/>
      <c r="BP264" s="10"/>
      <c r="BQ264" s="10"/>
      <c r="BR264" s="10"/>
      <c r="BS264" s="10"/>
      <c r="BT264" s="10"/>
    </row>
    <row r="265" spans="53:72" ht="18" x14ac:dyDescent="0.2">
      <c r="BA265" s="10"/>
      <c r="BB265" s="10"/>
      <c r="BC265" s="10"/>
      <c r="BD265" s="10"/>
      <c r="BE265" s="10"/>
      <c r="BF265" s="10"/>
      <c r="BG265" s="10"/>
      <c r="BH265" s="10"/>
      <c r="BI265" s="10"/>
      <c r="BJ265" s="10"/>
      <c r="BK265" s="10"/>
      <c r="BL265" s="10"/>
      <c r="BM265" s="10"/>
      <c r="BN265" s="10"/>
      <c r="BO265" s="10"/>
      <c r="BP265" s="10"/>
      <c r="BQ265" s="10"/>
      <c r="BR265" s="10"/>
      <c r="BS265" s="10"/>
      <c r="BT265" s="10"/>
    </row>
    <row r="266" spans="53:72" ht="18" x14ac:dyDescent="0.2">
      <c r="BA266" s="10"/>
      <c r="BB266" s="10"/>
      <c r="BC266" s="10"/>
      <c r="BD266" s="10"/>
      <c r="BE266" s="10"/>
      <c r="BF266" s="10"/>
      <c r="BG266" s="10"/>
      <c r="BH266" s="10"/>
      <c r="BI266" s="10"/>
      <c r="BJ266" s="10"/>
      <c r="BK266" s="10"/>
      <c r="BL266" s="10"/>
      <c r="BM266" s="10"/>
      <c r="BN266" s="10"/>
      <c r="BO266" s="10"/>
      <c r="BP266" s="10"/>
      <c r="BQ266" s="10"/>
      <c r="BR266" s="10"/>
      <c r="BS266" s="10"/>
      <c r="BT266" s="10"/>
    </row>
    <row r="267" spans="53:72" ht="18" x14ac:dyDescent="0.2">
      <c r="BA267" s="10"/>
      <c r="BB267" s="10"/>
      <c r="BC267" s="10"/>
      <c r="BD267" s="10"/>
      <c r="BE267" s="10"/>
      <c r="BF267" s="10"/>
      <c r="BG267" s="10"/>
      <c r="BH267" s="10"/>
      <c r="BI267" s="10"/>
      <c r="BJ267" s="10"/>
      <c r="BK267" s="10"/>
      <c r="BL267" s="10"/>
      <c r="BM267" s="10"/>
      <c r="BN267" s="10"/>
      <c r="BO267" s="10"/>
      <c r="BP267" s="10"/>
      <c r="BQ267" s="10"/>
      <c r="BR267" s="10"/>
      <c r="BS267" s="10"/>
      <c r="BT267" s="10"/>
    </row>
    <row r="268" spans="53:72" ht="18" x14ac:dyDescent="0.2">
      <c r="BA268" s="10"/>
      <c r="BB268" s="10"/>
      <c r="BC268" s="10"/>
      <c r="BD268" s="10"/>
      <c r="BE268" s="10"/>
      <c r="BF268" s="10"/>
      <c r="BG268" s="10"/>
      <c r="BH268" s="10"/>
      <c r="BI268" s="10"/>
      <c r="BJ268" s="10"/>
      <c r="BK268" s="10"/>
      <c r="BL268" s="10"/>
      <c r="BM268" s="10"/>
      <c r="BN268" s="10"/>
      <c r="BO268" s="10"/>
      <c r="BP268" s="10"/>
      <c r="BQ268" s="10"/>
      <c r="BR268" s="10"/>
      <c r="BS268" s="10"/>
      <c r="BT268" s="10"/>
    </row>
    <row r="269" spans="53:72" ht="18" x14ac:dyDescent="0.2">
      <c r="BA269" s="10"/>
      <c r="BB269" s="10"/>
      <c r="BC269" s="10"/>
      <c r="BD269" s="10"/>
      <c r="BE269" s="10"/>
      <c r="BF269" s="10"/>
      <c r="BG269" s="10"/>
      <c r="BH269" s="10"/>
      <c r="BI269" s="10"/>
      <c r="BJ269" s="10"/>
      <c r="BK269" s="10"/>
      <c r="BL269" s="10"/>
      <c r="BM269" s="10"/>
      <c r="BN269" s="10"/>
      <c r="BO269" s="10"/>
      <c r="BP269" s="10"/>
      <c r="BQ269" s="10"/>
      <c r="BR269" s="10"/>
      <c r="BS269" s="10"/>
      <c r="BT269" s="10"/>
    </row>
    <row r="270" spans="53:72" ht="18" x14ac:dyDescent="0.2">
      <c r="BA270" s="10"/>
      <c r="BB270" s="10"/>
      <c r="BC270" s="10"/>
      <c r="BD270" s="10"/>
      <c r="BE270" s="10"/>
      <c r="BF270" s="10"/>
      <c r="BG270" s="10"/>
      <c r="BH270" s="10"/>
      <c r="BI270" s="10"/>
      <c r="BJ270" s="10"/>
      <c r="BK270" s="10"/>
      <c r="BL270" s="10"/>
      <c r="BM270" s="10"/>
      <c r="BN270" s="10"/>
      <c r="BO270" s="10"/>
      <c r="BP270" s="10"/>
      <c r="BQ270" s="10"/>
      <c r="BR270" s="10"/>
      <c r="BS270" s="10"/>
      <c r="BT270" s="10"/>
    </row>
    <row r="271" spans="53:72" ht="18" x14ac:dyDescent="0.2">
      <c r="BA271" s="10"/>
      <c r="BB271" s="10"/>
      <c r="BC271" s="10"/>
      <c r="BD271" s="10"/>
      <c r="BE271" s="10"/>
      <c r="BF271" s="10"/>
      <c r="BG271" s="10"/>
      <c r="BH271" s="10"/>
      <c r="BI271" s="10"/>
      <c r="BJ271" s="10"/>
      <c r="BK271" s="10"/>
      <c r="BL271" s="10"/>
      <c r="BM271" s="10"/>
      <c r="BN271" s="10"/>
      <c r="BO271" s="10"/>
      <c r="BP271" s="10"/>
      <c r="BQ271" s="10"/>
      <c r="BR271" s="10"/>
      <c r="BS271" s="10"/>
      <c r="BT271" s="10"/>
    </row>
    <row r="272" spans="53:72" ht="18" x14ac:dyDescent="0.2">
      <c r="BA272" s="10"/>
      <c r="BB272" s="10"/>
      <c r="BC272" s="10"/>
      <c r="BD272" s="10"/>
      <c r="BE272" s="10"/>
      <c r="BF272" s="10"/>
      <c r="BG272" s="10"/>
      <c r="BH272" s="10"/>
      <c r="BI272" s="10"/>
      <c r="BJ272" s="10"/>
      <c r="BK272" s="10"/>
      <c r="BL272" s="10"/>
      <c r="BM272" s="10"/>
      <c r="BN272" s="10"/>
      <c r="BO272" s="10"/>
      <c r="BP272" s="10"/>
      <c r="BQ272" s="10"/>
      <c r="BR272" s="10"/>
      <c r="BS272" s="10"/>
      <c r="BT272" s="10"/>
    </row>
    <row r="273" spans="53:72" ht="18" x14ac:dyDescent="0.2">
      <c r="BA273" s="10"/>
      <c r="BB273" s="10"/>
      <c r="BC273" s="10"/>
      <c r="BD273" s="10"/>
      <c r="BE273" s="10"/>
      <c r="BF273" s="10"/>
      <c r="BG273" s="10"/>
      <c r="BH273" s="10"/>
      <c r="BI273" s="10"/>
      <c r="BJ273" s="10"/>
      <c r="BK273" s="10"/>
      <c r="BL273" s="10"/>
      <c r="BM273" s="10"/>
      <c r="BN273" s="10"/>
      <c r="BO273" s="10"/>
      <c r="BP273" s="10"/>
      <c r="BQ273" s="10"/>
      <c r="BR273" s="10"/>
      <c r="BS273" s="10"/>
      <c r="BT273" s="10"/>
    </row>
    <row r="274" spans="53:72" ht="18" x14ac:dyDescent="0.2">
      <c r="BA274" s="10"/>
      <c r="BB274" s="10"/>
      <c r="BC274" s="10"/>
      <c r="BD274" s="10"/>
      <c r="BE274" s="10"/>
      <c r="BF274" s="10"/>
      <c r="BG274" s="10"/>
      <c r="BH274" s="10"/>
      <c r="BI274" s="10"/>
      <c r="BJ274" s="10"/>
      <c r="BK274" s="10"/>
      <c r="BL274" s="10"/>
      <c r="BM274" s="10"/>
      <c r="BN274" s="10"/>
      <c r="BO274" s="10"/>
      <c r="BP274" s="10"/>
      <c r="BQ274" s="10"/>
      <c r="BR274" s="10"/>
      <c r="BS274" s="10"/>
      <c r="BT274" s="10"/>
    </row>
    <row r="275" spans="53:72" ht="18" x14ac:dyDescent="0.2">
      <c r="BA275" s="10"/>
      <c r="BB275" s="10"/>
      <c r="BC275" s="10"/>
      <c r="BD275" s="10"/>
      <c r="BE275" s="10"/>
      <c r="BF275" s="10"/>
      <c r="BG275" s="10"/>
      <c r="BH275" s="10"/>
      <c r="BI275" s="10"/>
      <c r="BJ275" s="10"/>
      <c r="BK275" s="10"/>
      <c r="BL275" s="10"/>
      <c r="BM275" s="10"/>
      <c r="BN275" s="10"/>
      <c r="BO275" s="10"/>
      <c r="BP275" s="10"/>
      <c r="BQ275" s="10"/>
      <c r="BR275" s="10"/>
      <c r="BS275" s="10"/>
      <c r="BT275" s="10"/>
    </row>
    <row r="276" spans="53:72" ht="18" x14ac:dyDescent="0.2">
      <c r="BA276" s="10"/>
      <c r="BB276" s="10"/>
      <c r="BC276" s="10"/>
      <c r="BD276" s="10"/>
      <c r="BE276" s="10"/>
      <c r="BF276" s="10"/>
      <c r="BG276" s="10"/>
      <c r="BH276" s="10"/>
      <c r="BI276" s="10"/>
      <c r="BJ276" s="10"/>
      <c r="BK276" s="10"/>
      <c r="BL276" s="10"/>
      <c r="BM276" s="10"/>
      <c r="BN276" s="10"/>
      <c r="BO276" s="10"/>
      <c r="BP276" s="10"/>
      <c r="BQ276" s="10"/>
      <c r="BR276" s="10"/>
      <c r="BS276" s="10"/>
      <c r="BT276" s="10"/>
    </row>
    <row r="277" spans="53:72" ht="18" x14ac:dyDescent="0.2">
      <c r="BA277" s="10"/>
      <c r="BB277" s="10"/>
      <c r="BC277" s="10"/>
      <c r="BD277" s="10"/>
      <c r="BE277" s="10"/>
      <c r="BF277" s="10"/>
      <c r="BG277" s="10"/>
      <c r="BH277" s="10"/>
      <c r="BI277" s="10"/>
      <c r="BJ277" s="10"/>
      <c r="BK277" s="10"/>
      <c r="BL277" s="10"/>
      <c r="BM277" s="10"/>
      <c r="BN277" s="10"/>
      <c r="BO277" s="10"/>
      <c r="BP277" s="10"/>
      <c r="BQ277" s="10"/>
      <c r="BR277" s="10"/>
      <c r="BS277" s="10"/>
      <c r="BT277" s="10"/>
    </row>
    <row r="278" spans="53:72" ht="18" x14ac:dyDescent="0.2">
      <c r="BA278" s="10"/>
      <c r="BB278" s="10"/>
      <c r="BC278" s="10"/>
      <c r="BD278" s="10"/>
      <c r="BE278" s="10"/>
      <c r="BF278" s="10"/>
      <c r="BG278" s="10"/>
      <c r="BH278" s="10"/>
      <c r="BI278" s="10"/>
      <c r="BJ278" s="10"/>
      <c r="BK278" s="10"/>
      <c r="BL278" s="10"/>
      <c r="BM278" s="10"/>
      <c r="BN278" s="10"/>
      <c r="BO278" s="10"/>
      <c r="BP278" s="10"/>
      <c r="BQ278" s="10"/>
      <c r="BR278" s="10"/>
      <c r="BS278" s="10"/>
      <c r="BT278" s="10"/>
    </row>
    <row r="279" spans="53:72" ht="18" x14ac:dyDescent="0.2">
      <c r="BA279" s="10"/>
      <c r="BB279" s="10"/>
      <c r="BC279" s="10"/>
      <c r="BD279" s="10"/>
      <c r="BE279" s="10"/>
      <c r="BF279" s="10"/>
      <c r="BG279" s="10"/>
      <c r="BH279" s="10"/>
      <c r="BI279" s="10"/>
      <c r="BJ279" s="10"/>
      <c r="BK279" s="10"/>
      <c r="BL279" s="10"/>
      <c r="BM279" s="10"/>
      <c r="BN279" s="10"/>
      <c r="BO279" s="10"/>
      <c r="BP279" s="10"/>
      <c r="BQ279" s="10"/>
      <c r="BR279" s="10"/>
      <c r="BS279" s="10"/>
      <c r="BT279" s="10"/>
    </row>
    <row r="280" spans="53:72" ht="18" x14ac:dyDescent="0.2">
      <c r="BA280" s="10"/>
      <c r="BB280" s="10"/>
      <c r="BC280" s="10"/>
      <c r="BD280" s="10"/>
      <c r="BE280" s="10"/>
      <c r="BF280" s="10"/>
      <c r="BG280" s="10"/>
      <c r="BH280" s="10"/>
      <c r="BI280" s="10"/>
      <c r="BJ280" s="10"/>
      <c r="BK280" s="10"/>
      <c r="BL280" s="10"/>
      <c r="BM280" s="10"/>
      <c r="BN280" s="10"/>
      <c r="BO280" s="10"/>
      <c r="BP280" s="10"/>
      <c r="BQ280" s="10"/>
      <c r="BR280" s="10"/>
      <c r="BS280" s="10"/>
      <c r="BT280" s="10"/>
    </row>
    <row r="281" spans="53:72" ht="18" x14ac:dyDescent="0.2">
      <c r="BA281" s="10"/>
      <c r="BB281" s="10"/>
      <c r="BC281" s="10"/>
      <c r="BD281" s="10"/>
      <c r="BE281" s="10"/>
      <c r="BF281" s="10"/>
      <c r="BG281" s="10"/>
      <c r="BH281" s="10"/>
      <c r="BI281" s="10"/>
      <c r="BJ281" s="10"/>
      <c r="BK281" s="10"/>
      <c r="BL281" s="10"/>
      <c r="BM281" s="10"/>
      <c r="BN281" s="10"/>
      <c r="BO281" s="10"/>
      <c r="BP281" s="10"/>
      <c r="BQ281" s="10"/>
      <c r="BR281" s="10"/>
      <c r="BS281" s="10"/>
      <c r="BT281" s="10"/>
    </row>
    <row r="282" spans="53:72" ht="18" x14ac:dyDescent="0.2">
      <c r="BA282" s="10"/>
      <c r="BB282" s="10"/>
      <c r="BC282" s="10"/>
      <c r="BD282" s="10"/>
      <c r="BE282" s="10"/>
      <c r="BF282" s="10"/>
      <c r="BG282" s="10"/>
      <c r="BH282" s="10"/>
      <c r="BI282" s="10"/>
      <c r="BJ282" s="10"/>
      <c r="BK282" s="10"/>
      <c r="BL282" s="10"/>
      <c r="BM282" s="10"/>
      <c r="BN282" s="10"/>
      <c r="BO282" s="10"/>
      <c r="BP282" s="10"/>
      <c r="BQ282" s="10"/>
      <c r="BR282" s="10"/>
      <c r="BS282" s="10"/>
      <c r="BT282" s="10"/>
    </row>
    <row r="283" spans="53:72" ht="18" x14ac:dyDescent="0.2">
      <c r="BA283" s="10"/>
      <c r="BB283" s="10"/>
      <c r="BC283" s="10"/>
      <c r="BD283" s="10"/>
      <c r="BE283" s="10"/>
      <c r="BF283" s="10"/>
      <c r="BG283" s="10"/>
      <c r="BH283" s="10"/>
      <c r="BI283" s="10"/>
      <c r="BJ283" s="10"/>
      <c r="BK283" s="10"/>
      <c r="BL283" s="10"/>
      <c r="BM283" s="10"/>
      <c r="BN283" s="10"/>
      <c r="BO283" s="10"/>
      <c r="BP283" s="10"/>
      <c r="BQ283" s="10"/>
      <c r="BR283" s="10"/>
      <c r="BS283" s="10"/>
      <c r="BT283" s="10"/>
    </row>
    <row r="284" spans="53:72" ht="18" x14ac:dyDescent="0.2">
      <c r="BA284" s="10"/>
      <c r="BB284" s="10"/>
      <c r="BC284" s="10"/>
      <c r="BD284" s="10"/>
      <c r="BE284" s="10"/>
      <c r="BF284" s="10"/>
      <c r="BG284" s="10"/>
      <c r="BH284" s="10"/>
      <c r="BI284" s="10"/>
      <c r="BJ284" s="10"/>
      <c r="BK284" s="10"/>
      <c r="BL284" s="10"/>
      <c r="BM284" s="10"/>
      <c r="BN284" s="10"/>
      <c r="BO284" s="10"/>
      <c r="BP284" s="10"/>
      <c r="BQ284" s="10"/>
      <c r="BR284" s="10"/>
      <c r="BS284" s="10"/>
      <c r="BT284" s="10"/>
    </row>
    <row r="285" spans="53:72" ht="18" x14ac:dyDescent="0.2">
      <c r="BA285" s="10"/>
      <c r="BB285" s="10"/>
      <c r="BC285" s="10"/>
      <c r="BD285" s="10"/>
      <c r="BE285" s="10"/>
      <c r="BF285" s="10"/>
      <c r="BG285" s="10"/>
      <c r="BH285" s="10"/>
      <c r="BI285" s="10"/>
      <c r="BJ285" s="10"/>
      <c r="BK285" s="10"/>
      <c r="BL285" s="10"/>
      <c r="BM285" s="10"/>
      <c r="BN285" s="10"/>
      <c r="BO285" s="10"/>
      <c r="BP285" s="10"/>
      <c r="BQ285" s="10"/>
      <c r="BR285" s="10"/>
      <c r="BS285" s="10"/>
      <c r="BT285" s="10"/>
    </row>
    <row r="286" spans="53:72" ht="18" x14ac:dyDescent="0.2">
      <c r="BA286" s="10"/>
      <c r="BB286" s="10"/>
      <c r="BC286" s="10"/>
      <c r="BD286" s="10"/>
      <c r="BE286" s="10"/>
      <c r="BF286" s="10"/>
      <c r="BG286" s="10"/>
      <c r="BH286" s="10"/>
      <c r="BI286" s="10"/>
      <c r="BJ286" s="10"/>
      <c r="BK286" s="10"/>
      <c r="BL286" s="10"/>
      <c r="BM286" s="10"/>
      <c r="BN286" s="10"/>
      <c r="BO286" s="10"/>
      <c r="BP286" s="10"/>
      <c r="BQ286" s="10"/>
      <c r="BR286" s="10"/>
      <c r="BS286" s="10"/>
      <c r="BT286" s="10"/>
    </row>
    <row r="287" spans="53:72" ht="18" x14ac:dyDescent="0.2">
      <c r="BA287" s="10"/>
      <c r="BB287" s="10"/>
      <c r="BC287" s="10"/>
      <c r="BD287" s="10"/>
      <c r="BE287" s="10"/>
      <c r="BF287" s="10"/>
      <c r="BG287" s="10"/>
      <c r="BH287" s="10"/>
      <c r="BI287" s="10"/>
      <c r="BJ287" s="10"/>
      <c r="BK287" s="10"/>
      <c r="BL287" s="10"/>
      <c r="BM287" s="10"/>
      <c r="BN287" s="10"/>
      <c r="BO287" s="10"/>
      <c r="BP287" s="10"/>
      <c r="BQ287" s="10"/>
      <c r="BR287" s="10"/>
      <c r="BS287" s="10"/>
      <c r="BT287" s="10"/>
    </row>
    <row r="288" spans="53:72" ht="18" x14ac:dyDescent="0.2">
      <c r="BA288" s="10"/>
      <c r="BB288" s="10"/>
      <c r="BC288" s="10"/>
      <c r="BD288" s="10"/>
      <c r="BE288" s="10"/>
      <c r="BF288" s="10"/>
      <c r="BG288" s="10"/>
      <c r="BH288" s="10"/>
      <c r="BI288" s="10"/>
      <c r="BJ288" s="10"/>
      <c r="BK288" s="10"/>
      <c r="BL288" s="10"/>
      <c r="BM288" s="10"/>
      <c r="BN288" s="10"/>
      <c r="BO288" s="10"/>
      <c r="BP288" s="10"/>
      <c r="BQ288" s="10"/>
      <c r="BR288" s="10"/>
      <c r="BS288" s="10"/>
      <c r="BT288" s="10"/>
    </row>
    <row r="289" spans="53:72" ht="18" x14ac:dyDescent="0.2">
      <c r="BA289" s="10"/>
      <c r="BB289" s="10"/>
      <c r="BC289" s="10"/>
      <c r="BD289" s="10"/>
      <c r="BE289" s="10"/>
      <c r="BF289" s="10"/>
      <c r="BG289" s="10"/>
      <c r="BH289" s="10"/>
      <c r="BI289" s="10"/>
      <c r="BJ289" s="10"/>
      <c r="BK289" s="10"/>
      <c r="BL289" s="10"/>
      <c r="BM289" s="10"/>
      <c r="BN289" s="10"/>
      <c r="BO289" s="10"/>
      <c r="BP289" s="10"/>
      <c r="BQ289" s="10"/>
      <c r="BR289" s="10"/>
      <c r="BS289" s="10"/>
      <c r="BT289" s="10"/>
    </row>
    <row r="290" spans="53:72" ht="18" x14ac:dyDescent="0.2">
      <c r="BA290" s="10"/>
      <c r="BB290" s="10"/>
      <c r="BC290" s="10"/>
      <c r="BD290" s="10"/>
      <c r="BE290" s="10"/>
      <c r="BF290" s="10"/>
      <c r="BG290" s="10"/>
      <c r="BH290" s="10"/>
      <c r="BI290" s="10"/>
      <c r="BJ290" s="10"/>
      <c r="BK290" s="10"/>
      <c r="BL290" s="10"/>
      <c r="BM290" s="10"/>
      <c r="BN290" s="10"/>
      <c r="BO290" s="10"/>
      <c r="BP290" s="10"/>
      <c r="BQ290" s="10"/>
      <c r="BR290" s="10"/>
      <c r="BS290" s="10"/>
      <c r="BT290" s="10"/>
    </row>
    <row r="291" spans="53:72" ht="18" x14ac:dyDescent="0.2">
      <c r="BA291" s="10"/>
      <c r="BB291" s="10"/>
      <c r="BC291" s="10"/>
      <c r="BD291" s="10"/>
      <c r="BE291" s="10"/>
      <c r="BF291" s="10"/>
      <c r="BG291" s="10"/>
      <c r="BH291" s="10"/>
      <c r="BI291" s="10"/>
      <c r="BJ291" s="10"/>
      <c r="BK291" s="10"/>
      <c r="BL291" s="10"/>
      <c r="BM291" s="10"/>
      <c r="BN291" s="10"/>
      <c r="BO291" s="10"/>
      <c r="BP291" s="10"/>
      <c r="BQ291" s="10"/>
      <c r="BR291" s="10"/>
      <c r="BS291" s="10"/>
      <c r="BT291" s="10"/>
    </row>
    <row r="292" spans="53:72" ht="18" x14ac:dyDescent="0.2">
      <c r="BA292" s="10"/>
      <c r="BB292" s="10"/>
      <c r="BC292" s="10"/>
      <c r="BD292" s="10"/>
      <c r="BE292" s="10"/>
      <c r="BF292" s="10"/>
      <c r="BG292" s="10"/>
      <c r="BH292" s="10"/>
      <c r="BI292" s="10"/>
      <c r="BJ292" s="10"/>
      <c r="BK292" s="10"/>
      <c r="BL292" s="10"/>
      <c r="BM292" s="10"/>
      <c r="BN292" s="10"/>
      <c r="BO292" s="10"/>
      <c r="BP292" s="10"/>
      <c r="BQ292" s="10"/>
      <c r="BR292" s="10"/>
      <c r="BS292" s="10"/>
      <c r="BT292" s="10"/>
    </row>
    <row r="293" spans="53:72" ht="18" x14ac:dyDescent="0.2">
      <c r="BA293" s="10"/>
      <c r="BB293" s="10"/>
      <c r="BC293" s="10"/>
      <c r="BD293" s="10"/>
      <c r="BE293" s="10"/>
      <c r="BF293" s="10"/>
      <c r="BG293" s="10"/>
      <c r="BH293" s="10"/>
      <c r="BI293" s="10"/>
      <c r="BJ293" s="10"/>
      <c r="BK293" s="10"/>
      <c r="BL293" s="10"/>
      <c r="BM293" s="10"/>
      <c r="BN293" s="10"/>
      <c r="BO293" s="10"/>
      <c r="BP293" s="10"/>
      <c r="BQ293" s="10"/>
      <c r="BR293" s="10"/>
      <c r="BS293" s="10"/>
      <c r="BT293" s="10"/>
    </row>
    <row r="294" spans="53:72" ht="18" x14ac:dyDescent="0.2">
      <c r="BA294" s="10"/>
      <c r="BB294" s="10"/>
      <c r="BC294" s="10"/>
      <c r="BD294" s="10"/>
      <c r="BE294" s="10"/>
      <c r="BF294" s="10"/>
      <c r="BG294" s="10"/>
      <c r="BH294" s="10"/>
      <c r="BI294" s="10"/>
      <c r="BJ294" s="10"/>
      <c r="BK294" s="10"/>
      <c r="BL294" s="10"/>
      <c r="BM294" s="10"/>
      <c r="BN294" s="10"/>
      <c r="BO294" s="10"/>
      <c r="BP294" s="10"/>
      <c r="BQ294" s="10"/>
      <c r="BR294" s="10"/>
      <c r="BS294" s="10"/>
      <c r="BT294" s="10"/>
    </row>
    <row r="295" spans="53:72" ht="18" x14ac:dyDescent="0.2">
      <c r="BA295" s="10"/>
      <c r="BB295" s="10"/>
      <c r="BC295" s="10"/>
      <c r="BD295" s="10"/>
      <c r="BE295" s="10"/>
      <c r="BF295" s="10"/>
      <c r="BG295" s="10"/>
      <c r="BH295" s="10"/>
      <c r="BI295" s="10"/>
      <c r="BJ295" s="10"/>
      <c r="BK295" s="10"/>
      <c r="BL295" s="10"/>
      <c r="BM295" s="10"/>
      <c r="BN295" s="10"/>
      <c r="BO295" s="10"/>
      <c r="BP295" s="10"/>
      <c r="BQ295" s="10"/>
      <c r="BR295" s="10"/>
      <c r="BS295" s="10"/>
      <c r="BT295" s="10"/>
    </row>
    <row r="296" spans="53:72" ht="18" x14ac:dyDescent="0.2">
      <c r="BA296" s="10"/>
      <c r="BB296" s="10"/>
      <c r="BC296" s="10"/>
      <c r="BD296" s="10"/>
      <c r="BE296" s="10"/>
      <c r="BF296" s="10"/>
      <c r="BG296" s="10"/>
      <c r="BH296" s="10"/>
      <c r="BI296" s="10"/>
      <c r="BJ296" s="10"/>
      <c r="BK296" s="10"/>
      <c r="BL296" s="10"/>
      <c r="BM296" s="10"/>
      <c r="BN296" s="10"/>
      <c r="BO296" s="10"/>
      <c r="BP296" s="10"/>
      <c r="BQ296" s="10"/>
      <c r="BR296" s="10"/>
      <c r="BS296" s="10"/>
      <c r="BT296" s="10"/>
    </row>
    <row r="297" spans="53:72" ht="18" x14ac:dyDescent="0.2">
      <c r="BA297" s="10"/>
      <c r="BB297" s="10"/>
      <c r="BC297" s="10"/>
      <c r="BD297" s="10"/>
      <c r="BE297" s="10"/>
      <c r="BF297" s="10"/>
      <c r="BG297" s="10"/>
      <c r="BH297" s="10"/>
      <c r="BI297" s="10"/>
      <c r="BJ297" s="10"/>
      <c r="BK297" s="10"/>
      <c r="BL297" s="10"/>
      <c r="BM297" s="10"/>
      <c r="BN297" s="10"/>
      <c r="BO297" s="10"/>
      <c r="BP297" s="10"/>
      <c r="BQ297" s="10"/>
      <c r="BR297" s="10"/>
      <c r="BS297" s="10"/>
      <c r="BT297" s="10"/>
    </row>
    <row r="298" spans="53:72" ht="18" x14ac:dyDescent="0.2">
      <c r="BA298" s="10"/>
      <c r="BB298" s="10"/>
      <c r="BC298" s="10"/>
      <c r="BD298" s="10"/>
      <c r="BE298" s="10"/>
      <c r="BF298" s="10"/>
      <c r="BG298" s="10"/>
      <c r="BH298" s="10"/>
      <c r="BI298" s="10"/>
      <c r="BJ298" s="10"/>
      <c r="BK298" s="10"/>
      <c r="BL298" s="10"/>
      <c r="BM298" s="10"/>
      <c r="BN298" s="10"/>
      <c r="BO298" s="10"/>
      <c r="BP298" s="10"/>
      <c r="BQ298" s="10"/>
      <c r="BR298" s="10"/>
      <c r="BS298" s="10"/>
      <c r="BT298" s="10"/>
    </row>
    <row r="299" spans="53:72" ht="18" x14ac:dyDescent="0.2">
      <c r="BA299" s="10"/>
      <c r="BB299" s="10"/>
      <c r="BC299" s="10"/>
      <c r="BD299" s="10"/>
      <c r="BE299" s="10"/>
      <c r="BF299" s="10"/>
      <c r="BG299" s="10"/>
      <c r="BH299" s="10"/>
      <c r="BI299" s="10"/>
      <c r="BJ299" s="10"/>
      <c r="BK299" s="10"/>
      <c r="BL299" s="10"/>
      <c r="BM299" s="10"/>
      <c r="BN299" s="10"/>
      <c r="BO299" s="10"/>
      <c r="BP299" s="10"/>
      <c r="BQ299" s="10"/>
      <c r="BR299" s="10"/>
      <c r="BS299" s="10"/>
      <c r="BT299" s="10"/>
    </row>
    <row r="300" spans="53:72" ht="18" x14ac:dyDescent="0.2">
      <c r="BA300" s="10"/>
      <c r="BB300" s="10"/>
      <c r="BC300" s="10"/>
      <c r="BD300" s="10"/>
      <c r="BE300" s="10"/>
      <c r="BF300" s="10"/>
      <c r="BG300" s="10"/>
      <c r="BH300" s="10"/>
      <c r="BI300" s="10"/>
      <c r="BJ300" s="10"/>
      <c r="BK300" s="10"/>
      <c r="BL300" s="10"/>
      <c r="BM300" s="10"/>
      <c r="BN300" s="10"/>
      <c r="BO300" s="10"/>
      <c r="BP300" s="10"/>
      <c r="BQ300" s="10"/>
      <c r="BR300" s="10"/>
      <c r="BS300" s="10"/>
      <c r="BT300" s="10"/>
    </row>
    <row r="301" spans="53:72" ht="18" x14ac:dyDescent="0.2">
      <c r="BA301" s="10"/>
      <c r="BB301" s="10"/>
      <c r="BC301" s="10"/>
      <c r="BD301" s="10"/>
      <c r="BE301" s="10"/>
      <c r="BF301" s="10"/>
      <c r="BG301" s="10"/>
      <c r="BH301" s="10"/>
      <c r="BI301" s="10"/>
      <c r="BJ301" s="10"/>
      <c r="BK301" s="10"/>
      <c r="BL301" s="10"/>
      <c r="BM301" s="10"/>
      <c r="BN301" s="10"/>
      <c r="BO301" s="10"/>
      <c r="BP301" s="10"/>
      <c r="BQ301" s="10"/>
      <c r="BR301" s="10"/>
      <c r="BS301" s="10"/>
      <c r="BT301" s="10"/>
    </row>
    <row r="302" spans="53:72" ht="18" x14ac:dyDescent="0.2">
      <c r="BA302" s="10"/>
      <c r="BB302" s="10"/>
      <c r="BC302" s="10"/>
      <c r="BD302" s="10"/>
      <c r="BE302" s="10"/>
      <c r="BF302" s="10"/>
      <c r="BG302" s="10"/>
      <c r="BH302" s="10"/>
      <c r="BI302" s="10"/>
      <c r="BJ302" s="10"/>
      <c r="BK302" s="10"/>
      <c r="BL302" s="10"/>
      <c r="BM302" s="10"/>
      <c r="BN302" s="10"/>
      <c r="BO302" s="10"/>
      <c r="BP302" s="10"/>
      <c r="BQ302" s="10"/>
      <c r="BR302" s="10"/>
      <c r="BS302" s="10"/>
      <c r="BT302" s="10"/>
    </row>
    <row r="303" spans="53:72" ht="18" x14ac:dyDescent="0.2">
      <c r="BA303" s="10"/>
      <c r="BB303" s="10"/>
      <c r="BC303" s="10"/>
      <c r="BD303" s="10"/>
      <c r="BE303" s="10"/>
      <c r="BF303" s="10"/>
      <c r="BG303" s="10"/>
      <c r="BH303" s="10"/>
      <c r="BI303" s="10"/>
      <c r="BJ303" s="10"/>
      <c r="BK303" s="10"/>
      <c r="BL303" s="10"/>
      <c r="BM303" s="10"/>
      <c r="BN303" s="10"/>
      <c r="BO303" s="10"/>
      <c r="BP303" s="10"/>
      <c r="BQ303" s="10"/>
      <c r="BR303" s="10"/>
      <c r="BS303" s="10"/>
      <c r="BT303" s="10"/>
    </row>
    <row r="304" spans="53:72" ht="18" x14ac:dyDescent="0.2">
      <c r="BA304" s="10"/>
      <c r="BB304" s="10"/>
      <c r="BC304" s="10"/>
      <c r="BD304" s="10"/>
      <c r="BE304" s="10"/>
      <c r="BF304" s="10"/>
      <c r="BG304" s="10"/>
      <c r="BH304" s="10"/>
      <c r="BI304" s="10"/>
      <c r="BJ304" s="10"/>
      <c r="BK304" s="10"/>
      <c r="BL304" s="10"/>
      <c r="BM304" s="10"/>
      <c r="BN304" s="10"/>
      <c r="BO304" s="10"/>
      <c r="BP304" s="10"/>
      <c r="BQ304" s="10"/>
      <c r="BR304" s="10"/>
      <c r="BS304" s="10"/>
      <c r="BT304" s="10"/>
    </row>
    <row r="305" spans="53:72" ht="18" x14ac:dyDescent="0.2">
      <c r="BA305" s="10"/>
      <c r="BB305" s="10"/>
      <c r="BC305" s="10"/>
      <c r="BD305" s="10"/>
      <c r="BE305" s="10"/>
      <c r="BF305" s="10"/>
      <c r="BG305" s="10"/>
      <c r="BH305" s="10"/>
      <c r="BI305" s="10"/>
      <c r="BJ305" s="10"/>
      <c r="BK305" s="10"/>
      <c r="BL305" s="10"/>
      <c r="BM305" s="10"/>
      <c r="BN305" s="10"/>
      <c r="BO305" s="10"/>
      <c r="BP305" s="10"/>
      <c r="BQ305" s="10"/>
      <c r="BR305" s="10"/>
      <c r="BS305" s="10"/>
      <c r="BT305" s="10"/>
    </row>
    <row r="306" spans="53:72" ht="18" x14ac:dyDescent="0.2">
      <c r="BA306" s="10"/>
      <c r="BB306" s="10"/>
      <c r="BC306" s="10"/>
      <c r="BD306" s="10"/>
      <c r="BE306" s="10"/>
      <c r="BF306" s="10"/>
      <c r="BG306" s="10"/>
      <c r="BH306" s="10"/>
      <c r="BI306" s="10"/>
      <c r="BJ306" s="10"/>
      <c r="BK306" s="10"/>
      <c r="BL306" s="10"/>
      <c r="BM306" s="10"/>
      <c r="BN306" s="10"/>
      <c r="BO306" s="10"/>
      <c r="BP306" s="10"/>
      <c r="BQ306" s="10"/>
      <c r="BR306" s="10"/>
      <c r="BS306" s="10"/>
      <c r="BT306" s="10"/>
    </row>
    <row r="307" spans="53:72" ht="18" x14ac:dyDescent="0.2">
      <c r="BA307" s="10"/>
      <c r="BB307" s="10"/>
      <c r="BC307" s="10"/>
      <c r="BD307" s="10"/>
      <c r="BE307" s="10"/>
      <c r="BF307" s="10"/>
      <c r="BG307" s="10"/>
      <c r="BH307" s="10"/>
      <c r="BI307" s="10"/>
      <c r="BJ307" s="10"/>
      <c r="BK307" s="10"/>
      <c r="BL307" s="10"/>
      <c r="BM307" s="10"/>
      <c r="BN307" s="10"/>
      <c r="BO307" s="10"/>
      <c r="BP307" s="10"/>
      <c r="BQ307" s="10"/>
      <c r="BR307" s="10"/>
      <c r="BS307" s="10"/>
      <c r="BT307" s="10"/>
    </row>
    <row r="308" spans="53:72" ht="18" x14ac:dyDescent="0.2">
      <c r="BA308" s="10"/>
      <c r="BB308" s="10"/>
      <c r="BC308" s="10"/>
      <c r="BD308" s="10"/>
      <c r="BE308" s="10"/>
      <c r="BF308" s="10"/>
      <c r="BG308" s="10"/>
      <c r="BH308" s="10"/>
      <c r="BI308" s="10"/>
      <c r="BJ308" s="10"/>
      <c r="BK308" s="10"/>
      <c r="BL308" s="10"/>
      <c r="BM308" s="10"/>
      <c r="BN308" s="10"/>
      <c r="BO308" s="10"/>
      <c r="BP308" s="10"/>
      <c r="BQ308" s="10"/>
      <c r="BR308" s="10"/>
      <c r="BS308" s="10"/>
      <c r="BT308" s="10"/>
    </row>
    <row r="309" spans="53:72" ht="18" x14ac:dyDescent="0.2">
      <c r="BA309" s="10"/>
      <c r="BB309" s="10"/>
      <c r="BC309" s="10"/>
      <c r="BD309" s="10"/>
      <c r="BE309" s="10"/>
      <c r="BF309" s="10"/>
      <c r="BG309" s="10"/>
      <c r="BH309" s="10"/>
      <c r="BI309" s="10"/>
      <c r="BJ309" s="10"/>
      <c r="BK309" s="10"/>
      <c r="BL309" s="10"/>
      <c r="BM309" s="10"/>
      <c r="BN309" s="10"/>
      <c r="BO309" s="10"/>
      <c r="BP309" s="10"/>
      <c r="BQ309" s="10"/>
      <c r="BR309" s="10"/>
      <c r="BS309" s="10"/>
      <c r="BT309" s="10"/>
    </row>
    <row r="310" spans="53:72" ht="18" x14ac:dyDescent="0.2">
      <c r="BA310" s="10"/>
      <c r="BB310" s="10"/>
      <c r="BC310" s="10"/>
      <c r="BD310" s="10"/>
      <c r="BE310" s="10"/>
      <c r="BF310" s="10"/>
      <c r="BG310" s="10"/>
      <c r="BH310" s="10"/>
      <c r="BI310" s="10"/>
      <c r="BJ310" s="10"/>
      <c r="BK310" s="10"/>
      <c r="BL310" s="10"/>
      <c r="BM310" s="10"/>
      <c r="BN310" s="10"/>
      <c r="BO310" s="10"/>
      <c r="BP310" s="10"/>
      <c r="BQ310" s="10"/>
      <c r="BR310" s="10"/>
      <c r="BS310" s="10"/>
      <c r="BT310" s="10"/>
    </row>
    <row r="311" spans="53:72" ht="18" x14ac:dyDescent="0.2">
      <c r="BA311" s="10"/>
      <c r="BB311" s="10"/>
      <c r="BC311" s="10"/>
      <c r="BD311" s="10"/>
      <c r="BE311" s="10"/>
      <c r="BF311" s="10"/>
      <c r="BG311" s="10"/>
      <c r="BH311" s="10"/>
      <c r="BI311" s="10"/>
      <c r="BJ311" s="10"/>
      <c r="BK311" s="10"/>
      <c r="BL311" s="10"/>
      <c r="BM311" s="10"/>
      <c r="BN311" s="10"/>
      <c r="BO311" s="10"/>
      <c r="BP311" s="10"/>
      <c r="BQ311" s="10"/>
      <c r="BR311" s="10"/>
      <c r="BS311" s="10"/>
      <c r="BT311" s="10"/>
    </row>
    <row r="312" spans="53:72" ht="18" x14ac:dyDescent="0.2">
      <c r="BA312" s="10"/>
      <c r="BB312" s="10"/>
      <c r="BC312" s="10"/>
      <c r="BD312" s="10"/>
      <c r="BE312" s="10"/>
      <c r="BF312" s="10"/>
      <c r="BG312" s="10"/>
      <c r="BH312" s="10"/>
      <c r="BI312" s="10"/>
      <c r="BJ312" s="10"/>
      <c r="BK312" s="10"/>
      <c r="BL312" s="10"/>
      <c r="BM312" s="10"/>
      <c r="BN312" s="10"/>
      <c r="BO312" s="10"/>
      <c r="BP312" s="10"/>
      <c r="BQ312" s="10"/>
      <c r="BR312" s="10"/>
      <c r="BS312" s="10"/>
      <c r="BT312" s="10"/>
    </row>
    <row r="313" spans="53:72" ht="18" x14ac:dyDescent="0.2">
      <c r="BA313" s="10"/>
      <c r="BB313" s="10"/>
      <c r="BC313" s="10"/>
      <c r="BD313" s="10"/>
      <c r="BE313" s="10"/>
      <c r="BF313" s="10"/>
      <c r="BG313" s="10"/>
      <c r="BH313" s="10"/>
      <c r="BI313" s="10"/>
      <c r="BJ313" s="10"/>
      <c r="BK313" s="10"/>
      <c r="BL313" s="10"/>
      <c r="BM313" s="10"/>
      <c r="BN313" s="10"/>
      <c r="BO313" s="10"/>
      <c r="BP313" s="10"/>
      <c r="BQ313" s="10"/>
      <c r="BR313" s="10"/>
      <c r="BS313" s="10"/>
      <c r="BT313" s="10"/>
    </row>
    <row r="314" spans="53:72" ht="18" x14ac:dyDescent="0.2">
      <c r="BA314" s="10"/>
      <c r="BB314" s="10"/>
      <c r="BC314" s="10"/>
      <c r="BD314" s="10"/>
      <c r="BE314" s="10"/>
      <c r="BF314" s="10"/>
      <c r="BG314" s="10"/>
      <c r="BH314" s="10"/>
      <c r="BI314" s="10"/>
      <c r="BJ314" s="10"/>
      <c r="BK314" s="10"/>
      <c r="BL314" s="10"/>
      <c r="BM314" s="10"/>
      <c r="BN314" s="10"/>
      <c r="BO314" s="10"/>
      <c r="BP314" s="10"/>
      <c r="BQ314" s="10"/>
      <c r="BR314" s="10"/>
      <c r="BS314" s="10"/>
      <c r="BT314" s="10"/>
    </row>
    <row r="315" spans="53:72" ht="18" x14ac:dyDescent="0.2">
      <c r="BA315" s="10"/>
      <c r="BB315" s="10"/>
      <c r="BC315" s="10"/>
      <c r="BD315" s="10"/>
      <c r="BE315" s="10"/>
      <c r="BF315" s="10"/>
      <c r="BG315" s="10"/>
      <c r="BH315" s="10"/>
      <c r="BI315" s="10"/>
      <c r="BJ315" s="10"/>
      <c r="BK315" s="10"/>
      <c r="BL315" s="10"/>
      <c r="BM315" s="10"/>
      <c r="BN315" s="10"/>
      <c r="BO315" s="10"/>
      <c r="BP315" s="10"/>
      <c r="BQ315" s="10"/>
      <c r="BR315" s="10"/>
      <c r="BS315" s="10"/>
      <c r="BT315" s="10"/>
    </row>
    <row r="316" spans="53:72" ht="18" x14ac:dyDescent="0.2">
      <c r="BA316" s="10"/>
      <c r="BB316" s="10"/>
      <c r="BC316" s="10"/>
      <c r="BD316" s="10"/>
      <c r="BE316" s="10"/>
      <c r="BF316" s="10"/>
      <c r="BG316" s="10"/>
      <c r="BH316" s="10"/>
      <c r="BI316" s="10"/>
      <c r="BJ316" s="10"/>
      <c r="BK316" s="10"/>
      <c r="BL316" s="10"/>
      <c r="BM316" s="10"/>
      <c r="BN316" s="10"/>
      <c r="BO316" s="10"/>
      <c r="BP316" s="10"/>
      <c r="BQ316" s="10"/>
      <c r="BR316" s="10"/>
      <c r="BS316" s="10"/>
      <c r="BT316" s="10"/>
    </row>
    <row r="317" spans="53:72" ht="18" x14ac:dyDescent="0.2">
      <c r="BA317" s="10"/>
      <c r="BB317" s="10"/>
      <c r="BC317" s="10"/>
      <c r="BD317" s="10"/>
      <c r="BE317" s="10"/>
      <c r="BF317" s="10"/>
      <c r="BG317" s="10"/>
      <c r="BH317" s="10"/>
      <c r="BI317" s="10"/>
      <c r="BJ317" s="10"/>
      <c r="BK317" s="10"/>
      <c r="BL317" s="10"/>
      <c r="BM317" s="10"/>
      <c r="BN317" s="10"/>
      <c r="BO317" s="10"/>
      <c r="BP317" s="10"/>
      <c r="BQ317" s="10"/>
      <c r="BR317" s="10"/>
      <c r="BS317" s="10"/>
      <c r="BT317" s="10"/>
    </row>
    <row r="318" spans="53:72" ht="18" x14ac:dyDescent="0.2">
      <c r="BA318" s="10"/>
      <c r="BB318" s="10"/>
      <c r="BC318" s="10"/>
      <c r="BD318" s="10"/>
      <c r="BE318" s="10"/>
      <c r="BF318" s="10"/>
      <c r="BG318" s="10"/>
      <c r="BH318" s="10"/>
      <c r="BI318" s="10"/>
      <c r="BJ318" s="10"/>
      <c r="BK318" s="10"/>
      <c r="BL318" s="10"/>
      <c r="BM318" s="10"/>
      <c r="BN318" s="10"/>
      <c r="BO318" s="10"/>
      <c r="BP318" s="10"/>
      <c r="BQ318" s="10"/>
      <c r="BR318" s="10"/>
      <c r="BS318" s="10"/>
      <c r="BT318" s="10"/>
    </row>
    <row r="319" spans="53:72" ht="18" x14ac:dyDescent="0.2">
      <c r="BA319" s="10"/>
      <c r="BB319" s="10"/>
      <c r="BC319" s="10"/>
      <c r="BD319" s="10"/>
      <c r="BE319" s="10"/>
      <c r="BF319" s="10"/>
      <c r="BG319" s="10"/>
      <c r="BH319" s="10"/>
      <c r="BI319" s="10"/>
      <c r="BJ319" s="10"/>
      <c r="BK319" s="10"/>
      <c r="BL319" s="10"/>
      <c r="BM319" s="10"/>
      <c r="BN319" s="10"/>
      <c r="BO319" s="10"/>
      <c r="BP319" s="10"/>
      <c r="BQ319" s="10"/>
      <c r="BR319" s="10"/>
      <c r="BS319" s="10"/>
      <c r="BT319" s="10"/>
    </row>
    <row r="320" spans="53:72" ht="18" x14ac:dyDescent="0.2">
      <c r="BA320" s="10"/>
      <c r="BB320" s="10"/>
      <c r="BC320" s="10"/>
      <c r="BD320" s="10"/>
      <c r="BE320" s="10"/>
      <c r="BF320" s="10"/>
      <c r="BG320" s="10"/>
      <c r="BH320" s="10"/>
      <c r="BI320" s="10"/>
      <c r="BJ320" s="10"/>
      <c r="BK320" s="10"/>
      <c r="BL320" s="10"/>
      <c r="BM320" s="10"/>
      <c r="BN320" s="10"/>
      <c r="BO320" s="10"/>
      <c r="BP320" s="10"/>
      <c r="BQ320" s="10"/>
      <c r="BR320" s="10"/>
      <c r="BS320" s="10"/>
      <c r="BT320" s="10"/>
    </row>
    <row r="321" spans="53:72" ht="18" x14ac:dyDescent="0.2">
      <c r="BA321" s="10"/>
      <c r="BB321" s="10"/>
      <c r="BC321" s="10"/>
      <c r="BD321" s="10"/>
      <c r="BE321" s="10"/>
      <c r="BF321" s="10"/>
      <c r="BG321" s="10"/>
      <c r="BH321" s="10"/>
      <c r="BI321" s="10"/>
      <c r="BJ321" s="10"/>
      <c r="BK321" s="10"/>
      <c r="BL321" s="10"/>
      <c r="BM321" s="10"/>
      <c r="BN321" s="10"/>
      <c r="BO321" s="10"/>
      <c r="BP321" s="10"/>
      <c r="BQ321" s="10"/>
      <c r="BR321" s="10"/>
      <c r="BS321" s="10"/>
      <c r="BT321" s="10"/>
    </row>
    <row r="322" spans="53:72" ht="18" x14ac:dyDescent="0.2">
      <c r="BA322" s="10"/>
      <c r="BB322" s="10"/>
      <c r="BC322" s="10"/>
      <c r="BD322" s="10"/>
      <c r="BE322" s="10"/>
      <c r="BF322" s="10"/>
      <c r="BG322" s="10"/>
      <c r="BH322" s="10"/>
      <c r="BI322" s="10"/>
      <c r="BJ322" s="10"/>
      <c r="BK322" s="10"/>
      <c r="BL322" s="10"/>
      <c r="BM322" s="10"/>
      <c r="BN322" s="10"/>
      <c r="BO322" s="10"/>
      <c r="BP322" s="10"/>
      <c r="BQ322" s="10"/>
      <c r="BR322" s="10"/>
      <c r="BS322" s="10"/>
      <c r="BT322" s="10"/>
    </row>
    <row r="323" spans="53:72" ht="18" x14ac:dyDescent="0.2">
      <c r="BA323" s="10"/>
      <c r="BB323" s="10"/>
      <c r="BC323" s="10"/>
      <c r="BD323" s="10"/>
      <c r="BE323" s="10"/>
      <c r="BF323" s="10"/>
      <c r="BG323" s="10"/>
      <c r="BH323" s="10"/>
      <c r="BI323" s="10"/>
      <c r="BJ323" s="10"/>
      <c r="BK323" s="10"/>
      <c r="BL323" s="10"/>
      <c r="BM323" s="10"/>
      <c r="BN323" s="10"/>
      <c r="BO323" s="10"/>
      <c r="BP323" s="10"/>
      <c r="BQ323" s="10"/>
      <c r="BR323" s="10"/>
      <c r="BS323" s="10"/>
      <c r="BT323" s="10"/>
    </row>
    <row r="324" spans="53:72" ht="18" x14ac:dyDescent="0.2">
      <c r="BA324" s="10"/>
      <c r="BB324" s="10"/>
      <c r="BC324" s="10"/>
      <c r="BD324" s="10"/>
      <c r="BE324" s="10"/>
      <c r="BF324" s="10"/>
      <c r="BG324" s="10"/>
      <c r="BH324" s="10"/>
      <c r="BI324" s="10"/>
      <c r="BJ324" s="10"/>
      <c r="BK324" s="10"/>
      <c r="BL324" s="10"/>
      <c r="BM324" s="10"/>
      <c r="BN324" s="10"/>
      <c r="BO324" s="10"/>
      <c r="BP324" s="10"/>
      <c r="BQ324" s="10"/>
      <c r="BR324" s="10"/>
      <c r="BS324" s="10"/>
      <c r="BT324" s="10"/>
    </row>
    <row r="325" spans="53:72" ht="18" x14ac:dyDescent="0.2">
      <c r="BA325" s="10"/>
      <c r="BB325" s="10"/>
      <c r="BC325" s="10"/>
      <c r="BD325" s="10"/>
      <c r="BE325" s="10"/>
      <c r="BF325" s="10"/>
      <c r="BG325" s="10"/>
      <c r="BH325" s="10"/>
      <c r="BI325" s="10"/>
      <c r="BJ325" s="10"/>
      <c r="BK325" s="10"/>
      <c r="BL325" s="10"/>
      <c r="BM325" s="10"/>
      <c r="BN325" s="10"/>
      <c r="BO325" s="10"/>
      <c r="BP325" s="10"/>
      <c r="BQ325" s="10"/>
      <c r="BR325" s="10"/>
      <c r="BS325" s="10"/>
      <c r="BT325" s="10"/>
    </row>
    <row r="326" spans="53:72" ht="18" x14ac:dyDescent="0.2">
      <c r="BA326" s="10"/>
      <c r="BB326" s="10"/>
      <c r="BC326" s="10"/>
      <c r="BD326" s="10"/>
      <c r="BE326" s="10"/>
      <c r="BF326" s="10"/>
      <c r="BG326" s="10"/>
      <c r="BH326" s="10"/>
      <c r="BI326" s="10"/>
      <c r="BJ326" s="10"/>
      <c r="BK326" s="10"/>
      <c r="BL326" s="10"/>
      <c r="BM326" s="10"/>
      <c r="BN326" s="10"/>
      <c r="BO326" s="10"/>
      <c r="BP326" s="10"/>
      <c r="BQ326" s="10"/>
      <c r="BR326" s="10"/>
      <c r="BS326" s="10"/>
      <c r="BT326" s="10"/>
    </row>
    <row r="327" spans="53:72" ht="18" x14ac:dyDescent="0.2">
      <c r="BA327" s="10"/>
      <c r="BB327" s="10"/>
      <c r="BC327" s="10"/>
      <c r="BD327" s="10"/>
      <c r="BE327" s="10"/>
      <c r="BF327" s="10"/>
      <c r="BG327" s="10"/>
      <c r="BH327" s="10"/>
      <c r="BI327" s="10"/>
      <c r="BJ327" s="10"/>
      <c r="BK327" s="10"/>
      <c r="BL327" s="10"/>
      <c r="BM327" s="10"/>
      <c r="BN327" s="10"/>
      <c r="BO327" s="10"/>
      <c r="BP327" s="10"/>
      <c r="BQ327" s="10"/>
      <c r="BR327" s="10"/>
      <c r="BS327" s="10"/>
      <c r="BT327" s="10"/>
    </row>
    <row r="328" spans="53:72" ht="18" x14ac:dyDescent="0.2">
      <c r="BA328" s="10"/>
      <c r="BB328" s="10"/>
      <c r="BC328" s="10"/>
      <c r="BD328" s="10"/>
      <c r="BE328" s="10"/>
      <c r="BF328" s="10"/>
      <c r="BG328" s="10"/>
      <c r="BH328" s="10"/>
      <c r="BI328" s="10"/>
      <c r="BJ328" s="10"/>
      <c r="BK328" s="10"/>
      <c r="BL328" s="10"/>
      <c r="BM328" s="10"/>
      <c r="BN328" s="10"/>
      <c r="BO328" s="10"/>
      <c r="BP328" s="10"/>
      <c r="BQ328" s="10"/>
      <c r="BR328" s="10"/>
      <c r="BS328" s="10"/>
      <c r="BT328" s="10"/>
    </row>
    <row r="329" spans="53:72" ht="18" x14ac:dyDescent="0.2">
      <c r="BA329" s="10"/>
      <c r="BB329" s="10"/>
      <c r="BC329" s="10"/>
      <c r="BD329" s="10"/>
      <c r="BE329" s="10"/>
      <c r="BF329" s="10"/>
      <c r="BG329" s="10"/>
      <c r="BH329" s="10"/>
      <c r="BI329" s="10"/>
      <c r="BJ329" s="10"/>
      <c r="BK329" s="10"/>
      <c r="BL329" s="10"/>
      <c r="BM329" s="10"/>
      <c r="BN329" s="10"/>
      <c r="BO329" s="10"/>
      <c r="BP329" s="10"/>
      <c r="BQ329" s="10"/>
      <c r="BR329" s="10"/>
      <c r="BS329" s="10"/>
      <c r="BT329" s="10"/>
    </row>
    <row r="330" spans="53:72" ht="18" x14ac:dyDescent="0.2">
      <c r="BA330" s="10"/>
      <c r="BB330" s="10"/>
      <c r="BC330" s="10"/>
      <c r="BD330" s="10"/>
      <c r="BE330" s="10"/>
      <c r="BF330" s="10"/>
      <c r="BG330" s="10"/>
      <c r="BH330" s="10"/>
      <c r="BI330" s="10"/>
      <c r="BJ330" s="10"/>
      <c r="BK330" s="10"/>
      <c r="BL330" s="10"/>
      <c r="BM330" s="10"/>
      <c r="BN330" s="10"/>
      <c r="BO330" s="10"/>
      <c r="BP330" s="10"/>
      <c r="BQ330" s="10"/>
      <c r="BR330" s="10"/>
      <c r="BS330" s="10"/>
      <c r="BT330" s="10"/>
    </row>
    <row r="331" spans="53:72" ht="18" x14ac:dyDescent="0.2">
      <c r="BA331" s="10"/>
      <c r="BB331" s="10"/>
      <c r="BC331" s="10"/>
      <c r="BD331" s="10"/>
      <c r="BE331" s="10"/>
      <c r="BF331" s="10"/>
      <c r="BG331" s="10"/>
      <c r="BH331" s="10"/>
      <c r="BI331" s="10"/>
      <c r="BJ331" s="10"/>
      <c r="BK331" s="10"/>
      <c r="BL331" s="10"/>
      <c r="BM331" s="10"/>
      <c r="BN331" s="10"/>
      <c r="BO331" s="10"/>
      <c r="BP331" s="10"/>
      <c r="BQ331" s="10"/>
      <c r="BR331" s="10"/>
      <c r="BS331" s="10"/>
      <c r="BT331" s="10"/>
    </row>
    <row r="332" spans="53:72" ht="18" x14ac:dyDescent="0.2">
      <c r="BA332" s="10"/>
      <c r="BB332" s="10"/>
      <c r="BC332" s="10"/>
      <c r="BD332" s="10"/>
      <c r="BE332" s="10"/>
      <c r="BF332" s="10"/>
      <c r="BG332" s="10"/>
      <c r="BH332" s="10"/>
      <c r="BI332" s="10"/>
      <c r="BJ332" s="10"/>
      <c r="BK332" s="10"/>
      <c r="BL332" s="10"/>
      <c r="BM332" s="10"/>
      <c r="BN332" s="10"/>
      <c r="BO332" s="10"/>
      <c r="BP332" s="10"/>
      <c r="BQ332" s="10"/>
      <c r="BR332" s="10"/>
      <c r="BS332" s="10"/>
      <c r="BT332" s="10"/>
    </row>
    <row r="333" spans="53:72" ht="18" x14ac:dyDescent="0.2">
      <c r="BA333" s="10"/>
      <c r="BB333" s="10"/>
      <c r="BC333" s="10"/>
      <c r="BD333" s="10"/>
      <c r="BE333" s="10"/>
      <c r="BF333" s="10"/>
      <c r="BG333" s="10"/>
      <c r="BH333" s="10"/>
      <c r="BI333" s="10"/>
      <c r="BJ333" s="10"/>
      <c r="BK333" s="10"/>
      <c r="BL333" s="10"/>
      <c r="BM333" s="10"/>
      <c r="BN333" s="10"/>
      <c r="BO333" s="10"/>
      <c r="BP333" s="10"/>
      <c r="BQ333" s="10"/>
      <c r="BR333" s="10"/>
      <c r="BS333" s="10"/>
      <c r="BT333" s="10"/>
    </row>
    <row r="334" spans="53:72" ht="18" x14ac:dyDescent="0.2">
      <c r="BA334" s="10"/>
      <c r="BB334" s="10"/>
      <c r="BC334" s="10"/>
      <c r="BD334" s="10"/>
      <c r="BE334" s="10"/>
      <c r="BF334" s="10"/>
      <c r="BG334" s="10"/>
      <c r="BH334" s="10"/>
      <c r="BI334" s="10"/>
      <c r="BJ334" s="10"/>
      <c r="BK334" s="10"/>
      <c r="BL334" s="10"/>
      <c r="BM334" s="10"/>
      <c r="BN334" s="10"/>
      <c r="BO334" s="10"/>
      <c r="BP334" s="10"/>
      <c r="BQ334" s="10"/>
      <c r="BR334" s="10"/>
      <c r="BS334" s="10"/>
      <c r="BT334" s="10"/>
    </row>
    <row r="335" spans="53:72" ht="18" x14ac:dyDescent="0.2">
      <c r="BA335" s="10"/>
      <c r="BB335" s="10"/>
      <c r="BC335" s="10"/>
      <c r="BD335" s="10"/>
      <c r="BE335" s="10"/>
      <c r="BF335" s="10"/>
      <c r="BG335" s="10"/>
      <c r="BH335" s="10"/>
      <c r="BI335" s="10"/>
      <c r="BJ335" s="10"/>
      <c r="BK335" s="10"/>
      <c r="BL335" s="10"/>
      <c r="BM335" s="10"/>
      <c r="BN335" s="10"/>
      <c r="BO335" s="10"/>
      <c r="BP335" s="10"/>
      <c r="BQ335" s="10"/>
      <c r="BR335" s="10"/>
      <c r="BS335" s="10"/>
      <c r="BT335" s="10"/>
    </row>
    <row r="336" spans="53:72" ht="18" x14ac:dyDescent="0.2">
      <c r="BA336" s="10"/>
      <c r="BB336" s="10"/>
      <c r="BC336" s="10"/>
      <c r="BD336" s="10"/>
      <c r="BE336" s="10"/>
      <c r="BF336" s="10"/>
      <c r="BG336" s="10"/>
      <c r="BH336" s="10"/>
      <c r="BI336" s="10"/>
      <c r="BJ336" s="10"/>
      <c r="BK336" s="10"/>
      <c r="BL336" s="10"/>
      <c r="BM336" s="10"/>
      <c r="BN336" s="10"/>
      <c r="BO336" s="10"/>
      <c r="BP336" s="10"/>
      <c r="BQ336" s="10"/>
      <c r="BR336" s="10"/>
      <c r="BS336" s="10"/>
      <c r="BT336" s="10"/>
    </row>
    <row r="337" spans="53:72" ht="18" x14ac:dyDescent="0.2">
      <c r="BA337" s="10"/>
      <c r="BB337" s="10"/>
      <c r="BC337" s="10"/>
      <c r="BD337" s="10"/>
      <c r="BE337" s="10"/>
      <c r="BF337" s="10"/>
      <c r="BG337" s="10"/>
      <c r="BH337" s="10"/>
      <c r="BI337" s="10"/>
      <c r="BJ337" s="10"/>
      <c r="BK337" s="10"/>
      <c r="BL337" s="10"/>
      <c r="BM337" s="10"/>
      <c r="BN337" s="10"/>
      <c r="BO337" s="10"/>
      <c r="BP337" s="10"/>
      <c r="BQ337" s="10"/>
      <c r="BR337" s="10"/>
      <c r="BS337" s="10"/>
      <c r="BT337" s="10"/>
    </row>
    <row r="338" spans="53:72" ht="18" x14ac:dyDescent="0.2">
      <c r="BA338" s="10"/>
      <c r="BB338" s="10"/>
      <c r="BC338" s="10"/>
      <c r="BD338" s="10"/>
      <c r="BE338" s="10"/>
      <c r="BF338" s="10"/>
      <c r="BG338" s="10"/>
      <c r="BH338" s="10"/>
      <c r="BI338" s="10"/>
      <c r="BJ338" s="10"/>
      <c r="BK338" s="10"/>
      <c r="BL338" s="10"/>
      <c r="BM338" s="10"/>
      <c r="BN338" s="10"/>
      <c r="BO338" s="10"/>
      <c r="BP338" s="10"/>
      <c r="BQ338" s="10"/>
      <c r="BR338" s="10"/>
      <c r="BS338" s="10"/>
      <c r="BT338" s="10"/>
    </row>
    <row r="339" spans="53:72" ht="18" x14ac:dyDescent="0.2">
      <c r="BA339" s="10"/>
      <c r="BB339" s="10"/>
      <c r="BC339" s="10"/>
      <c r="BD339" s="10"/>
      <c r="BE339" s="10"/>
      <c r="BF339" s="10"/>
      <c r="BG339" s="10"/>
      <c r="BH339" s="10"/>
      <c r="BI339" s="10"/>
      <c r="BJ339" s="10"/>
      <c r="BK339" s="10"/>
      <c r="BL339" s="10"/>
      <c r="BM339" s="10"/>
      <c r="BN339" s="10"/>
      <c r="BO339" s="10"/>
      <c r="BP339" s="10"/>
      <c r="BQ339" s="10"/>
      <c r="BR339" s="10"/>
      <c r="BS339" s="10"/>
      <c r="BT339" s="10"/>
    </row>
    <row r="340" spans="53:72" ht="18" x14ac:dyDescent="0.2">
      <c r="BA340" s="10"/>
      <c r="BB340" s="10"/>
      <c r="BC340" s="10"/>
      <c r="BD340" s="10"/>
      <c r="BE340" s="10"/>
      <c r="BF340" s="10"/>
      <c r="BG340" s="10"/>
      <c r="BH340" s="10"/>
      <c r="BI340" s="10"/>
      <c r="BJ340" s="10"/>
      <c r="BK340" s="10"/>
      <c r="BL340" s="10"/>
      <c r="BM340" s="10"/>
      <c r="BN340" s="10"/>
      <c r="BO340" s="10"/>
      <c r="BP340" s="10"/>
      <c r="BQ340" s="10"/>
      <c r="BR340" s="10"/>
      <c r="BS340" s="10"/>
      <c r="BT340" s="10"/>
    </row>
    <row r="341" spans="53:72" ht="18" x14ac:dyDescent="0.2">
      <c r="BA341" s="10"/>
      <c r="BB341" s="10"/>
      <c r="BC341" s="10"/>
      <c r="BD341" s="10"/>
      <c r="BE341" s="10"/>
      <c r="BF341" s="10"/>
      <c r="BG341" s="10"/>
      <c r="BH341" s="10"/>
      <c r="BI341" s="10"/>
      <c r="BJ341" s="10"/>
      <c r="BK341" s="10"/>
      <c r="BL341" s="10"/>
      <c r="BM341" s="10"/>
      <c r="BN341" s="10"/>
      <c r="BO341" s="10"/>
      <c r="BP341" s="10"/>
      <c r="BQ341" s="10"/>
      <c r="BR341" s="10"/>
      <c r="BS341" s="10"/>
      <c r="BT341" s="10"/>
    </row>
    <row r="342" spans="53:72" ht="18" x14ac:dyDescent="0.2">
      <c r="BA342" s="10"/>
      <c r="BB342" s="10"/>
      <c r="BC342" s="10"/>
      <c r="BD342" s="10"/>
      <c r="BE342" s="10"/>
      <c r="BF342" s="10"/>
      <c r="BG342" s="10"/>
      <c r="BH342" s="10"/>
      <c r="BI342" s="10"/>
      <c r="BJ342" s="10"/>
      <c r="BK342" s="10"/>
      <c r="BL342" s="10"/>
      <c r="BM342" s="10"/>
      <c r="BN342" s="10"/>
      <c r="BO342" s="10"/>
      <c r="BP342" s="10"/>
      <c r="BQ342" s="10"/>
      <c r="BR342" s="10"/>
      <c r="BS342" s="10"/>
      <c r="BT342" s="10"/>
    </row>
    <row r="343" spans="53:72" ht="18" x14ac:dyDescent="0.2">
      <c r="BA343" s="10"/>
      <c r="BB343" s="10"/>
      <c r="BC343" s="10"/>
      <c r="BD343" s="10"/>
      <c r="BE343" s="10"/>
      <c r="BF343" s="10"/>
      <c r="BG343" s="10"/>
      <c r="BH343" s="10"/>
      <c r="BI343" s="10"/>
      <c r="BJ343" s="10"/>
      <c r="BK343" s="10"/>
      <c r="BL343" s="10"/>
      <c r="BM343" s="10"/>
      <c r="BN343" s="10"/>
      <c r="BO343" s="10"/>
      <c r="BP343" s="10"/>
      <c r="BQ343" s="10"/>
      <c r="BR343" s="10"/>
      <c r="BS343" s="10"/>
      <c r="BT343" s="10"/>
    </row>
    <row r="344" spans="53:72" ht="18" x14ac:dyDescent="0.2">
      <c r="BA344" s="10"/>
      <c r="BB344" s="10"/>
      <c r="BC344" s="10"/>
      <c r="BD344" s="10"/>
      <c r="BE344" s="10"/>
      <c r="BF344" s="10"/>
      <c r="BG344" s="10"/>
      <c r="BH344" s="10"/>
      <c r="BI344" s="10"/>
      <c r="BJ344" s="10"/>
      <c r="BK344" s="10"/>
      <c r="BL344" s="10"/>
      <c r="BM344" s="10"/>
      <c r="BN344" s="10"/>
      <c r="BO344" s="10"/>
      <c r="BP344" s="10"/>
      <c r="BQ344" s="10"/>
      <c r="BR344" s="10"/>
      <c r="BS344" s="10"/>
      <c r="BT344" s="10"/>
    </row>
    <row r="345" spans="53:72" ht="18" x14ac:dyDescent="0.2">
      <c r="BA345" s="10"/>
      <c r="BB345" s="10"/>
      <c r="BC345" s="10"/>
      <c r="BD345" s="10"/>
      <c r="BE345" s="10"/>
      <c r="BF345" s="10"/>
      <c r="BG345" s="10"/>
      <c r="BH345" s="10"/>
      <c r="BI345" s="10"/>
      <c r="BJ345" s="10"/>
      <c r="BK345" s="10"/>
      <c r="BL345" s="10"/>
      <c r="BM345" s="10"/>
      <c r="BN345" s="10"/>
      <c r="BO345" s="10"/>
      <c r="BP345" s="10"/>
      <c r="BQ345" s="10"/>
      <c r="BR345" s="10"/>
      <c r="BS345" s="10"/>
      <c r="BT345" s="10"/>
    </row>
    <row r="346" spans="53:72" ht="18" x14ac:dyDescent="0.2">
      <c r="BA346" s="10"/>
      <c r="BB346" s="10"/>
      <c r="BC346" s="10"/>
      <c r="BD346" s="10"/>
      <c r="BE346" s="10"/>
      <c r="BF346" s="10"/>
      <c r="BG346" s="10"/>
      <c r="BH346" s="10"/>
      <c r="BI346" s="10"/>
      <c r="BJ346" s="10"/>
      <c r="BK346" s="10"/>
      <c r="BL346" s="10"/>
      <c r="BM346" s="10"/>
      <c r="BN346" s="10"/>
      <c r="BO346" s="10"/>
      <c r="BP346" s="10"/>
      <c r="BQ346" s="10"/>
      <c r="BR346" s="10"/>
      <c r="BS346" s="10"/>
      <c r="BT346" s="10"/>
    </row>
    <row r="347" spans="53:72" ht="18" x14ac:dyDescent="0.2">
      <c r="BA347" s="10"/>
      <c r="BB347" s="10"/>
      <c r="BC347" s="10"/>
      <c r="BD347" s="10"/>
      <c r="BE347" s="10"/>
      <c r="BF347" s="10"/>
      <c r="BG347" s="10"/>
      <c r="BH347" s="10"/>
      <c r="BI347" s="10"/>
      <c r="BJ347" s="10"/>
      <c r="BK347" s="10"/>
      <c r="BL347" s="10"/>
      <c r="BM347" s="10"/>
      <c r="BN347" s="10"/>
      <c r="BO347" s="10"/>
      <c r="BP347" s="10"/>
      <c r="BQ347" s="10"/>
      <c r="BR347" s="10"/>
      <c r="BS347" s="10"/>
      <c r="BT347" s="10"/>
    </row>
    <row r="348" spans="53:72" ht="18" x14ac:dyDescent="0.2">
      <c r="BA348" s="10"/>
      <c r="BB348" s="10"/>
      <c r="BC348" s="10"/>
      <c r="BD348" s="10"/>
      <c r="BE348" s="10"/>
      <c r="BF348" s="10"/>
      <c r="BG348" s="10"/>
      <c r="BH348" s="10"/>
      <c r="BI348" s="10"/>
      <c r="BJ348" s="10"/>
      <c r="BK348" s="10"/>
      <c r="BL348" s="10"/>
      <c r="BM348" s="10"/>
      <c r="BN348" s="10"/>
      <c r="BO348" s="10"/>
      <c r="BP348" s="10"/>
      <c r="BQ348" s="10"/>
      <c r="BR348" s="10"/>
      <c r="BS348" s="10"/>
      <c r="BT348" s="10"/>
    </row>
    <row r="349" spans="53:72" ht="18" x14ac:dyDescent="0.2">
      <c r="BA349" s="10"/>
      <c r="BB349" s="10"/>
      <c r="BC349" s="10"/>
      <c r="BD349" s="10"/>
      <c r="BE349" s="10"/>
      <c r="BF349" s="10"/>
      <c r="BG349" s="10"/>
      <c r="BH349" s="10"/>
      <c r="BI349" s="10"/>
      <c r="BJ349" s="10"/>
      <c r="BK349" s="10"/>
      <c r="BL349" s="10"/>
      <c r="BM349" s="10"/>
      <c r="BN349" s="10"/>
      <c r="BO349" s="10"/>
      <c r="BP349" s="10"/>
      <c r="BQ349" s="10"/>
      <c r="BR349" s="10"/>
      <c r="BS349" s="10"/>
      <c r="BT349" s="10"/>
    </row>
    <row r="350" spans="53:72" ht="18" x14ac:dyDescent="0.2">
      <c r="BA350" s="10"/>
      <c r="BB350" s="10"/>
      <c r="BC350" s="10"/>
      <c r="BD350" s="10"/>
      <c r="BE350" s="10"/>
      <c r="BF350" s="10"/>
      <c r="BG350" s="10"/>
      <c r="BH350" s="10"/>
      <c r="BI350" s="10"/>
      <c r="BJ350" s="10"/>
      <c r="BK350" s="10"/>
      <c r="BL350" s="10"/>
      <c r="BM350" s="10"/>
      <c r="BN350" s="10"/>
      <c r="BO350" s="10"/>
      <c r="BP350" s="10"/>
      <c r="BQ350" s="10"/>
      <c r="BR350" s="10"/>
      <c r="BS350" s="10"/>
      <c r="BT350" s="10"/>
    </row>
    <row r="351" spans="53:72" ht="18" x14ac:dyDescent="0.2">
      <c r="BA351" s="10"/>
      <c r="BB351" s="10"/>
      <c r="BC351" s="10"/>
      <c r="BD351" s="10"/>
      <c r="BE351" s="10"/>
      <c r="BF351" s="10"/>
      <c r="BG351" s="10"/>
      <c r="BH351" s="10"/>
      <c r="BI351" s="10"/>
      <c r="BJ351" s="10"/>
      <c r="BK351" s="10"/>
      <c r="BL351" s="10"/>
      <c r="BM351" s="10"/>
      <c r="BN351" s="10"/>
      <c r="BO351" s="10"/>
      <c r="BP351" s="10"/>
      <c r="BQ351" s="10"/>
      <c r="BR351" s="10"/>
      <c r="BS351" s="10"/>
      <c r="BT351" s="10"/>
    </row>
    <row r="352" spans="53:72" ht="18" x14ac:dyDescent="0.2">
      <c r="BA352" s="10"/>
      <c r="BB352" s="10"/>
      <c r="BC352" s="10"/>
      <c r="BD352" s="10"/>
      <c r="BE352" s="10"/>
      <c r="BF352" s="10"/>
      <c r="BG352" s="10"/>
      <c r="BH352" s="10"/>
      <c r="BI352" s="10"/>
      <c r="BJ352" s="10"/>
      <c r="BK352" s="10"/>
      <c r="BL352" s="10"/>
      <c r="BM352" s="10"/>
      <c r="BN352" s="10"/>
      <c r="BO352" s="10"/>
      <c r="BP352" s="10"/>
      <c r="BQ352" s="10"/>
      <c r="BR352" s="10"/>
      <c r="BS352" s="10"/>
      <c r="BT352" s="10"/>
    </row>
    <row r="353" spans="53:72" ht="18" x14ac:dyDescent="0.2">
      <c r="BA353" s="10"/>
      <c r="BB353" s="10"/>
      <c r="BC353" s="10"/>
      <c r="BD353" s="10"/>
      <c r="BE353" s="10"/>
      <c r="BF353" s="10"/>
      <c r="BG353" s="10"/>
      <c r="BH353" s="10"/>
      <c r="BI353" s="10"/>
      <c r="BJ353" s="10"/>
      <c r="BK353" s="10"/>
      <c r="BL353" s="10"/>
      <c r="BM353" s="10"/>
      <c r="BN353" s="10"/>
      <c r="BO353" s="10"/>
      <c r="BP353" s="10"/>
      <c r="BQ353" s="10"/>
      <c r="BR353" s="10"/>
      <c r="BS353" s="10"/>
      <c r="BT353" s="10"/>
    </row>
    <row r="354" spans="53:72" ht="18" x14ac:dyDescent="0.2">
      <c r="BA354" s="10"/>
      <c r="BB354" s="10"/>
      <c r="BC354" s="10"/>
      <c r="BD354" s="10"/>
      <c r="BE354" s="10"/>
      <c r="BF354" s="10"/>
      <c r="BG354" s="10"/>
      <c r="BH354" s="10"/>
      <c r="BI354" s="10"/>
      <c r="BJ354" s="10"/>
      <c r="BK354" s="10"/>
      <c r="BL354" s="10"/>
      <c r="BM354" s="10"/>
      <c r="BN354" s="10"/>
      <c r="BO354" s="10"/>
      <c r="BP354" s="10"/>
      <c r="BQ354" s="10"/>
      <c r="BR354" s="10"/>
      <c r="BS354" s="10"/>
      <c r="BT354" s="10"/>
    </row>
    <row r="355" spans="53:72" ht="18" x14ac:dyDescent="0.2">
      <c r="BA355" s="10"/>
      <c r="BB355" s="10"/>
      <c r="BC355" s="10"/>
      <c r="BD355" s="10"/>
      <c r="BE355" s="10"/>
      <c r="BF355" s="10"/>
      <c r="BG355" s="10"/>
      <c r="BH355" s="10"/>
      <c r="BI355" s="10"/>
      <c r="BJ355" s="10"/>
      <c r="BK355" s="10"/>
      <c r="BL355" s="10"/>
      <c r="BM355" s="10"/>
      <c r="BN355" s="10"/>
      <c r="BO355" s="10"/>
      <c r="BP355" s="10"/>
      <c r="BQ355" s="10"/>
      <c r="BR355" s="10"/>
      <c r="BS355" s="10"/>
      <c r="BT355" s="10"/>
    </row>
    <row r="356" spans="53:72" ht="18" x14ac:dyDescent="0.2">
      <c r="BA356" s="10"/>
      <c r="BB356" s="10"/>
      <c r="BC356" s="10"/>
      <c r="BD356" s="10"/>
      <c r="BE356" s="10"/>
      <c r="BF356" s="10"/>
      <c r="BG356" s="10"/>
      <c r="BH356" s="10"/>
      <c r="BI356" s="10"/>
      <c r="BJ356" s="10"/>
      <c r="BK356" s="10"/>
      <c r="BL356" s="10"/>
      <c r="BM356" s="10"/>
      <c r="BN356" s="10"/>
      <c r="BO356" s="10"/>
      <c r="BP356" s="10"/>
      <c r="BQ356" s="10"/>
      <c r="BR356" s="10"/>
      <c r="BS356" s="10"/>
      <c r="BT356" s="10"/>
    </row>
    <row r="357" spans="53:72" ht="18" x14ac:dyDescent="0.2">
      <c r="BA357" s="10"/>
      <c r="BB357" s="10"/>
      <c r="BC357" s="10"/>
      <c r="BD357" s="10"/>
      <c r="BE357" s="10"/>
      <c r="BF357" s="10"/>
      <c r="BG357" s="10"/>
      <c r="BH357" s="10"/>
      <c r="BI357" s="10"/>
      <c r="BJ357" s="10"/>
      <c r="BK357" s="10"/>
      <c r="BL357" s="10"/>
      <c r="BM357" s="10"/>
      <c r="BN357" s="10"/>
      <c r="BO357" s="10"/>
      <c r="BP357" s="10"/>
      <c r="BQ357" s="10"/>
      <c r="BR357" s="10"/>
      <c r="BS357" s="10"/>
      <c r="BT357" s="10"/>
    </row>
    <row r="358" spans="53:72" ht="18" x14ac:dyDescent="0.2">
      <c r="BA358" s="10"/>
      <c r="BB358" s="10"/>
      <c r="BC358" s="10"/>
      <c r="BD358" s="10"/>
      <c r="BE358" s="10"/>
      <c r="BF358" s="10"/>
      <c r="BG358" s="10"/>
      <c r="BH358" s="10"/>
      <c r="BI358" s="10"/>
      <c r="BJ358" s="10"/>
      <c r="BK358" s="10"/>
      <c r="BL358" s="10"/>
      <c r="BM358" s="10"/>
      <c r="BN358" s="10"/>
      <c r="BO358" s="10"/>
      <c r="BP358" s="10"/>
      <c r="BQ358" s="10"/>
      <c r="BR358" s="10"/>
      <c r="BS358" s="10"/>
      <c r="BT358" s="10"/>
    </row>
    <row r="359" spans="53:72" ht="18" x14ac:dyDescent="0.2">
      <c r="BA359" s="10"/>
      <c r="BB359" s="10"/>
      <c r="BC359" s="10"/>
      <c r="BD359" s="10"/>
      <c r="BE359" s="10"/>
      <c r="BF359" s="10"/>
      <c r="BG359" s="10"/>
      <c r="BH359" s="10"/>
      <c r="BI359" s="10"/>
      <c r="BJ359" s="10"/>
      <c r="BK359" s="10"/>
      <c r="BL359" s="10"/>
      <c r="BM359" s="10"/>
      <c r="BN359" s="10"/>
      <c r="BO359" s="10"/>
      <c r="BP359" s="10"/>
      <c r="BQ359" s="10"/>
      <c r="BR359" s="10"/>
      <c r="BS359" s="10"/>
      <c r="BT359" s="10"/>
    </row>
    <row r="360" spans="53:72" ht="18" x14ac:dyDescent="0.2">
      <c r="BA360" s="10"/>
      <c r="BB360" s="10"/>
      <c r="BC360" s="10"/>
      <c r="BD360" s="10"/>
      <c r="BE360" s="10"/>
      <c r="BF360" s="10"/>
      <c r="BG360" s="10"/>
      <c r="BH360" s="10"/>
      <c r="BI360" s="10"/>
      <c r="BJ360" s="10"/>
      <c r="BK360" s="10"/>
      <c r="BL360" s="10"/>
      <c r="BM360" s="10"/>
      <c r="BN360" s="10"/>
      <c r="BO360" s="10"/>
      <c r="BP360" s="10"/>
      <c r="BQ360" s="10"/>
      <c r="BR360" s="10"/>
      <c r="BS360" s="10"/>
      <c r="BT360" s="10"/>
    </row>
    <row r="361" spans="53:72" ht="18" x14ac:dyDescent="0.2">
      <c r="BA361" s="10"/>
      <c r="BB361" s="10"/>
      <c r="BC361" s="10"/>
      <c r="BD361" s="10"/>
      <c r="BE361" s="10"/>
      <c r="BF361" s="10"/>
      <c r="BG361" s="10"/>
      <c r="BH361" s="10"/>
      <c r="BI361" s="10"/>
      <c r="BJ361" s="10"/>
      <c r="BK361" s="10"/>
      <c r="BL361" s="10"/>
      <c r="BM361" s="10"/>
      <c r="BN361" s="10"/>
      <c r="BO361" s="10"/>
      <c r="BP361" s="10"/>
      <c r="BQ361" s="10"/>
      <c r="BR361" s="10"/>
      <c r="BS361" s="10"/>
      <c r="BT361" s="10"/>
    </row>
    <row r="362" spans="53:72" ht="18" x14ac:dyDescent="0.2">
      <c r="BA362" s="10"/>
      <c r="BB362" s="10"/>
      <c r="BC362" s="10"/>
      <c r="BD362" s="10"/>
      <c r="BE362" s="10"/>
      <c r="BF362" s="10"/>
      <c r="BG362" s="10"/>
      <c r="BH362" s="10"/>
      <c r="BI362" s="10"/>
      <c r="BJ362" s="10"/>
      <c r="BK362" s="10"/>
      <c r="BL362" s="10"/>
      <c r="BM362" s="10"/>
      <c r="BN362" s="10"/>
      <c r="BO362" s="10"/>
      <c r="BP362" s="10"/>
      <c r="BQ362" s="10"/>
      <c r="BR362" s="10"/>
      <c r="BS362" s="10"/>
      <c r="BT362" s="10"/>
    </row>
    <row r="363" spans="53:72" ht="18" x14ac:dyDescent="0.2">
      <c r="BA363" s="10"/>
      <c r="BB363" s="10"/>
      <c r="BC363" s="10"/>
      <c r="BD363" s="10"/>
      <c r="BE363" s="10"/>
      <c r="BF363" s="10"/>
      <c r="BG363" s="10"/>
      <c r="BH363" s="10"/>
      <c r="BI363" s="10"/>
      <c r="BJ363" s="10"/>
      <c r="BK363" s="10"/>
      <c r="BL363" s="10"/>
      <c r="BM363" s="10"/>
      <c r="BN363" s="10"/>
      <c r="BO363" s="10"/>
      <c r="BP363" s="10"/>
      <c r="BQ363" s="10"/>
      <c r="BR363" s="10"/>
      <c r="BS363" s="10"/>
      <c r="BT363" s="10"/>
    </row>
    <row r="364" spans="53:72" ht="18" x14ac:dyDescent="0.2">
      <c r="BA364" s="10"/>
      <c r="BB364" s="10"/>
      <c r="BC364" s="10"/>
      <c r="BD364" s="10"/>
      <c r="BE364" s="10"/>
      <c r="BF364" s="10"/>
      <c r="BG364" s="10"/>
      <c r="BH364" s="10"/>
      <c r="BI364" s="10"/>
      <c r="BJ364" s="10"/>
      <c r="BK364" s="10"/>
      <c r="BL364" s="10"/>
      <c r="BM364" s="10"/>
      <c r="BN364" s="10"/>
      <c r="BO364" s="10"/>
      <c r="BP364" s="10"/>
      <c r="BQ364" s="10"/>
      <c r="BR364" s="10"/>
      <c r="BS364" s="10"/>
      <c r="BT364" s="10"/>
    </row>
    <row r="365" spans="53:72" ht="18" x14ac:dyDescent="0.2">
      <c r="BA365" s="10"/>
      <c r="BB365" s="10"/>
      <c r="BC365" s="10"/>
      <c r="BD365" s="10"/>
      <c r="BE365" s="10"/>
      <c r="BF365" s="10"/>
      <c r="BG365" s="10"/>
      <c r="BH365" s="10"/>
      <c r="BI365" s="10"/>
      <c r="BJ365" s="10"/>
      <c r="BK365" s="10"/>
      <c r="BL365" s="10"/>
      <c r="BM365" s="10"/>
      <c r="BN365" s="10"/>
      <c r="BO365" s="10"/>
      <c r="BP365" s="10"/>
      <c r="BQ365" s="10"/>
      <c r="BR365" s="10"/>
      <c r="BS365" s="10"/>
      <c r="BT365" s="10"/>
    </row>
    <row r="366" spans="53:72" ht="18" x14ac:dyDescent="0.2">
      <c r="BA366" s="10"/>
      <c r="BB366" s="10"/>
      <c r="BC366" s="10"/>
      <c r="BD366" s="10"/>
      <c r="BE366" s="10"/>
      <c r="BF366" s="10"/>
      <c r="BG366" s="10"/>
      <c r="BH366" s="10"/>
      <c r="BI366" s="10"/>
      <c r="BJ366" s="10"/>
      <c r="BK366" s="10"/>
      <c r="BL366" s="10"/>
      <c r="BM366" s="10"/>
      <c r="BN366" s="10"/>
      <c r="BO366" s="10"/>
      <c r="BP366" s="10"/>
      <c r="BQ366" s="10"/>
      <c r="BR366" s="10"/>
      <c r="BS366" s="10"/>
      <c r="BT366" s="10"/>
    </row>
    <row r="367" spans="53:72" ht="18" x14ac:dyDescent="0.2">
      <c r="BA367" s="10"/>
      <c r="BB367" s="10"/>
      <c r="BC367" s="10"/>
      <c r="BD367" s="10"/>
      <c r="BE367" s="10"/>
      <c r="BF367" s="10"/>
      <c r="BG367" s="10"/>
      <c r="BH367" s="10"/>
      <c r="BI367" s="10"/>
      <c r="BJ367" s="10"/>
      <c r="BK367" s="10"/>
      <c r="BL367" s="10"/>
      <c r="BM367" s="10"/>
      <c r="BN367" s="10"/>
      <c r="BO367" s="10"/>
      <c r="BP367" s="10"/>
      <c r="BQ367" s="10"/>
      <c r="BR367" s="10"/>
      <c r="BS367" s="10"/>
      <c r="BT367" s="10"/>
    </row>
    <row r="368" spans="53:72" ht="18" x14ac:dyDescent="0.2">
      <c r="BA368" s="10"/>
      <c r="BB368" s="10"/>
      <c r="BC368" s="10"/>
      <c r="BD368" s="10"/>
      <c r="BE368" s="10"/>
      <c r="BF368" s="10"/>
      <c r="BG368" s="10"/>
      <c r="BH368" s="10"/>
      <c r="BI368" s="10"/>
      <c r="BJ368" s="10"/>
      <c r="BK368" s="10"/>
      <c r="BL368" s="10"/>
      <c r="BM368" s="10"/>
      <c r="BN368" s="10"/>
      <c r="BO368" s="10"/>
      <c r="BP368" s="10"/>
      <c r="BQ368" s="10"/>
      <c r="BR368" s="10"/>
      <c r="BS368" s="10"/>
      <c r="BT368" s="10"/>
    </row>
    <row r="369" spans="53:72" ht="18" x14ac:dyDescent="0.2">
      <c r="BA369" s="10"/>
      <c r="BB369" s="10"/>
      <c r="BC369" s="10"/>
      <c r="BD369" s="10"/>
      <c r="BE369" s="10"/>
      <c r="BF369" s="10"/>
      <c r="BG369" s="10"/>
      <c r="BH369" s="10"/>
      <c r="BI369" s="10"/>
      <c r="BJ369" s="10"/>
      <c r="BK369" s="10"/>
      <c r="BL369" s="10"/>
      <c r="BM369" s="10"/>
      <c r="BN369" s="10"/>
      <c r="BO369" s="10"/>
      <c r="BP369" s="10"/>
      <c r="BQ369" s="10"/>
      <c r="BR369" s="10"/>
      <c r="BS369" s="10"/>
      <c r="BT369" s="10"/>
    </row>
    <row r="370" spans="53:72" ht="18" x14ac:dyDescent="0.2">
      <c r="BA370" s="10"/>
      <c r="BB370" s="10"/>
      <c r="BC370" s="10"/>
      <c r="BD370" s="10"/>
      <c r="BE370" s="10"/>
      <c r="BF370" s="10"/>
      <c r="BG370" s="10"/>
      <c r="BH370" s="10"/>
      <c r="BI370" s="10"/>
      <c r="BJ370" s="10"/>
      <c r="BK370" s="10"/>
      <c r="BL370" s="10"/>
      <c r="BM370" s="10"/>
      <c r="BN370" s="10"/>
      <c r="BO370" s="10"/>
      <c r="BP370" s="10"/>
      <c r="BQ370" s="10"/>
      <c r="BR370" s="10"/>
      <c r="BS370" s="10"/>
      <c r="BT370" s="10"/>
    </row>
    <row r="371" spans="53:72" ht="18" x14ac:dyDescent="0.2">
      <c r="BA371" s="10"/>
      <c r="BB371" s="10"/>
      <c r="BC371" s="10"/>
      <c r="BD371" s="10"/>
      <c r="BE371" s="10"/>
      <c r="BF371" s="10"/>
      <c r="BG371" s="10"/>
      <c r="BH371" s="10"/>
      <c r="BI371" s="10"/>
      <c r="BJ371" s="10"/>
      <c r="BK371" s="10"/>
      <c r="BL371" s="10"/>
      <c r="BM371" s="10"/>
      <c r="BN371" s="10"/>
      <c r="BO371" s="10"/>
      <c r="BP371" s="10"/>
      <c r="BQ371" s="10"/>
      <c r="BR371" s="10"/>
      <c r="BS371" s="10"/>
      <c r="BT371" s="10"/>
    </row>
    <row r="372" spans="53:72" ht="18" x14ac:dyDescent="0.2">
      <c r="BA372" s="10"/>
      <c r="BB372" s="10"/>
      <c r="BC372" s="10"/>
      <c r="BD372" s="10"/>
      <c r="BE372" s="10"/>
      <c r="BF372" s="10"/>
      <c r="BG372" s="10"/>
      <c r="BH372" s="10"/>
      <c r="BI372" s="10"/>
      <c r="BJ372" s="10"/>
      <c r="BK372" s="10"/>
      <c r="BL372" s="10"/>
      <c r="BM372" s="10"/>
      <c r="BN372" s="10"/>
      <c r="BO372" s="10"/>
      <c r="BP372" s="10"/>
      <c r="BQ372" s="10"/>
      <c r="BR372" s="10"/>
      <c r="BS372" s="10"/>
      <c r="BT372" s="10"/>
    </row>
    <row r="373" spans="53:72" ht="18" x14ac:dyDescent="0.2">
      <c r="BA373" s="10"/>
      <c r="BB373" s="10"/>
      <c r="BC373" s="10"/>
      <c r="BD373" s="10"/>
      <c r="BE373" s="10"/>
      <c r="BF373" s="10"/>
      <c r="BG373" s="10"/>
      <c r="BH373" s="10"/>
      <c r="BI373" s="10"/>
      <c r="BJ373" s="10"/>
      <c r="BK373" s="10"/>
      <c r="BL373" s="10"/>
      <c r="BM373" s="10"/>
      <c r="BN373" s="10"/>
      <c r="BO373" s="10"/>
      <c r="BP373" s="10"/>
      <c r="BQ373" s="10"/>
      <c r="BR373" s="10"/>
      <c r="BS373" s="10"/>
      <c r="BT373" s="10"/>
    </row>
    <row r="374" spans="53:72" ht="18" x14ac:dyDescent="0.2">
      <c r="BA374" s="10"/>
      <c r="BB374" s="10"/>
      <c r="BC374" s="10"/>
      <c r="BD374" s="10"/>
      <c r="BE374" s="10"/>
      <c r="BF374" s="10"/>
      <c r="BG374" s="10"/>
      <c r="BH374" s="10"/>
      <c r="BI374" s="10"/>
      <c r="BJ374" s="10"/>
      <c r="BK374" s="10"/>
      <c r="BL374" s="10"/>
      <c r="BM374" s="10"/>
      <c r="BN374" s="10"/>
      <c r="BO374" s="10"/>
      <c r="BP374" s="10"/>
      <c r="BQ374" s="10"/>
      <c r="BR374" s="10"/>
      <c r="BS374" s="10"/>
      <c r="BT374" s="10"/>
    </row>
    <row r="375" spans="53:72" ht="18" x14ac:dyDescent="0.2">
      <c r="BA375" s="10"/>
      <c r="BB375" s="10"/>
      <c r="BC375" s="10"/>
      <c r="BD375" s="10"/>
      <c r="BE375" s="10"/>
      <c r="BF375" s="10"/>
      <c r="BG375" s="10"/>
      <c r="BH375" s="10"/>
      <c r="BI375" s="10"/>
      <c r="BJ375" s="10"/>
      <c r="BK375" s="10"/>
      <c r="BL375" s="10"/>
      <c r="BM375" s="10"/>
      <c r="BN375" s="10"/>
      <c r="BO375" s="10"/>
      <c r="BP375" s="10"/>
      <c r="BQ375" s="10"/>
      <c r="BR375" s="10"/>
      <c r="BS375" s="10"/>
      <c r="BT375" s="10"/>
    </row>
    <row r="376" spans="53:72" ht="18" x14ac:dyDescent="0.2">
      <c r="BA376" s="10"/>
      <c r="BB376" s="10"/>
      <c r="BC376" s="10"/>
      <c r="BD376" s="10"/>
      <c r="BE376" s="10"/>
      <c r="BF376" s="10"/>
      <c r="BG376" s="10"/>
      <c r="BH376" s="10"/>
      <c r="BI376" s="10"/>
      <c r="BJ376" s="10"/>
      <c r="BK376" s="10"/>
      <c r="BL376" s="10"/>
      <c r="BM376" s="10"/>
      <c r="BN376" s="10"/>
      <c r="BO376" s="10"/>
      <c r="BP376" s="10"/>
      <c r="BQ376" s="10"/>
      <c r="BR376" s="10"/>
      <c r="BS376" s="10"/>
      <c r="BT376" s="10"/>
    </row>
    <row r="377" spans="53:72" ht="18" x14ac:dyDescent="0.2">
      <c r="BA377" s="10"/>
      <c r="BB377" s="10"/>
      <c r="BC377" s="10"/>
      <c r="BD377" s="10"/>
      <c r="BE377" s="10"/>
      <c r="BF377" s="10"/>
      <c r="BG377" s="10"/>
      <c r="BH377" s="10"/>
      <c r="BI377" s="10"/>
      <c r="BJ377" s="10"/>
      <c r="BK377" s="10"/>
      <c r="BL377" s="10"/>
      <c r="BM377" s="10"/>
      <c r="BN377" s="10"/>
      <c r="BO377" s="10"/>
      <c r="BP377" s="10"/>
      <c r="BQ377" s="10"/>
      <c r="BR377" s="10"/>
      <c r="BS377" s="10"/>
      <c r="BT377" s="10"/>
    </row>
    <row r="378" spans="53:72" ht="18" x14ac:dyDescent="0.2">
      <c r="BA378" s="10"/>
      <c r="BB378" s="10"/>
      <c r="BC378" s="10"/>
      <c r="BD378" s="10"/>
      <c r="BE378" s="10"/>
      <c r="BF378" s="10"/>
      <c r="BG378" s="10"/>
      <c r="BH378" s="10"/>
      <c r="BI378" s="10"/>
      <c r="BJ378" s="10"/>
      <c r="BK378" s="10"/>
      <c r="BL378" s="10"/>
      <c r="BM378" s="10"/>
      <c r="BN378" s="10"/>
      <c r="BO378" s="10"/>
      <c r="BP378" s="10"/>
      <c r="BQ378" s="10"/>
      <c r="BR378" s="10"/>
      <c r="BS378" s="10"/>
      <c r="BT378" s="10"/>
    </row>
    <row r="379" spans="53:72" ht="18" x14ac:dyDescent="0.2">
      <c r="BA379" s="10"/>
      <c r="BB379" s="10"/>
      <c r="BC379" s="10"/>
      <c r="BD379" s="10"/>
      <c r="BE379" s="10"/>
      <c r="BF379" s="10"/>
      <c r="BG379" s="10"/>
      <c r="BH379" s="10"/>
      <c r="BI379" s="10"/>
      <c r="BJ379" s="10"/>
      <c r="BK379" s="10"/>
      <c r="BL379" s="10"/>
      <c r="BM379" s="10"/>
      <c r="BN379" s="10"/>
      <c r="BO379" s="10"/>
      <c r="BP379" s="10"/>
      <c r="BQ379" s="10"/>
      <c r="BR379" s="10"/>
      <c r="BS379" s="10"/>
      <c r="BT379" s="10"/>
    </row>
    <row r="380" spans="53:72" ht="18" x14ac:dyDescent="0.2">
      <c r="BA380" s="10"/>
      <c r="BB380" s="10"/>
      <c r="BC380" s="10"/>
      <c r="BD380" s="10"/>
      <c r="BE380" s="10"/>
      <c r="BF380" s="10"/>
      <c r="BG380" s="10"/>
      <c r="BH380" s="10"/>
      <c r="BI380" s="10"/>
      <c r="BJ380" s="10"/>
      <c r="BK380" s="10"/>
      <c r="BL380" s="10"/>
      <c r="BM380" s="10"/>
      <c r="BN380" s="10"/>
      <c r="BO380" s="10"/>
      <c r="BP380" s="10"/>
      <c r="BQ380" s="10"/>
      <c r="BR380" s="10"/>
      <c r="BS380" s="10"/>
      <c r="BT380" s="10"/>
    </row>
    <row r="381" spans="53:72" ht="18" x14ac:dyDescent="0.2">
      <c r="BA381" s="10"/>
      <c r="BB381" s="10"/>
      <c r="BC381" s="10"/>
      <c r="BD381" s="10"/>
      <c r="BE381" s="10"/>
      <c r="BF381" s="10"/>
      <c r="BG381" s="10"/>
      <c r="BH381" s="10"/>
      <c r="BI381" s="10"/>
      <c r="BJ381" s="10"/>
      <c r="BK381" s="10"/>
      <c r="BL381" s="10"/>
      <c r="BM381" s="10"/>
      <c r="BN381" s="10"/>
      <c r="BO381" s="10"/>
      <c r="BP381" s="10"/>
      <c r="BQ381" s="10"/>
      <c r="BR381" s="10"/>
      <c r="BS381" s="10"/>
      <c r="BT381" s="10"/>
    </row>
    <row r="382" spans="53:72" ht="18" x14ac:dyDescent="0.2">
      <c r="BA382" s="10"/>
      <c r="BB382" s="10"/>
      <c r="BC382" s="10"/>
      <c r="BD382" s="10"/>
      <c r="BE382" s="10"/>
      <c r="BF382" s="10"/>
      <c r="BG382" s="10"/>
      <c r="BH382" s="10"/>
      <c r="BI382" s="10"/>
      <c r="BJ382" s="10"/>
      <c r="BK382" s="10"/>
      <c r="BL382" s="10"/>
      <c r="BM382" s="10"/>
      <c r="BN382" s="10"/>
      <c r="BO382" s="10"/>
      <c r="BP382" s="10"/>
      <c r="BQ382" s="10"/>
      <c r="BR382" s="10"/>
      <c r="BS382" s="10"/>
      <c r="BT382" s="10"/>
    </row>
    <row r="383" spans="53:72" ht="18" x14ac:dyDescent="0.2">
      <c r="BA383" s="10"/>
      <c r="BB383" s="10"/>
      <c r="BC383" s="10"/>
      <c r="BD383" s="10"/>
      <c r="BE383" s="10"/>
      <c r="BF383" s="10"/>
      <c r="BG383" s="10"/>
      <c r="BH383" s="10"/>
      <c r="BI383" s="10"/>
      <c r="BJ383" s="10"/>
      <c r="BK383" s="10"/>
      <c r="BL383" s="10"/>
      <c r="BM383" s="10"/>
      <c r="BN383" s="10"/>
      <c r="BO383" s="10"/>
      <c r="BP383" s="10"/>
      <c r="BQ383" s="10"/>
      <c r="BR383" s="10"/>
      <c r="BS383" s="10"/>
      <c r="BT383" s="10"/>
    </row>
    <row r="384" spans="53:72" ht="18" x14ac:dyDescent="0.2">
      <c r="BA384" s="10"/>
      <c r="BB384" s="10"/>
      <c r="BC384" s="10"/>
      <c r="BD384" s="10"/>
      <c r="BE384" s="10"/>
      <c r="BF384" s="10"/>
      <c r="BG384" s="10"/>
      <c r="BH384" s="10"/>
      <c r="BI384" s="10"/>
      <c r="BJ384" s="10"/>
      <c r="BK384" s="10"/>
      <c r="BL384" s="10"/>
      <c r="BM384" s="10"/>
      <c r="BN384" s="10"/>
      <c r="BO384" s="10"/>
      <c r="BP384" s="10"/>
      <c r="BQ384" s="10"/>
      <c r="BR384" s="10"/>
      <c r="BS384" s="10"/>
      <c r="BT384" s="10"/>
    </row>
    <row r="385" spans="53:72" ht="18" x14ac:dyDescent="0.2">
      <c r="BA385" s="10"/>
      <c r="BB385" s="10"/>
      <c r="BC385" s="10"/>
      <c r="BD385" s="10"/>
      <c r="BE385" s="10"/>
      <c r="BF385" s="10"/>
      <c r="BG385" s="10"/>
      <c r="BH385" s="10"/>
      <c r="BI385" s="10"/>
      <c r="BJ385" s="10"/>
      <c r="BK385" s="10"/>
      <c r="BL385" s="10"/>
      <c r="BM385" s="10"/>
      <c r="BN385" s="10"/>
      <c r="BO385" s="10"/>
      <c r="BP385" s="10"/>
      <c r="BQ385" s="10"/>
      <c r="BR385" s="10"/>
      <c r="BS385" s="10"/>
      <c r="BT385" s="10"/>
    </row>
    <row r="386" spans="53:72" ht="18" x14ac:dyDescent="0.2">
      <c r="BA386" s="10"/>
      <c r="BB386" s="10"/>
      <c r="BC386" s="10"/>
      <c r="BD386" s="10"/>
      <c r="BE386" s="10"/>
      <c r="BF386" s="10"/>
      <c r="BG386" s="10"/>
      <c r="BH386" s="10"/>
      <c r="BI386" s="10"/>
      <c r="BJ386" s="10"/>
      <c r="BK386" s="10"/>
      <c r="BL386" s="10"/>
      <c r="BM386" s="10"/>
      <c r="BN386" s="10"/>
      <c r="BO386" s="10"/>
      <c r="BP386" s="10"/>
      <c r="BQ386" s="10"/>
      <c r="BR386" s="10"/>
      <c r="BS386" s="10"/>
      <c r="BT386" s="10"/>
    </row>
    <row r="387" spans="53:72" ht="18" x14ac:dyDescent="0.2">
      <c r="BA387" s="10"/>
      <c r="BB387" s="10"/>
      <c r="BC387" s="10"/>
      <c r="BD387" s="10"/>
      <c r="BE387" s="10"/>
      <c r="BF387" s="10"/>
      <c r="BG387" s="10"/>
      <c r="BH387" s="10"/>
      <c r="BI387" s="10"/>
      <c r="BJ387" s="10"/>
      <c r="BK387" s="10"/>
      <c r="BL387" s="10"/>
      <c r="BM387" s="10"/>
      <c r="BN387" s="10"/>
      <c r="BO387" s="10"/>
      <c r="BP387" s="10"/>
      <c r="BQ387" s="10"/>
      <c r="BR387" s="10"/>
      <c r="BS387" s="10"/>
      <c r="BT387" s="10"/>
    </row>
    <row r="388" spans="53:72" ht="18" x14ac:dyDescent="0.2">
      <c r="BA388" s="10"/>
      <c r="BB388" s="10"/>
      <c r="BC388" s="10"/>
      <c r="BD388" s="10"/>
      <c r="BE388" s="10"/>
      <c r="BF388" s="10"/>
      <c r="BG388" s="10"/>
      <c r="BH388" s="10"/>
      <c r="BI388" s="10"/>
      <c r="BJ388" s="10"/>
      <c r="BK388" s="10"/>
      <c r="BL388" s="10"/>
      <c r="BM388" s="10"/>
      <c r="BN388" s="10"/>
      <c r="BO388" s="10"/>
      <c r="BP388" s="10"/>
      <c r="BQ388" s="10"/>
      <c r="BR388" s="10"/>
      <c r="BS388" s="10"/>
      <c r="BT388" s="10"/>
    </row>
    <row r="389" spans="53:72" ht="18" x14ac:dyDescent="0.2">
      <c r="BA389" s="10"/>
      <c r="BB389" s="10"/>
      <c r="BC389" s="10"/>
      <c r="BD389" s="10"/>
      <c r="BE389" s="10"/>
      <c r="BF389" s="10"/>
      <c r="BG389" s="10"/>
      <c r="BH389" s="10"/>
      <c r="BI389" s="10"/>
      <c r="BJ389" s="10"/>
      <c r="BK389" s="10"/>
      <c r="BL389" s="10"/>
      <c r="BM389" s="10"/>
      <c r="BN389" s="10"/>
      <c r="BO389" s="10"/>
      <c r="BP389" s="10"/>
      <c r="BQ389" s="10"/>
      <c r="BR389" s="10"/>
      <c r="BS389" s="10"/>
      <c r="BT389" s="10"/>
    </row>
    <row r="390" spans="53:72" ht="18" x14ac:dyDescent="0.2">
      <c r="BA390" s="10"/>
      <c r="BB390" s="10"/>
      <c r="BC390" s="10"/>
      <c r="BD390" s="10"/>
      <c r="BE390" s="10"/>
      <c r="BF390" s="10"/>
      <c r="BG390" s="10"/>
      <c r="BH390" s="10"/>
      <c r="BI390" s="10"/>
      <c r="BJ390" s="10"/>
      <c r="BK390" s="10"/>
      <c r="BL390" s="10"/>
      <c r="BM390" s="10"/>
      <c r="BN390" s="10"/>
      <c r="BO390" s="10"/>
      <c r="BP390" s="10"/>
      <c r="BQ390" s="10"/>
      <c r="BR390" s="10"/>
      <c r="BS390" s="10"/>
      <c r="BT390" s="10"/>
    </row>
    <row r="391" spans="53:72" ht="18" x14ac:dyDescent="0.2">
      <c r="BA391" s="10"/>
      <c r="BB391" s="10"/>
      <c r="BC391" s="10"/>
      <c r="BD391" s="10"/>
      <c r="BE391" s="10"/>
      <c r="BF391" s="10"/>
      <c r="BG391" s="10"/>
      <c r="BH391" s="10"/>
      <c r="BI391" s="10"/>
      <c r="BJ391" s="10"/>
      <c r="BK391" s="10"/>
      <c r="BL391" s="10"/>
      <c r="BM391" s="10"/>
      <c r="BN391" s="10"/>
      <c r="BO391" s="10"/>
      <c r="BP391" s="10"/>
      <c r="BQ391" s="10"/>
      <c r="BR391" s="10"/>
      <c r="BS391" s="10"/>
      <c r="BT391" s="10"/>
    </row>
    <row r="392" spans="53:72" ht="18" x14ac:dyDescent="0.2">
      <c r="BA392" s="10"/>
      <c r="BB392" s="10"/>
      <c r="BC392" s="10"/>
      <c r="BD392" s="10"/>
      <c r="BE392" s="10"/>
      <c r="BF392" s="10"/>
      <c r="BG392" s="10"/>
      <c r="BH392" s="10"/>
      <c r="BI392" s="10"/>
      <c r="BJ392" s="10"/>
      <c r="BK392" s="10"/>
      <c r="BL392" s="10"/>
      <c r="BM392" s="10"/>
      <c r="BN392" s="10"/>
      <c r="BO392" s="10"/>
      <c r="BP392" s="10"/>
      <c r="BQ392" s="10"/>
      <c r="BR392" s="10"/>
      <c r="BS392" s="10"/>
      <c r="BT392" s="10"/>
    </row>
    <row r="393" spans="53:72" ht="18" x14ac:dyDescent="0.2">
      <c r="BA393" s="10"/>
      <c r="BB393" s="10"/>
      <c r="BC393" s="10"/>
      <c r="BD393" s="10"/>
      <c r="BE393" s="10"/>
      <c r="BF393" s="10"/>
      <c r="BG393" s="10"/>
      <c r="BH393" s="10"/>
      <c r="BI393" s="10"/>
      <c r="BJ393" s="10"/>
      <c r="BK393" s="10"/>
      <c r="BL393" s="10"/>
      <c r="BM393" s="10"/>
      <c r="BN393" s="10"/>
      <c r="BO393" s="10"/>
      <c r="BP393" s="10"/>
      <c r="BQ393" s="10"/>
      <c r="BR393" s="10"/>
      <c r="BS393" s="10"/>
      <c r="BT393" s="10"/>
    </row>
    <row r="394" spans="53:72" ht="18" x14ac:dyDescent="0.2">
      <c r="BA394" s="10"/>
      <c r="BB394" s="10"/>
      <c r="BC394" s="10"/>
      <c r="BD394" s="10"/>
      <c r="BE394" s="10"/>
      <c r="BF394" s="10"/>
      <c r="BG394" s="10"/>
      <c r="BH394" s="10"/>
      <c r="BI394" s="10"/>
      <c r="BJ394" s="10"/>
      <c r="BK394" s="10"/>
      <c r="BL394" s="10"/>
      <c r="BM394" s="10"/>
      <c r="BN394" s="10"/>
      <c r="BO394" s="10"/>
      <c r="BP394" s="10"/>
      <c r="BQ394" s="10"/>
      <c r="BR394" s="10"/>
      <c r="BS394" s="10"/>
      <c r="BT394" s="10"/>
    </row>
    <row r="395" spans="53:72" ht="18" x14ac:dyDescent="0.2">
      <c r="BA395" s="10"/>
      <c r="BB395" s="10"/>
      <c r="BC395" s="10"/>
      <c r="BD395" s="10"/>
      <c r="BE395" s="10"/>
      <c r="BF395" s="10"/>
      <c r="BG395" s="10"/>
      <c r="BH395" s="10"/>
      <c r="BI395" s="10"/>
      <c r="BJ395" s="10"/>
      <c r="BK395" s="10"/>
      <c r="BL395" s="10"/>
      <c r="BM395" s="10"/>
      <c r="BN395" s="10"/>
      <c r="BO395" s="10"/>
      <c r="BP395" s="10"/>
      <c r="BQ395" s="10"/>
      <c r="BR395" s="10"/>
      <c r="BS395" s="10"/>
      <c r="BT395" s="10"/>
    </row>
    <row r="396" spans="53:72" ht="18" x14ac:dyDescent="0.2">
      <c r="BA396" s="10"/>
      <c r="BB396" s="10"/>
      <c r="BC396" s="10"/>
      <c r="BD396" s="10"/>
      <c r="BE396" s="10"/>
      <c r="BF396" s="10"/>
      <c r="BG396" s="10"/>
      <c r="BH396" s="10"/>
      <c r="BI396" s="10"/>
      <c r="BJ396" s="10"/>
      <c r="BK396" s="10"/>
      <c r="BL396" s="10"/>
      <c r="BM396" s="10"/>
      <c r="BN396" s="10"/>
      <c r="BO396" s="10"/>
      <c r="BP396" s="10"/>
      <c r="BQ396" s="10"/>
      <c r="BR396" s="10"/>
      <c r="BS396" s="10"/>
      <c r="BT396" s="10"/>
    </row>
    <row r="397" spans="53:72" ht="18" x14ac:dyDescent="0.2">
      <c r="BA397" s="10"/>
      <c r="BB397" s="10"/>
      <c r="BC397" s="10"/>
      <c r="BD397" s="10"/>
      <c r="BE397" s="10"/>
      <c r="BF397" s="10"/>
      <c r="BG397" s="10"/>
      <c r="BH397" s="10"/>
      <c r="BI397" s="10"/>
      <c r="BJ397" s="10"/>
      <c r="BK397" s="10"/>
      <c r="BL397" s="10"/>
      <c r="BM397" s="10"/>
      <c r="BN397" s="10"/>
      <c r="BO397" s="10"/>
      <c r="BP397" s="10"/>
      <c r="BQ397" s="10"/>
      <c r="BR397" s="10"/>
      <c r="BS397" s="10"/>
      <c r="BT397" s="10"/>
    </row>
    <row r="398" spans="53:72" ht="18" x14ac:dyDescent="0.2">
      <c r="BA398" s="10"/>
      <c r="BB398" s="10"/>
      <c r="BC398" s="10"/>
      <c r="BD398" s="10"/>
      <c r="BE398" s="10"/>
      <c r="BF398" s="10"/>
      <c r="BG398" s="10"/>
      <c r="BH398" s="10"/>
      <c r="BI398" s="10"/>
      <c r="BJ398" s="10"/>
      <c r="BK398" s="10"/>
      <c r="BL398" s="10"/>
      <c r="BM398" s="10"/>
      <c r="BN398" s="10"/>
      <c r="BO398" s="10"/>
      <c r="BP398" s="10"/>
      <c r="BQ398" s="10"/>
      <c r="BR398" s="10"/>
      <c r="BS398" s="10"/>
      <c r="BT398" s="10"/>
    </row>
    <row r="399" spans="53:72" ht="18" x14ac:dyDescent="0.2">
      <c r="BA399" s="10"/>
      <c r="BB399" s="10"/>
      <c r="BC399" s="10"/>
      <c r="BD399" s="10"/>
      <c r="BE399" s="10"/>
      <c r="BF399" s="10"/>
      <c r="BG399" s="10"/>
      <c r="BH399" s="10"/>
      <c r="BI399" s="10"/>
      <c r="BJ399" s="10"/>
      <c r="BK399" s="10"/>
      <c r="BL399" s="10"/>
      <c r="BM399" s="10"/>
      <c r="BN399" s="10"/>
      <c r="BO399" s="10"/>
      <c r="BP399" s="10"/>
      <c r="BQ399" s="10"/>
      <c r="BR399" s="10"/>
      <c r="BS399" s="10"/>
      <c r="BT399" s="10"/>
    </row>
    <row r="400" spans="53:72" ht="18" x14ac:dyDescent="0.2">
      <c r="BA400" s="10"/>
      <c r="BB400" s="10"/>
      <c r="BC400" s="10"/>
      <c r="BD400" s="10"/>
      <c r="BE400" s="10"/>
      <c r="BF400" s="10"/>
      <c r="BG400" s="10"/>
      <c r="BH400" s="10"/>
      <c r="BI400" s="10"/>
      <c r="BJ400" s="10"/>
      <c r="BK400" s="10"/>
      <c r="BL400" s="10"/>
      <c r="BM400" s="10"/>
      <c r="BN400" s="10"/>
      <c r="BO400" s="10"/>
      <c r="BP400" s="10"/>
      <c r="BQ400" s="10"/>
      <c r="BR400" s="10"/>
      <c r="BS400" s="10"/>
      <c r="BT400" s="10"/>
    </row>
    <row r="401" spans="53:72" ht="18" x14ac:dyDescent="0.2">
      <c r="BA401" s="10"/>
      <c r="BB401" s="10"/>
      <c r="BC401" s="10"/>
      <c r="BD401" s="10"/>
      <c r="BE401" s="10"/>
      <c r="BF401" s="10"/>
      <c r="BG401" s="10"/>
      <c r="BH401" s="10"/>
      <c r="BI401" s="10"/>
      <c r="BJ401" s="10"/>
      <c r="BK401" s="10"/>
      <c r="BL401" s="10"/>
      <c r="BM401" s="10"/>
      <c r="BN401" s="10"/>
      <c r="BO401" s="10"/>
      <c r="BP401" s="10"/>
      <c r="BQ401" s="10"/>
      <c r="BR401" s="10"/>
      <c r="BS401" s="10"/>
      <c r="BT401" s="10"/>
    </row>
    <row r="402" spans="53:72" ht="18" x14ac:dyDescent="0.2">
      <c r="BA402" s="10"/>
      <c r="BB402" s="10"/>
      <c r="BC402" s="10"/>
      <c r="BD402" s="10"/>
      <c r="BE402" s="10"/>
      <c r="BF402" s="10"/>
      <c r="BG402" s="10"/>
      <c r="BH402" s="10"/>
      <c r="BI402" s="10"/>
      <c r="BJ402" s="10"/>
      <c r="BK402" s="10"/>
      <c r="BL402" s="10"/>
      <c r="BM402" s="10"/>
      <c r="BN402" s="10"/>
      <c r="BO402" s="10"/>
      <c r="BP402" s="10"/>
      <c r="BQ402" s="10"/>
      <c r="BR402" s="10"/>
      <c r="BS402" s="10"/>
      <c r="BT402" s="10"/>
    </row>
    <row r="403" spans="53:72" ht="18" x14ac:dyDescent="0.2">
      <c r="BA403" s="10"/>
      <c r="BB403" s="10"/>
      <c r="BC403" s="10"/>
      <c r="BD403" s="10"/>
      <c r="BE403" s="10"/>
      <c r="BF403" s="10"/>
      <c r="BG403" s="10"/>
      <c r="BH403" s="10"/>
      <c r="BI403" s="10"/>
      <c r="BJ403" s="10"/>
      <c r="BK403" s="10"/>
      <c r="BL403" s="10"/>
      <c r="BM403" s="10"/>
      <c r="BN403" s="10"/>
      <c r="BO403" s="10"/>
      <c r="BP403" s="10"/>
      <c r="BQ403" s="10"/>
      <c r="BR403" s="10"/>
      <c r="BS403" s="10"/>
      <c r="BT403" s="10"/>
    </row>
    <row r="404" spans="53:72" ht="18" x14ac:dyDescent="0.2">
      <c r="BA404" s="10"/>
      <c r="BB404" s="10"/>
      <c r="BC404" s="10"/>
      <c r="BD404" s="10"/>
      <c r="BE404" s="10"/>
      <c r="BF404" s="10"/>
      <c r="BG404" s="10"/>
      <c r="BH404" s="10"/>
      <c r="BI404" s="10"/>
      <c r="BJ404" s="10"/>
      <c r="BK404" s="10"/>
      <c r="BL404" s="10"/>
      <c r="BM404" s="10"/>
      <c r="BN404" s="10"/>
      <c r="BO404" s="10"/>
      <c r="BP404" s="10"/>
      <c r="BQ404" s="10"/>
      <c r="BR404" s="10"/>
      <c r="BS404" s="10"/>
      <c r="BT404" s="10"/>
    </row>
    <row r="405" spans="53:72" ht="18" x14ac:dyDescent="0.2">
      <c r="BA405" s="10"/>
      <c r="BB405" s="10"/>
      <c r="BC405" s="10"/>
      <c r="BD405" s="10"/>
      <c r="BE405" s="10"/>
      <c r="BF405" s="10"/>
      <c r="BG405" s="10"/>
      <c r="BH405" s="10"/>
      <c r="BI405" s="10"/>
      <c r="BJ405" s="10"/>
      <c r="BK405" s="10"/>
      <c r="BL405" s="10"/>
      <c r="BM405" s="10"/>
      <c r="BN405" s="10"/>
      <c r="BO405" s="10"/>
      <c r="BP405" s="10"/>
      <c r="BQ405" s="10"/>
      <c r="BR405" s="10"/>
      <c r="BS405" s="10"/>
      <c r="BT405" s="10"/>
    </row>
    <row r="406" spans="53:72" ht="18" x14ac:dyDescent="0.2">
      <c r="BA406" s="10"/>
      <c r="BB406" s="10"/>
      <c r="BC406" s="10"/>
      <c r="BD406" s="10"/>
      <c r="BE406" s="10"/>
      <c r="BF406" s="10"/>
      <c r="BG406" s="10"/>
      <c r="BH406" s="10"/>
      <c r="BI406" s="10"/>
      <c r="BJ406" s="10"/>
      <c r="BK406" s="10"/>
      <c r="BL406" s="10"/>
      <c r="BM406" s="10"/>
      <c r="BN406" s="10"/>
      <c r="BO406" s="10"/>
      <c r="BP406" s="10"/>
      <c r="BQ406" s="10"/>
      <c r="BR406" s="10"/>
      <c r="BS406" s="10"/>
      <c r="BT406" s="10"/>
    </row>
    <row r="407" spans="53:72" ht="18" x14ac:dyDescent="0.2">
      <c r="BA407" s="10"/>
      <c r="BB407" s="10"/>
      <c r="BC407" s="10"/>
      <c r="BD407" s="10"/>
      <c r="BE407" s="10"/>
      <c r="BF407" s="10"/>
      <c r="BG407" s="10"/>
      <c r="BH407" s="10"/>
      <c r="BI407" s="10"/>
      <c r="BJ407" s="10"/>
      <c r="BK407" s="10"/>
      <c r="BL407" s="10"/>
      <c r="BM407" s="10"/>
      <c r="BN407" s="10"/>
      <c r="BO407" s="10"/>
      <c r="BP407" s="10"/>
      <c r="BQ407" s="10"/>
      <c r="BR407" s="10"/>
      <c r="BS407" s="10"/>
      <c r="BT407" s="10"/>
    </row>
    <row r="408" spans="53:72" ht="18" x14ac:dyDescent="0.2">
      <c r="BA408" s="10"/>
      <c r="BB408" s="10"/>
      <c r="BC408" s="10"/>
      <c r="BD408" s="10"/>
      <c r="BE408" s="10"/>
      <c r="BF408" s="10"/>
      <c r="BG408" s="10"/>
      <c r="BH408" s="10"/>
      <c r="BI408" s="10"/>
      <c r="BJ408" s="10"/>
      <c r="BK408" s="10"/>
      <c r="BL408" s="10"/>
      <c r="BM408" s="10"/>
      <c r="BN408" s="10"/>
      <c r="BO408" s="10"/>
      <c r="BP408" s="10"/>
      <c r="BQ408" s="10"/>
      <c r="BR408" s="10"/>
      <c r="BS408" s="10"/>
      <c r="BT408" s="10"/>
    </row>
    <row r="409" spans="53:72" ht="18" x14ac:dyDescent="0.2">
      <c r="BA409" s="10"/>
      <c r="BB409" s="10"/>
      <c r="BC409" s="10"/>
      <c r="BD409" s="10"/>
      <c r="BE409" s="10"/>
      <c r="BF409" s="10"/>
      <c r="BG409" s="10"/>
      <c r="BH409" s="10"/>
      <c r="BI409" s="10"/>
      <c r="BJ409" s="10"/>
      <c r="BK409" s="10"/>
      <c r="BL409" s="10"/>
      <c r="BM409" s="10"/>
      <c r="BN409" s="10"/>
      <c r="BO409" s="10"/>
      <c r="BP409" s="10"/>
      <c r="BQ409" s="10"/>
      <c r="BR409" s="10"/>
      <c r="BS409" s="10"/>
      <c r="BT409" s="10"/>
    </row>
    <row r="410" spans="53:72" ht="18" x14ac:dyDescent="0.2">
      <c r="BA410" s="10"/>
      <c r="BB410" s="10"/>
      <c r="BC410" s="10"/>
      <c r="BD410" s="10"/>
      <c r="BE410" s="10"/>
      <c r="BF410" s="10"/>
      <c r="BG410" s="10"/>
      <c r="BH410" s="10"/>
      <c r="BI410" s="10"/>
      <c r="BJ410" s="10"/>
      <c r="BK410" s="10"/>
      <c r="BL410" s="10"/>
      <c r="BM410" s="10"/>
      <c r="BN410" s="10"/>
      <c r="BO410" s="10"/>
      <c r="BP410" s="10"/>
      <c r="BQ410" s="10"/>
      <c r="BR410" s="10"/>
      <c r="BS410" s="10"/>
      <c r="BT410" s="10"/>
    </row>
    <row r="411" spans="53:72" ht="18" x14ac:dyDescent="0.2">
      <c r="BA411" s="10"/>
      <c r="BB411" s="10"/>
      <c r="BC411" s="10"/>
      <c r="BD411" s="10"/>
      <c r="BE411" s="10"/>
      <c r="BF411" s="10"/>
      <c r="BG411" s="10"/>
      <c r="BH411" s="10"/>
      <c r="BI411" s="10"/>
      <c r="BJ411" s="10"/>
      <c r="BK411" s="10"/>
      <c r="BL411" s="10"/>
      <c r="BM411" s="10"/>
      <c r="BN411" s="10"/>
      <c r="BO411" s="10"/>
      <c r="BP411" s="10"/>
      <c r="BQ411" s="10"/>
      <c r="BR411" s="10"/>
      <c r="BS411" s="10"/>
      <c r="BT411" s="10"/>
    </row>
    <row r="412" spans="53:72" ht="18" x14ac:dyDescent="0.2">
      <c r="BA412" s="10"/>
      <c r="BB412" s="10"/>
      <c r="BC412" s="10"/>
      <c r="BD412" s="10"/>
      <c r="BE412" s="10"/>
      <c r="BF412" s="10"/>
      <c r="BG412" s="10"/>
      <c r="BH412" s="10"/>
      <c r="BI412" s="10"/>
      <c r="BJ412" s="10"/>
      <c r="BK412" s="10"/>
      <c r="BL412" s="10"/>
      <c r="BM412" s="10"/>
      <c r="BN412" s="10"/>
      <c r="BO412" s="10"/>
      <c r="BP412" s="10"/>
      <c r="BQ412" s="10"/>
      <c r="BR412" s="10"/>
      <c r="BS412" s="10"/>
      <c r="BT412" s="10"/>
    </row>
    <row r="413" spans="53:72" ht="18" x14ac:dyDescent="0.2">
      <c r="BA413" s="10"/>
      <c r="BB413" s="10"/>
      <c r="BC413" s="10"/>
      <c r="BD413" s="10"/>
      <c r="BE413" s="10"/>
      <c r="BF413" s="10"/>
      <c r="BG413" s="10"/>
      <c r="BH413" s="10"/>
      <c r="BI413" s="10"/>
      <c r="BJ413" s="10"/>
      <c r="BK413" s="10"/>
      <c r="BL413" s="10"/>
      <c r="BM413" s="10"/>
      <c r="BN413" s="10"/>
      <c r="BO413" s="10"/>
      <c r="BP413" s="10"/>
      <c r="BQ413" s="10"/>
      <c r="BR413" s="10"/>
      <c r="BS413" s="10"/>
      <c r="BT413" s="10"/>
    </row>
    <row r="414" spans="53:72" ht="18" x14ac:dyDescent="0.2">
      <c r="BA414" s="10"/>
      <c r="BB414" s="10"/>
      <c r="BC414" s="10"/>
      <c r="BD414" s="10"/>
      <c r="BE414" s="10"/>
      <c r="BF414" s="10"/>
      <c r="BG414" s="10"/>
      <c r="BH414" s="10"/>
      <c r="BI414" s="10"/>
      <c r="BJ414" s="10"/>
      <c r="BK414" s="10"/>
      <c r="BL414" s="10"/>
      <c r="BM414" s="10"/>
      <c r="BN414" s="10"/>
      <c r="BO414" s="10"/>
      <c r="BP414" s="10"/>
      <c r="BQ414" s="10"/>
      <c r="BR414" s="10"/>
      <c r="BS414" s="10"/>
      <c r="BT414" s="10"/>
    </row>
    <row r="415" spans="53:72" ht="18" x14ac:dyDescent="0.2">
      <c r="BA415" s="10"/>
      <c r="BB415" s="10"/>
      <c r="BC415" s="10"/>
      <c r="BD415" s="10"/>
      <c r="BE415" s="10"/>
      <c r="BF415" s="10"/>
      <c r="BG415" s="10"/>
      <c r="BH415" s="10"/>
      <c r="BI415" s="10"/>
      <c r="BJ415" s="10"/>
      <c r="BK415" s="10"/>
      <c r="BL415" s="10"/>
      <c r="BM415" s="10"/>
      <c r="BN415" s="10"/>
      <c r="BO415" s="10"/>
      <c r="BP415" s="10"/>
      <c r="BQ415" s="10"/>
      <c r="BR415" s="10"/>
      <c r="BS415" s="10"/>
      <c r="BT415" s="10"/>
    </row>
    <row r="416" spans="53:72" ht="18" x14ac:dyDescent="0.2">
      <c r="BA416" s="10"/>
      <c r="BB416" s="10"/>
      <c r="BC416" s="10"/>
      <c r="BD416" s="10"/>
      <c r="BE416" s="10"/>
      <c r="BF416" s="10"/>
      <c r="BG416" s="10"/>
      <c r="BH416" s="10"/>
      <c r="BI416" s="10"/>
      <c r="BJ416" s="10"/>
      <c r="BK416" s="10"/>
      <c r="BL416" s="10"/>
      <c r="BM416" s="10"/>
      <c r="BN416" s="10"/>
      <c r="BO416" s="10"/>
      <c r="BP416" s="10"/>
      <c r="BQ416" s="10"/>
      <c r="BR416" s="10"/>
      <c r="BS416" s="10"/>
      <c r="BT416" s="10"/>
    </row>
    <row r="417" spans="53:72" ht="18" x14ac:dyDescent="0.2">
      <c r="BA417" s="10"/>
      <c r="BB417" s="10"/>
      <c r="BC417" s="10"/>
      <c r="BD417" s="10"/>
      <c r="BE417" s="10"/>
      <c r="BF417" s="10"/>
      <c r="BG417" s="10"/>
      <c r="BH417" s="10"/>
      <c r="BI417" s="10"/>
      <c r="BJ417" s="10"/>
      <c r="BK417" s="10"/>
      <c r="BL417" s="10"/>
      <c r="BM417" s="10"/>
      <c r="BN417" s="10"/>
      <c r="BO417" s="10"/>
      <c r="BP417" s="10"/>
      <c r="BQ417" s="10"/>
      <c r="BR417" s="10"/>
      <c r="BS417" s="10"/>
      <c r="BT417" s="10"/>
    </row>
    <row r="418" spans="53:72" ht="18" x14ac:dyDescent="0.2">
      <c r="BA418" s="10"/>
      <c r="BB418" s="10"/>
      <c r="BC418" s="10"/>
      <c r="BD418" s="10"/>
      <c r="BE418" s="10"/>
      <c r="BF418" s="10"/>
      <c r="BG418" s="10"/>
      <c r="BH418" s="10"/>
      <c r="BI418" s="10"/>
      <c r="BJ418" s="10"/>
      <c r="BK418" s="10"/>
      <c r="BL418" s="10"/>
      <c r="BM418" s="10"/>
      <c r="BN418" s="10"/>
      <c r="BO418" s="10"/>
      <c r="BP418" s="10"/>
      <c r="BQ418" s="10"/>
      <c r="BR418" s="10"/>
      <c r="BS418" s="10"/>
      <c r="BT418" s="10"/>
    </row>
    <row r="419" spans="53:72" ht="18" x14ac:dyDescent="0.2">
      <c r="BA419" s="10"/>
      <c r="BB419" s="10"/>
      <c r="BC419" s="10"/>
      <c r="BD419" s="10"/>
      <c r="BE419" s="10"/>
      <c r="BF419" s="10"/>
      <c r="BG419" s="10"/>
      <c r="BH419" s="10"/>
      <c r="BI419" s="10"/>
      <c r="BJ419" s="10"/>
      <c r="BK419" s="10"/>
      <c r="BL419" s="10"/>
      <c r="BM419" s="10"/>
      <c r="BN419" s="10"/>
      <c r="BO419" s="10"/>
      <c r="BP419" s="10"/>
      <c r="BQ419" s="10"/>
      <c r="BR419" s="10"/>
      <c r="BS419" s="10"/>
      <c r="BT419" s="10"/>
    </row>
    <row r="420" spans="53:72" ht="18" x14ac:dyDescent="0.2">
      <c r="BA420" s="10"/>
      <c r="BB420" s="10"/>
      <c r="BC420" s="10"/>
      <c r="BD420" s="10"/>
      <c r="BE420" s="10"/>
      <c r="BF420" s="10"/>
      <c r="BG420" s="10"/>
      <c r="BH420" s="10"/>
      <c r="BI420" s="10"/>
      <c r="BJ420" s="10"/>
      <c r="BK420" s="10"/>
      <c r="BL420" s="10"/>
      <c r="BM420" s="10"/>
      <c r="BN420" s="10"/>
      <c r="BO420" s="10"/>
      <c r="BP420" s="10"/>
      <c r="BQ420" s="10"/>
      <c r="BR420" s="10"/>
      <c r="BS420" s="10"/>
      <c r="BT420" s="10"/>
    </row>
    <row r="421" spans="53:72" ht="18" x14ac:dyDescent="0.2">
      <c r="BA421" s="10"/>
      <c r="BB421" s="10"/>
      <c r="BC421" s="10"/>
      <c r="BD421" s="10"/>
      <c r="BE421" s="10"/>
      <c r="BF421" s="10"/>
      <c r="BG421" s="10"/>
      <c r="BH421" s="10"/>
      <c r="BI421" s="10"/>
      <c r="BJ421" s="10"/>
      <c r="BK421" s="10"/>
      <c r="BL421" s="10"/>
      <c r="BM421" s="10"/>
      <c r="BN421" s="10"/>
      <c r="BO421" s="10"/>
      <c r="BP421" s="10"/>
      <c r="BQ421" s="10"/>
      <c r="BR421" s="10"/>
      <c r="BS421" s="10"/>
      <c r="BT421" s="10"/>
    </row>
    <row r="422" spans="53:72" ht="18" x14ac:dyDescent="0.2">
      <c r="BA422" s="10"/>
      <c r="BB422" s="10"/>
      <c r="BC422" s="10"/>
      <c r="BD422" s="10"/>
      <c r="BE422" s="10"/>
      <c r="BF422" s="10"/>
      <c r="BG422" s="10"/>
      <c r="BH422" s="10"/>
      <c r="BI422" s="10"/>
      <c r="BJ422" s="10"/>
      <c r="BK422" s="10"/>
      <c r="BL422" s="10"/>
      <c r="BM422" s="10"/>
      <c r="BN422" s="10"/>
      <c r="BO422" s="10"/>
      <c r="BP422" s="10"/>
      <c r="BQ422" s="10"/>
      <c r="BR422" s="10"/>
      <c r="BS422" s="10"/>
      <c r="BT422" s="10"/>
    </row>
    <row r="423" spans="53:72" ht="18" x14ac:dyDescent="0.2">
      <c r="BA423" s="10"/>
      <c r="BB423" s="10"/>
      <c r="BC423" s="10"/>
      <c r="BD423" s="10"/>
      <c r="BE423" s="10"/>
      <c r="BF423" s="10"/>
      <c r="BG423" s="10"/>
      <c r="BH423" s="10"/>
      <c r="BI423" s="10"/>
      <c r="BJ423" s="10"/>
      <c r="BK423" s="10"/>
      <c r="BL423" s="10"/>
      <c r="BM423" s="10"/>
      <c r="BN423" s="10"/>
      <c r="BO423" s="10"/>
      <c r="BP423" s="10"/>
      <c r="BQ423" s="10"/>
      <c r="BR423" s="10"/>
      <c r="BS423" s="10"/>
      <c r="BT423" s="10"/>
    </row>
    <row r="424" spans="53:72" ht="18" x14ac:dyDescent="0.2">
      <c r="BA424" s="10"/>
      <c r="BB424" s="10"/>
      <c r="BC424" s="10"/>
      <c r="BD424" s="10"/>
      <c r="BE424" s="10"/>
      <c r="BF424" s="10"/>
      <c r="BG424" s="10"/>
      <c r="BH424" s="10"/>
      <c r="BI424" s="10"/>
      <c r="BJ424" s="10"/>
      <c r="BK424" s="10"/>
      <c r="BL424" s="10"/>
      <c r="BM424" s="10"/>
      <c r="BN424" s="10"/>
      <c r="BO424" s="10"/>
      <c r="BP424" s="10"/>
      <c r="BQ424" s="10"/>
      <c r="BR424" s="10"/>
      <c r="BS424" s="10"/>
      <c r="BT424" s="10"/>
    </row>
    <row r="425" spans="53:72" ht="18" x14ac:dyDescent="0.2">
      <c r="BA425" s="10"/>
      <c r="BB425" s="10"/>
      <c r="BC425" s="10"/>
      <c r="BD425" s="10"/>
      <c r="BE425" s="10"/>
      <c r="BF425" s="10"/>
      <c r="BG425" s="10"/>
      <c r="BH425" s="10"/>
      <c r="BI425" s="10"/>
      <c r="BJ425" s="10"/>
      <c r="BK425" s="10"/>
      <c r="BL425" s="10"/>
      <c r="BM425" s="10"/>
      <c r="BN425" s="10"/>
      <c r="BO425" s="10"/>
      <c r="BP425" s="10"/>
      <c r="BQ425" s="10"/>
      <c r="BR425" s="10"/>
      <c r="BS425" s="10"/>
      <c r="BT425" s="10"/>
    </row>
    <row r="426" spans="53:72" ht="18" x14ac:dyDescent="0.2">
      <c r="BA426" s="10"/>
      <c r="BB426" s="10"/>
      <c r="BC426" s="10"/>
      <c r="BD426" s="10"/>
      <c r="BE426" s="10"/>
      <c r="BF426" s="10"/>
      <c r="BG426" s="10"/>
      <c r="BH426" s="10"/>
      <c r="BI426" s="10"/>
      <c r="BJ426" s="10"/>
      <c r="BK426" s="10"/>
      <c r="BL426" s="10"/>
      <c r="BM426" s="10"/>
      <c r="BN426" s="10"/>
      <c r="BO426" s="10"/>
      <c r="BP426" s="10"/>
      <c r="BQ426" s="10"/>
      <c r="BR426" s="10"/>
      <c r="BS426" s="10"/>
      <c r="BT426" s="10"/>
    </row>
    <row r="427" spans="53:72" ht="18" x14ac:dyDescent="0.2">
      <c r="BA427" s="10"/>
      <c r="BB427" s="10"/>
      <c r="BC427" s="10"/>
      <c r="BD427" s="10"/>
      <c r="BE427" s="10"/>
      <c r="BF427" s="10"/>
      <c r="BG427" s="10"/>
      <c r="BH427" s="10"/>
      <c r="BI427" s="10"/>
      <c r="BJ427" s="10"/>
      <c r="BK427" s="10"/>
      <c r="BL427" s="10"/>
      <c r="BM427" s="10"/>
      <c r="BN427" s="10"/>
      <c r="BO427" s="10"/>
      <c r="BP427" s="10"/>
      <c r="BQ427" s="10"/>
      <c r="BR427" s="10"/>
      <c r="BS427" s="10"/>
      <c r="BT427" s="10"/>
    </row>
    <row r="428" spans="53:72" ht="18" x14ac:dyDescent="0.2">
      <c r="BA428" s="10"/>
      <c r="BB428" s="10"/>
      <c r="BC428" s="10"/>
      <c r="BD428" s="10"/>
      <c r="BE428" s="10"/>
      <c r="BF428" s="10"/>
      <c r="BG428" s="10"/>
      <c r="BH428" s="10"/>
      <c r="BI428" s="10"/>
      <c r="BJ428" s="10"/>
      <c r="BK428" s="10"/>
      <c r="BL428" s="10"/>
      <c r="BM428" s="10"/>
      <c r="BN428" s="10"/>
      <c r="BO428" s="10"/>
      <c r="BP428" s="10"/>
      <c r="BQ428" s="10"/>
      <c r="BR428" s="10"/>
      <c r="BS428" s="10"/>
      <c r="BT428" s="10"/>
    </row>
    <row r="429" spans="53:72" ht="18" x14ac:dyDescent="0.2">
      <c r="BA429" s="10"/>
      <c r="BB429" s="10"/>
      <c r="BC429" s="10"/>
      <c r="BD429" s="10"/>
      <c r="BE429" s="10"/>
      <c r="BF429" s="10"/>
      <c r="BG429" s="10"/>
      <c r="BH429" s="10"/>
      <c r="BI429" s="10"/>
      <c r="BJ429" s="10"/>
      <c r="BK429" s="10"/>
      <c r="BL429" s="10"/>
      <c r="BM429" s="10"/>
      <c r="BN429" s="10"/>
      <c r="BO429" s="10"/>
      <c r="BP429" s="10"/>
      <c r="BQ429" s="10"/>
      <c r="BR429" s="10"/>
      <c r="BS429" s="10"/>
      <c r="BT429" s="10"/>
    </row>
    <row r="430" spans="53:72" ht="18" x14ac:dyDescent="0.2">
      <c r="BA430" s="10"/>
      <c r="BB430" s="10"/>
      <c r="BC430" s="10"/>
      <c r="BD430" s="10"/>
      <c r="BE430" s="10"/>
      <c r="BF430" s="10"/>
      <c r="BG430" s="10"/>
      <c r="BH430" s="10"/>
      <c r="BI430" s="10"/>
      <c r="BJ430" s="10"/>
      <c r="BK430" s="10"/>
      <c r="BL430" s="10"/>
      <c r="BM430" s="10"/>
      <c r="BN430" s="10"/>
      <c r="BO430" s="10"/>
      <c r="BP430" s="10"/>
      <c r="BQ430" s="10"/>
      <c r="BR430" s="10"/>
      <c r="BS430" s="10"/>
      <c r="BT430" s="10"/>
    </row>
    <row r="431" spans="53:72" ht="18" x14ac:dyDescent="0.2">
      <c r="BA431" s="10"/>
      <c r="BB431" s="10"/>
      <c r="BC431" s="10"/>
      <c r="BD431" s="10"/>
      <c r="BE431" s="10"/>
      <c r="BF431" s="10"/>
      <c r="BG431" s="10"/>
      <c r="BH431" s="10"/>
      <c r="BI431" s="10"/>
      <c r="BJ431" s="10"/>
      <c r="BK431" s="10"/>
      <c r="BL431" s="10"/>
      <c r="BM431" s="10"/>
      <c r="BN431" s="10"/>
      <c r="BO431" s="10"/>
      <c r="BP431" s="10"/>
      <c r="BQ431" s="10"/>
      <c r="BR431" s="10"/>
      <c r="BS431" s="10"/>
      <c r="BT431" s="10"/>
    </row>
    <row r="432" spans="53:72" ht="18" x14ac:dyDescent="0.2">
      <c r="BA432" s="10"/>
      <c r="BB432" s="10"/>
      <c r="BC432" s="10"/>
      <c r="BD432" s="10"/>
      <c r="BE432" s="10"/>
      <c r="BF432" s="10"/>
      <c r="BG432" s="10"/>
      <c r="BH432" s="10"/>
      <c r="BI432" s="10"/>
      <c r="BJ432" s="10"/>
      <c r="BK432" s="10"/>
      <c r="BL432" s="10"/>
      <c r="BM432" s="10"/>
      <c r="BN432" s="10"/>
      <c r="BO432" s="10"/>
      <c r="BP432" s="10"/>
      <c r="BQ432" s="10"/>
      <c r="BR432" s="10"/>
      <c r="BS432" s="10"/>
      <c r="BT432" s="10"/>
    </row>
    <row r="433" spans="53:72" ht="18" x14ac:dyDescent="0.2">
      <c r="BA433" s="10"/>
      <c r="BB433" s="10"/>
      <c r="BC433" s="10"/>
      <c r="BD433" s="10"/>
      <c r="BE433" s="10"/>
      <c r="BF433" s="10"/>
      <c r="BG433" s="10"/>
      <c r="BH433" s="10"/>
      <c r="BI433" s="10"/>
      <c r="BJ433" s="10"/>
      <c r="BK433" s="10"/>
      <c r="BL433" s="10"/>
      <c r="BM433" s="10"/>
      <c r="BN433" s="10"/>
      <c r="BO433" s="10"/>
      <c r="BP433" s="10"/>
      <c r="BQ433" s="10"/>
      <c r="BR433" s="10"/>
      <c r="BS433" s="10"/>
      <c r="BT433" s="10"/>
    </row>
    <row r="434" spans="53:72" ht="18" x14ac:dyDescent="0.2">
      <c r="BA434" s="10"/>
      <c r="BB434" s="10"/>
      <c r="BC434" s="10"/>
      <c r="BD434" s="10"/>
      <c r="BE434" s="10"/>
      <c r="BF434" s="10"/>
      <c r="BG434" s="10"/>
      <c r="BH434" s="10"/>
      <c r="BI434" s="10"/>
      <c r="BJ434" s="10"/>
      <c r="BK434" s="10"/>
      <c r="BL434" s="10"/>
      <c r="BM434" s="10"/>
      <c r="BN434" s="10"/>
      <c r="BO434" s="10"/>
      <c r="BP434" s="10"/>
      <c r="BQ434" s="10"/>
      <c r="BR434" s="10"/>
      <c r="BS434" s="10"/>
      <c r="BT434" s="10"/>
    </row>
    <row r="435" spans="53:72" ht="18" x14ac:dyDescent="0.2">
      <c r="BA435" s="10"/>
      <c r="BB435" s="10"/>
      <c r="BC435" s="10"/>
      <c r="BD435" s="10"/>
      <c r="BE435" s="10"/>
      <c r="BF435" s="10"/>
      <c r="BG435" s="10"/>
      <c r="BH435" s="10"/>
      <c r="BI435" s="10"/>
      <c r="BJ435" s="10"/>
      <c r="BK435" s="10"/>
      <c r="BL435" s="10"/>
      <c r="BM435" s="10"/>
      <c r="BN435" s="10"/>
      <c r="BO435" s="10"/>
      <c r="BP435" s="10"/>
      <c r="BQ435" s="10"/>
      <c r="BR435" s="10"/>
      <c r="BS435" s="10"/>
      <c r="BT435" s="10"/>
    </row>
    <row r="436" spans="53:72" ht="18" x14ac:dyDescent="0.2">
      <c r="BA436" s="10"/>
      <c r="BB436" s="10"/>
      <c r="BC436" s="10"/>
      <c r="BD436" s="10"/>
      <c r="BE436" s="10"/>
      <c r="BF436" s="10"/>
      <c r="BG436" s="10"/>
      <c r="BH436" s="10"/>
      <c r="BI436" s="10"/>
      <c r="BJ436" s="10"/>
      <c r="BK436" s="10"/>
      <c r="BL436" s="10"/>
      <c r="BM436" s="10"/>
      <c r="BN436" s="10"/>
      <c r="BO436" s="10"/>
      <c r="BP436" s="10"/>
      <c r="BQ436" s="10"/>
      <c r="BR436" s="10"/>
      <c r="BS436" s="10"/>
      <c r="BT436" s="10"/>
    </row>
    <row r="437" spans="53:72" ht="18" x14ac:dyDescent="0.2">
      <c r="BA437" s="10"/>
      <c r="BB437" s="10"/>
      <c r="BC437" s="10"/>
      <c r="BD437" s="10"/>
      <c r="BE437" s="10"/>
      <c r="BF437" s="10"/>
      <c r="BG437" s="10"/>
      <c r="BH437" s="10"/>
      <c r="BI437" s="10"/>
      <c r="BJ437" s="10"/>
      <c r="BK437" s="10"/>
      <c r="BL437" s="10"/>
      <c r="BM437" s="10"/>
      <c r="BN437" s="10"/>
      <c r="BO437" s="10"/>
      <c r="BP437" s="10"/>
      <c r="BQ437" s="10"/>
      <c r="BR437" s="10"/>
      <c r="BS437" s="10"/>
      <c r="BT437" s="10"/>
    </row>
    <row r="438" spans="53:72" ht="18" x14ac:dyDescent="0.2">
      <c r="BA438" s="10"/>
      <c r="BB438" s="10"/>
      <c r="BC438" s="10"/>
      <c r="BD438" s="10"/>
      <c r="BE438" s="10"/>
      <c r="BF438" s="10"/>
      <c r="BG438" s="10"/>
      <c r="BH438" s="10"/>
      <c r="BI438" s="10"/>
      <c r="BJ438" s="10"/>
      <c r="BK438" s="10"/>
      <c r="BL438" s="10"/>
      <c r="BM438" s="10"/>
      <c r="BN438" s="10"/>
      <c r="BO438" s="10"/>
      <c r="BP438" s="10"/>
      <c r="BQ438" s="10"/>
      <c r="BR438" s="10"/>
      <c r="BS438" s="10"/>
      <c r="BT438" s="10"/>
    </row>
    <row r="439" spans="53:72" ht="18" x14ac:dyDescent="0.2">
      <c r="BA439" s="10"/>
      <c r="BB439" s="10"/>
      <c r="BC439" s="10"/>
      <c r="BD439" s="10"/>
      <c r="BE439" s="10"/>
      <c r="BF439" s="10"/>
      <c r="BG439" s="10"/>
      <c r="BH439" s="10"/>
      <c r="BI439" s="10"/>
      <c r="BJ439" s="10"/>
      <c r="BK439" s="10"/>
      <c r="BL439" s="10"/>
      <c r="BM439" s="10"/>
      <c r="BN439" s="10"/>
      <c r="BO439" s="10"/>
      <c r="BP439" s="10"/>
      <c r="BQ439" s="10"/>
      <c r="BR439" s="10"/>
      <c r="BS439" s="10"/>
      <c r="BT439" s="10"/>
    </row>
    <row r="440" spans="53:72" ht="18" x14ac:dyDescent="0.2">
      <c r="BA440" s="10"/>
      <c r="BB440" s="10"/>
      <c r="BC440" s="10"/>
      <c r="BD440" s="10"/>
      <c r="BE440" s="10"/>
      <c r="BF440" s="10"/>
      <c r="BG440" s="10"/>
      <c r="BH440" s="10"/>
      <c r="BI440" s="10"/>
      <c r="BJ440" s="10"/>
      <c r="BK440" s="10"/>
      <c r="BL440" s="10"/>
      <c r="BM440" s="10"/>
      <c r="BN440" s="10"/>
      <c r="BO440" s="10"/>
      <c r="BP440" s="10"/>
      <c r="BQ440" s="10"/>
      <c r="BR440" s="10"/>
      <c r="BS440" s="10"/>
      <c r="BT440" s="10"/>
    </row>
    <row r="441" spans="53:72" ht="18" x14ac:dyDescent="0.2">
      <c r="BA441" s="10"/>
      <c r="BB441" s="10"/>
      <c r="BC441" s="10"/>
      <c r="BD441" s="10"/>
      <c r="BE441" s="10"/>
      <c r="BF441" s="10"/>
      <c r="BG441" s="10"/>
      <c r="BH441" s="10"/>
      <c r="BI441" s="10"/>
      <c r="BJ441" s="10"/>
      <c r="BK441" s="10"/>
      <c r="BL441" s="10"/>
      <c r="BM441" s="10"/>
      <c r="BN441" s="10"/>
      <c r="BO441" s="10"/>
      <c r="BP441" s="10"/>
      <c r="BQ441" s="10"/>
      <c r="BR441" s="10"/>
      <c r="BS441" s="10"/>
      <c r="BT441" s="10"/>
    </row>
    <row r="442" spans="53:72" ht="18" x14ac:dyDescent="0.2">
      <c r="BA442" s="10"/>
      <c r="BB442" s="10"/>
      <c r="BC442" s="10"/>
      <c r="BD442" s="10"/>
      <c r="BE442" s="10"/>
      <c r="BF442" s="10"/>
      <c r="BG442" s="10"/>
      <c r="BH442" s="10"/>
      <c r="BI442" s="10"/>
      <c r="BJ442" s="10"/>
      <c r="BK442" s="10"/>
      <c r="BL442" s="10"/>
      <c r="BM442" s="10"/>
      <c r="BN442" s="10"/>
      <c r="BO442" s="10"/>
      <c r="BP442" s="10"/>
      <c r="BQ442" s="10"/>
      <c r="BR442" s="10"/>
      <c r="BS442" s="10"/>
      <c r="BT442" s="10"/>
    </row>
    <row r="443" spans="53:72" ht="18" x14ac:dyDescent="0.2">
      <c r="BA443" s="10"/>
      <c r="BB443" s="10"/>
      <c r="BC443" s="10"/>
      <c r="BD443" s="10"/>
      <c r="BE443" s="10"/>
      <c r="BF443" s="10"/>
      <c r="BG443" s="10"/>
      <c r="BH443" s="10"/>
      <c r="BI443" s="10"/>
      <c r="BJ443" s="10"/>
      <c r="BK443" s="10"/>
      <c r="BL443" s="10"/>
      <c r="BM443" s="10"/>
      <c r="BN443" s="10"/>
      <c r="BO443" s="10"/>
      <c r="BP443" s="10"/>
      <c r="BQ443" s="10"/>
      <c r="BR443" s="10"/>
      <c r="BS443" s="10"/>
      <c r="BT443" s="10"/>
    </row>
    <row r="444" spans="53:72" ht="18" x14ac:dyDescent="0.2">
      <c r="BA444" s="10"/>
      <c r="BB444" s="10"/>
      <c r="BC444" s="10"/>
      <c r="BD444" s="10"/>
      <c r="BE444" s="10"/>
      <c r="BF444" s="10"/>
      <c r="BG444" s="10"/>
      <c r="BH444" s="10"/>
      <c r="BI444" s="10"/>
      <c r="BJ444" s="10"/>
      <c r="BK444" s="10"/>
      <c r="BL444" s="10"/>
      <c r="BM444" s="10"/>
      <c r="BN444" s="10"/>
      <c r="BO444" s="10"/>
      <c r="BP444" s="10"/>
      <c r="BQ444" s="10"/>
      <c r="BR444" s="10"/>
      <c r="BS444" s="10"/>
      <c r="BT444" s="10"/>
    </row>
    <row r="445" spans="53:72" ht="18" x14ac:dyDescent="0.2">
      <c r="BA445" s="10"/>
      <c r="BB445" s="10"/>
      <c r="BC445" s="10"/>
      <c r="BD445" s="10"/>
      <c r="BE445" s="10"/>
      <c r="BF445" s="10"/>
      <c r="BG445" s="10"/>
      <c r="BH445" s="10"/>
      <c r="BI445" s="10"/>
      <c r="BJ445" s="10"/>
      <c r="BK445" s="10"/>
      <c r="BL445" s="10"/>
      <c r="BM445" s="10"/>
      <c r="BN445" s="10"/>
      <c r="BO445" s="10"/>
      <c r="BP445" s="10"/>
      <c r="BQ445" s="10"/>
      <c r="BR445" s="10"/>
      <c r="BS445" s="10"/>
      <c r="BT445" s="10"/>
    </row>
    <row r="446" spans="53:72" ht="18" x14ac:dyDescent="0.2">
      <c r="BA446" s="10"/>
      <c r="BB446" s="10"/>
      <c r="BC446" s="10"/>
      <c r="BD446" s="10"/>
      <c r="BE446" s="10"/>
      <c r="BF446" s="10"/>
      <c r="BG446" s="10"/>
      <c r="BH446" s="10"/>
      <c r="BI446" s="10"/>
      <c r="BJ446" s="10"/>
      <c r="BK446" s="10"/>
      <c r="BL446" s="10"/>
      <c r="BM446" s="10"/>
      <c r="BN446" s="10"/>
      <c r="BO446" s="10"/>
      <c r="BP446" s="10"/>
      <c r="BQ446" s="10"/>
      <c r="BR446" s="10"/>
      <c r="BS446" s="10"/>
      <c r="BT446" s="10"/>
    </row>
    <row r="447" spans="53:72" ht="18" x14ac:dyDescent="0.2">
      <c r="BA447" s="10"/>
      <c r="BB447" s="10"/>
      <c r="BC447" s="10"/>
      <c r="BD447" s="10"/>
      <c r="BE447" s="10"/>
      <c r="BF447" s="10"/>
      <c r="BG447" s="10"/>
      <c r="BH447" s="10"/>
      <c r="BI447" s="10"/>
      <c r="BJ447" s="10"/>
      <c r="BK447" s="10"/>
      <c r="BL447" s="10"/>
      <c r="BM447" s="10"/>
      <c r="BN447" s="10"/>
      <c r="BO447" s="10"/>
      <c r="BP447" s="10"/>
      <c r="BQ447" s="10"/>
      <c r="BR447" s="10"/>
      <c r="BS447" s="10"/>
      <c r="BT447" s="10"/>
    </row>
    <row r="448" spans="53:72" ht="18" x14ac:dyDescent="0.2">
      <c r="BA448" s="10"/>
      <c r="BB448" s="10"/>
      <c r="BC448" s="10"/>
      <c r="BD448" s="10"/>
      <c r="BE448" s="10"/>
      <c r="BF448" s="10"/>
      <c r="BG448" s="10"/>
      <c r="BH448" s="10"/>
      <c r="BI448" s="10"/>
      <c r="BJ448" s="10"/>
      <c r="BK448" s="10"/>
      <c r="BL448" s="10"/>
      <c r="BM448" s="10"/>
      <c r="BN448" s="10"/>
      <c r="BO448" s="10"/>
      <c r="BP448" s="10"/>
      <c r="BQ448" s="10"/>
      <c r="BR448" s="10"/>
      <c r="BS448" s="10"/>
      <c r="BT448" s="10"/>
    </row>
    <row r="449" spans="53:72" ht="18" x14ac:dyDescent="0.2">
      <c r="BA449" s="10"/>
      <c r="BB449" s="10"/>
      <c r="BC449" s="10"/>
      <c r="BD449" s="10"/>
      <c r="BE449" s="10"/>
      <c r="BF449" s="10"/>
      <c r="BG449" s="10"/>
      <c r="BH449" s="10"/>
      <c r="BI449" s="10"/>
      <c r="BJ449" s="10"/>
      <c r="BK449" s="10"/>
      <c r="BL449" s="10"/>
      <c r="BM449" s="10"/>
      <c r="BN449" s="10"/>
      <c r="BO449" s="10"/>
      <c r="BP449" s="10"/>
      <c r="BQ449" s="10"/>
      <c r="BR449" s="10"/>
      <c r="BS449" s="10"/>
      <c r="BT449" s="10"/>
    </row>
    <row r="450" spans="53:72" ht="18" x14ac:dyDescent="0.2">
      <c r="BA450" s="10"/>
      <c r="BB450" s="10"/>
      <c r="BC450" s="10"/>
      <c r="BD450" s="10"/>
      <c r="BE450" s="10"/>
      <c r="BF450" s="10"/>
      <c r="BG450" s="10"/>
      <c r="BH450" s="10"/>
      <c r="BI450" s="10"/>
      <c r="BJ450" s="10"/>
      <c r="BK450" s="10"/>
      <c r="BL450" s="10"/>
      <c r="BM450" s="10"/>
      <c r="BN450" s="10"/>
      <c r="BO450" s="10"/>
      <c r="BP450" s="10"/>
      <c r="BQ450" s="10"/>
      <c r="BR450" s="10"/>
      <c r="BS450" s="10"/>
      <c r="BT450" s="10"/>
    </row>
    <row r="451" spans="53:72" ht="18" x14ac:dyDescent="0.2">
      <c r="BA451" s="10"/>
      <c r="BB451" s="10"/>
      <c r="BC451" s="10"/>
      <c r="BD451" s="10"/>
      <c r="BE451" s="10"/>
      <c r="BF451" s="10"/>
      <c r="BG451" s="10"/>
      <c r="BH451" s="10"/>
      <c r="BI451" s="10"/>
      <c r="BJ451" s="10"/>
      <c r="BK451" s="10"/>
      <c r="BL451" s="10"/>
      <c r="BM451" s="10"/>
      <c r="BN451" s="10"/>
      <c r="BO451" s="10"/>
      <c r="BP451" s="10"/>
      <c r="BQ451" s="10"/>
      <c r="BR451" s="10"/>
      <c r="BS451" s="10"/>
      <c r="BT451" s="10"/>
    </row>
    <row r="452" spans="53:72" ht="18" x14ac:dyDescent="0.2">
      <c r="BA452" s="10"/>
      <c r="BB452" s="10"/>
      <c r="BC452" s="10"/>
      <c r="BD452" s="10"/>
      <c r="BE452" s="10"/>
      <c r="BF452" s="10"/>
      <c r="BG452" s="10"/>
      <c r="BH452" s="10"/>
      <c r="BI452" s="10"/>
      <c r="BJ452" s="10"/>
      <c r="BK452" s="10"/>
      <c r="BL452" s="10"/>
      <c r="BM452" s="10"/>
      <c r="BN452" s="10"/>
      <c r="BO452" s="10"/>
      <c r="BP452" s="10"/>
      <c r="BQ452" s="10"/>
      <c r="BR452" s="10"/>
      <c r="BS452" s="10"/>
      <c r="BT452" s="10"/>
    </row>
    <row r="453" spans="53:72" ht="18" x14ac:dyDescent="0.2">
      <c r="BA453" s="10"/>
      <c r="BB453" s="10"/>
      <c r="BC453" s="10"/>
      <c r="BD453" s="10"/>
      <c r="BE453" s="10"/>
      <c r="BF453" s="10"/>
      <c r="BG453" s="10"/>
      <c r="BH453" s="10"/>
      <c r="BI453" s="10"/>
      <c r="BJ453" s="10"/>
      <c r="BK453" s="10"/>
      <c r="BL453" s="10"/>
      <c r="BM453" s="10"/>
      <c r="BN453" s="10"/>
      <c r="BO453" s="10"/>
      <c r="BP453" s="10"/>
      <c r="BQ453" s="10"/>
      <c r="BR453" s="10"/>
      <c r="BS453" s="10"/>
      <c r="BT453" s="10"/>
    </row>
    <row r="454" spans="53:72" ht="18" x14ac:dyDescent="0.2">
      <c r="BA454" s="10"/>
      <c r="BB454" s="10"/>
      <c r="BC454" s="10"/>
      <c r="BD454" s="10"/>
      <c r="BE454" s="10"/>
      <c r="BF454" s="10"/>
      <c r="BG454" s="10"/>
      <c r="BH454" s="10"/>
      <c r="BI454" s="10"/>
      <c r="BJ454" s="10"/>
      <c r="BK454" s="10"/>
      <c r="BL454" s="10"/>
      <c r="BM454" s="10"/>
      <c r="BN454" s="10"/>
      <c r="BO454" s="10"/>
      <c r="BP454" s="10"/>
      <c r="BQ454" s="10"/>
      <c r="BR454" s="10"/>
      <c r="BS454" s="10"/>
      <c r="BT454" s="10"/>
    </row>
    <row r="455" spans="53:72" ht="18" x14ac:dyDescent="0.2">
      <c r="BA455" s="10"/>
      <c r="BB455" s="10"/>
      <c r="BC455" s="10"/>
      <c r="BD455" s="10"/>
      <c r="BE455" s="10"/>
      <c r="BF455" s="10"/>
      <c r="BG455" s="10"/>
      <c r="BH455" s="10"/>
      <c r="BI455" s="10"/>
      <c r="BJ455" s="10"/>
      <c r="BK455" s="10"/>
      <c r="BL455" s="10"/>
      <c r="BM455" s="10"/>
      <c r="BN455" s="10"/>
      <c r="BO455" s="10"/>
      <c r="BP455" s="10"/>
      <c r="BQ455" s="10"/>
      <c r="BR455" s="10"/>
      <c r="BS455" s="10"/>
      <c r="BT455" s="10"/>
    </row>
    <row r="456" spans="53:72" ht="18" x14ac:dyDescent="0.2">
      <c r="BA456" s="10"/>
      <c r="BB456" s="10"/>
      <c r="BC456" s="10"/>
      <c r="BD456" s="10"/>
      <c r="BE456" s="10"/>
      <c r="BF456" s="10"/>
      <c r="BG456" s="10"/>
      <c r="BH456" s="10"/>
      <c r="BI456" s="10"/>
      <c r="BJ456" s="10"/>
      <c r="BK456" s="10"/>
      <c r="BL456" s="10"/>
      <c r="BM456" s="10"/>
      <c r="BN456" s="10"/>
      <c r="BO456" s="10"/>
      <c r="BP456" s="10"/>
      <c r="BQ456" s="10"/>
      <c r="BR456" s="10"/>
      <c r="BS456" s="10"/>
      <c r="BT456" s="10"/>
    </row>
    <row r="457" spans="53:72" ht="18" x14ac:dyDescent="0.2">
      <c r="BA457" s="10"/>
      <c r="BB457" s="10"/>
      <c r="BC457" s="10"/>
      <c r="BD457" s="10"/>
      <c r="BE457" s="10"/>
      <c r="BF457" s="10"/>
      <c r="BG457" s="10"/>
      <c r="BH457" s="10"/>
      <c r="BI457" s="10"/>
      <c r="BJ457" s="10"/>
      <c r="BK457" s="10"/>
      <c r="BL457" s="10"/>
      <c r="BM457" s="10"/>
      <c r="BN457" s="10"/>
      <c r="BO457" s="10"/>
      <c r="BP457" s="10"/>
      <c r="BQ457" s="10"/>
      <c r="BR457" s="10"/>
      <c r="BS457" s="10"/>
      <c r="BT457" s="10"/>
    </row>
    <row r="458" spans="53:72" ht="18" x14ac:dyDescent="0.2">
      <c r="BA458" s="10"/>
      <c r="BB458" s="10"/>
      <c r="BC458" s="10"/>
      <c r="BD458" s="10"/>
      <c r="BE458" s="10"/>
      <c r="BF458" s="10"/>
      <c r="BG458" s="10"/>
      <c r="BH458" s="10"/>
      <c r="BI458" s="10"/>
      <c r="BJ458" s="10"/>
      <c r="BK458" s="10"/>
      <c r="BL458" s="10"/>
      <c r="BM458" s="10"/>
      <c r="BN458" s="10"/>
      <c r="BO458" s="10"/>
      <c r="BP458" s="10"/>
      <c r="BQ458" s="10"/>
      <c r="BR458" s="10"/>
      <c r="BS458" s="10"/>
      <c r="BT458" s="10"/>
    </row>
    <row r="459" spans="53:72" ht="18" x14ac:dyDescent="0.2">
      <c r="BA459" s="10"/>
      <c r="BB459" s="10"/>
      <c r="BC459" s="10"/>
      <c r="BD459" s="10"/>
      <c r="BE459" s="10"/>
      <c r="BF459" s="10"/>
      <c r="BG459" s="10"/>
      <c r="BH459" s="10"/>
      <c r="BI459" s="10"/>
      <c r="BJ459" s="10"/>
      <c r="BK459" s="10"/>
      <c r="BL459" s="10"/>
      <c r="BM459" s="10"/>
      <c r="BN459" s="10"/>
      <c r="BO459" s="10"/>
      <c r="BP459" s="10"/>
      <c r="BQ459" s="10"/>
      <c r="BR459" s="10"/>
      <c r="BS459" s="10"/>
      <c r="BT459" s="10"/>
    </row>
    <row r="460" spans="53:72" ht="18" x14ac:dyDescent="0.2">
      <c r="BA460" s="10"/>
      <c r="BB460" s="10"/>
      <c r="BC460" s="10"/>
      <c r="BD460" s="10"/>
      <c r="BE460" s="10"/>
      <c r="BF460" s="10"/>
      <c r="BG460" s="10"/>
      <c r="BH460" s="10"/>
      <c r="BI460" s="10"/>
      <c r="BJ460" s="10"/>
      <c r="BK460" s="10"/>
      <c r="BL460" s="10"/>
      <c r="BM460" s="10"/>
      <c r="BN460" s="10"/>
      <c r="BO460" s="10"/>
      <c r="BP460" s="10"/>
      <c r="BQ460" s="10"/>
      <c r="BR460" s="10"/>
      <c r="BS460" s="10"/>
      <c r="BT460" s="10"/>
    </row>
    <row r="461" spans="53:72" ht="18" x14ac:dyDescent="0.2">
      <c r="BA461" s="10"/>
      <c r="BB461" s="10"/>
      <c r="BC461" s="10"/>
      <c r="BD461" s="10"/>
      <c r="BE461" s="10"/>
      <c r="BF461" s="10"/>
      <c r="BG461" s="10"/>
      <c r="BH461" s="10"/>
      <c r="BI461" s="10"/>
      <c r="BJ461" s="10"/>
      <c r="BK461" s="10"/>
      <c r="BL461" s="10"/>
      <c r="BM461" s="10"/>
      <c r="BN461" s="10"/>
      <c r="BO461" s="10"/>
      <c r="BP461" s="10"/>
      <c r="BQ461" s="10"/>
      <c r="BR461" s="10"/>
      <c r="BS461" s="10"/>
      <c r="BT461" s="10"/>
    </row>
    <row r="462" spans="53:72" ht="18" x14ac:dyDescent="0.2">
      <c r="BA462" s="10"/>
      <c r="BB462" s="10"/>
      <c r="BC462" s="10"/>
      <c r="BD462" s="10"/>
      <c r="BE462" s="10"/>
      <c r="BF462" s="10"/>
      <c r="BG462" s="10"/>
      <c r="BH462" s="10"/>
      <c r="BI462" s="10"/>
      <c r="BJ462" s="10"/>
      <c r="BK462" s="10"/>
      <c r="BL462" s="10"/>
      <c r="BM462" s="10"/>
      <c r="BN462" s="10"/>
      <c r="BO462" s="10"/>
      <c r="BP462" s="10"/>
      <c r="BQ462" s="10"/>
      <c r="BR462" s="10"/>
      <c r="BS462" s="10"/>
      <c r="BT462" s="10"/>
    </row>
    <row r="463" spans="53:72" ht="18" x14ac:dyDescent="0.2">
      <c r="BA463" s="10"/>
      <c r="BB463" s="10"/>
      <c r="BC463" s="10"/>
      <c r="BD463" s="10"/>
      <c r="BE463" s="10"/>
      <c r="BF463" s="10"/>
      <c r="BG463" s="10"/>
      <c r="BH463" s="10"/>
      <c r="BI463" s="10"/>
      <c r="BJ463" s="10"/>
      <c r="BK463" s="10"/>
      <c r="BL463" s="10"/>
      <c r="BM463" s="10"/>
      <c r="BN463" s="10"/>
      <c r="BO463" s="10"/>
      <c r="BP463" s="10"/>
      <c r="BQ463" s="10"/>
      <c r="BR463" s="10"/>
      <c r="BS463" s="10"/>
      <c r="BT463" s="10"/>
    </row>
    <row r="464" spans="53:72" ht="18" x14ac:dyDescent="0.2">
      <c r="BA464" s="10"/>
      <c r="BB464" s="10"/>
      <c r="BC464" s="10"/>
      <c r="BD464" s="10"/>
      <c r="BE464" s="10"/>
      <c r="BF464" s="10"/>
      <c r="BG464" s="10"/>
      <c r="BH464" s="10"/>
      <c r="BI464" s="10"/>
      <c r="BJ464" s="10"/>
      <c r="BK464" s="10"/>
      <c r="BL464" s="10"/>
      <c r="BM464" s="10"/>
      <c r="BN464" s="10"/>
      <c r="BO464" s="10"/>
      <c r="BP464" s="10"/>
      <c r="BQ464" s="10"/>
      <c r="BR464" s="10"/>
      <c r="BS464" s="10"/>
      <c r="BT464" s="10"/>
    </row>
    <row r="465" spans="53:72" ht="18" x14ac:dyDescent="0.2">
      <c r="BA465" s="10"/>
      <c r="BB465" s="10"/>
      <c r="BC465" s="10"/>
      <c r="BD465" s="10"/>
      <c r="BE465" s="10"/>
      <c r="BF465" s="10"/>
      <c r="BG465" s="10"/>
      <c r="BH465" s="10"/>
      <c r="BI465" s="10"/>
      <c r="BJ465" s="10"/>
      <c r="BK465" s="10"/>
      <c r="BL465" s="10"/>
      <c r="BM465" s="10"/>
      <c r="BN465" s="10"/>
      <c r="BO465" s="10"/>
      <c r="BP465" s="10"/>
      <c r="BQ465" s="10"/>
      <c r="BR465" s="10"/>
      <c r="BS465" s="10"/>
      <c r="BT465" s="10"/>
    </row>
    <row r="466" spans="53:72" ht="18" x14ac:dyDescent="0.2">
      <c r="BA466" s="10"/>
      <c r="BB466" s="10"/>
      <c r="BC466" s="10"/>
      <c r="BD466" s="10"/>
      <c r="BE466" s="10"/>
      <c r="BF466" s="10"/>
      <c r="BG466" s="10"/>
      <c r="BH466" s="10"/>
      <c r="BI466" s="10"/>
      <c r="BJ466" s="10"/>
      <c r="BK466" s="10"/>
      <c r="BL466" s="10"/>
      <c r="BM466" s="10"/>
      <c r="BN466" s="10"/>
      <c r="BO466" s="10"/>
      <c r="BP466" s="10"/>
      <c r="BQ466" s="10"/>
      <c r="BR466" s="10"/>
      <c r="BS466" s="10"/>
      <c r="BT466" s="10"/>
    </row>
    <row r="467" spans="53:72" ht="18" x14ac:dyDescent="0.2">
      <c r="BA467" s="10"/>
      <c r="BB467" s="10"/>
      <c r="BC467" s="10"/>
      <c r="BD467" s="10"/>
      <c r="BE467" s="10"/>
      <c r="BF467" s="10"/>
      <c r="BG467" s="10"/>
      <c r="BH467" s="10"/>
      <c r="BI467" s="10"/>
      <c r="BJ467" s="10"/>
      <c r="BK467" s="10"/>
      <c r="BL467" s="10"/>
      <c r="BM467" s="10"/>
      <c r="BN467" s="10"/>
      <c r="BO467" s="10"/>
      <c r="BP467" s="10"/>
      <c r="BQ467" s="10"/>
      <c r="BR467" s="10"/>
      <c r="BS467" s="10"/>
      <c r="BT467" s="10"/>
    </row>
    <row r="468" spans="53:72" ht="18" x14ac:dyDescent="0.2">
      <c r="BA468" s="10"/>
      <c r="BB468" s="10"/>
      <c r="BC468" s="10"/>
      <c r="BD468" s="10"/>
      <c r="BE468" s="10"/>
      <c r="BF468" s="10"/>
      <c r="BG468" s="10"/>
      <c r="BH468" s="10"/>
      <c r="BI468" s="10"/>
      <c r="BJ468" s="10"/>
      <c r="BK468" s="10"/>
      <c r="BL468" s="10"/>
      <c r="BM468" s="10"/>
      <c r="BN468" s="10"/>
      <c r="BO468" s="10"/>
      <c r="BP468" s="10"/>
      <c r="BQ468" s="10"/>
      <c r="BR468" s="10"/>
      <c r="BS468" s="10"/>
      <c r="BT468" s="10"/>
    </row>
    <row r="469" spans="53:72" ht="18" x14ac:dyDescent="0.2">
      <c r="BA469" s="10"/>
      <c r="BB469" s="10"/>
      <c r="BC469" s="10"/>
      <c r="BD469" s="10"/>
      <c r="BE469" s="10"/>
      <c r="BF469" s="10"/>
      <c r="BG469" s="10"/>
      <c r="BH469" s="10"/>
      <c r="BI469" s="10"/>
      <c r="BJ469" s="10"/>
      <c r="BK469" s="10"/>
      <c r="BL469" s="10"/>
      <c r="BM469" s="10"/>
      <c r="BN469" s="10"/>
      <c r="BO469" s="10"/>
      <c r="BP469" s="10"/>
      <c r="BQ469" s="10"/>
      <c r="BR469" s="10"/>
      <c r="BS469" s="10"/>
      <c r="BT469" s="10"/>
    </row>
    <row r="470" spans="53:72" ht="18" x14ac:dyDescent="0.2">
      <c r="BA470" s="10"/>
      <c r="BB470" s="10"/>
      <c r="BC470" s="10"/>
      <c r="BD470" s="10"/>
      <c r="BE470" s="10"/>
      <c r="BF470" s="10"/>
      <c r="BG470" s="10"/>
      <c r="BH470" s="10"/>
      <c r="BI470" s="10"/>
      <c r="BJ470" s="10"/>
      <c r="BK470" s="10"/>
      <c r="BL470" s="10"/>
      <c r="BM470" s="10"/>
      <c r="BN470" s="10"/>
      <c r="BO470" s="10"/>
      <c r="BP470" s="10"/>
      <c r="BQ470" s="10"/>
      <c r="BR470" s="10"/>
      <c r="BS470" s="10"/>
      <c r="BT470" s="10"/>
    </row>
    <row r="471" spans="53:72" ht="18" x14ac:dyDescent="0.2">
      <c r="BA471" s="10"/>
      <c r="BB471" s="10"/>
      <c r="BC471" s="10"/>
      <c r="BD471" s="10"/>
      <c r="BE471" s="10"/>
      <c r="BF471" s="10"/>
      <c r="BG471" s="10"/>
      <c r="BH471" s="10"/>
      <c r="BI471" s="10"/>
      <c r="BJ471" s="10"/>
      <c r="BK471" s="10"/>
      <c r="BL471" s="10"/>
      <c r="BM471" s="10"/>
      <c r="BN471" s="10"/>
      <c r="BO471" s="10"/>
      <c r="BP471" s="10"/>
      <c r="BQ471" s="10"/>
      <c r="BR471" s="10"/>
      <c r="BS471" s="10"/>
      <c r="BT471" s="10"/>
    </row>
    <row r="472" spans="53:72" ht="18" x14ac:dyDescent="0.2">
      <c r="BA472" s="10"/>
      <c r="BB472" s="10"/>
      <c r="BC472" s="10"/>
      <c r="BD472" s="10"/>
      <c r="BE472" s="10"/>
      <c r="BF472" s="10"/>
      <c r="BG472" s="10"/>
      <c r="BH472" s="10"/>
      <c r="BI472" s="10"/>
      <c r="BJ472" s="10"/>
      <c r="BK472" s="10"/>
      <c r="BL472" s="10"/>
      <c r="BM472" s="10"/>
      <c r="BN472" s="10"/>
      <c r="BO472" s="10"/>
      <c r="BP472" s="10"/>
      <c r="BQ472" s="10"/>
      <c r="BR472" s="10"/>
      <c r="BS472" s="10"/>
      <c r="BT472" s="10"/>
    </row>
    <row r="473" spans="53:72" ht="18" x14ac:dyDescent="0.2">
      <c r="BA473" s="10"/>
      <c r="BB473" s="10"/>
      <c r="BC473" s="10"/>
      <c r="BD473" s="10"/>
      <c r="BE473" s="10"/>
      <c r="BF473" s="10"/>
      <c r="BG473" s="10"/>
      <c r="BH473" s="10"/>
      <c r="BI473" s="10"/>
      <c r="BJ473" s="10"/>
      <c r="BK473" s="10"/>
      <c r="BL473" s="10"/>
      <c r="BM473" s="10"/>
      <c r="BN473" s="10"/>
      <c r="BO473" s="10"/>
      <c r="BP473" s="10"/>
      <c r="BQ473" s="10"/>
      <c r="BR473" s="10"/>
      <c r="BS473" s="10"/>
      <c r="BT473" s="10"/>
    </row>
    <row r="474" spans="53:72" ht="18" x14ac:dyDescent="0.2">
      <c r="BA474" s="10"/>
      <c r="BB474" s="10"/>
      <c r="BC474" s="10"/>
      <c r="BD474" s="10"/>
      <c r="BE474" s="10"/>
      <c r="BF474" s="10"/>
      <c r="BG474" s="10"/>
      <c r="BH474" s="10"/>
      <c r="BI474" s="10"/>
      <c r="BJ474" s="10"/>
      <c r="BK474" s="10"/>
      <c r="BL474" s="10"/>
      <c r="BM474" s="10"/>
      <c r="BN474" s="10"/>
      <c r="BO474" s="10"/>
      <c r="BP474" s="10"/>
      <c r="BQ474" s="10"/>
      <c r="BR474" s="10"/>
      <c r="BS474" s="10"/>
      <c r="BT474" s="10"/>
    </row>
    <row r="475" spans="53:72" ht="18" x14ac:dyDescent="0.2">
      <c r="BA475" s="10"/>
      <c r="BB475" s="10"/>
      <c r="BC475" s="10"/>
      <c r="BD475" s="10"/>
      <c r="BE475" s="10"/>
      <c r="BF475" s="10"/>
      <c r="BG475" s="10"/>
      <c r="BH475" s="10"/>
      <c r="BI475" s="10"/>
      <c r="BJ475" s="10"/>
      <c r="BK475" s="10"/>
      <c r="BL475" s="10"/>
      <c r="BM475" s="10"/>
      <c r="BN475" s="10"/>
      <c r="BO475" s="10"/>
      <c r="BP475" s="10"/>
      <c r="BQ475" s="10"/>
      <c r="BR475" s="10"/>
      <c r="BS475" s="10"/>
      <c r="BT475" s="10"/>
    </row>
    <row r="476" spans="53:72" ht="18" x14ac:dyDescent="0.2">
      <c r="BA476" s="10"/>
      <c r="BB476" s="10"/>
      <c r="BC476" s="10"/>
      <c r="BD476" s="10"/>
      <c r="BE476" s="10"/>
      <c r="BF476" s="10"/>
      <c r="BG476" s="10"/>
      <c r="BH476" s="10"/>
      <c r="BI476" s="10"/>
      <c r="BJ476" s="10"/>
      <c r="BK476" s="10"/>
      <c r="BL476" s="10"/>
      <c r="BM476" s="10"/>
      <c r="BN476" s="10"/>
      <c r="BO476" s="10"/>
      <c r="BP476" s="10"/>
      <c r="BQ476" s="10"/>
      <c r="BR476" s="10"/>
      <c r="BS476" s="10"/>
      <c r="BT476" s="10"/>
    </row>
    <row r="477" spans="53:72" ht="18" x14ac:dyDescent="0.2">
      <c r="BA477" s="10"/>
      <c r="BB477" s="10"/>
      <c r="BC477" s="10"/>
      <c r="BD477" s="10"/>
      <c r="BE477" s="10"/>
      <c r="BF477" s="10"/>
      <c r="BG477" s="10"/>
      <c r="BH477" s="10"/>
      <c r="BI477" s="10"/>
      <c r="BJ477" s="10"/>
      <c r="BK477" s="10"/>
      <c r="BL477" s="10"/>
      <c r="BM477" s="10"/>
      <c r="BN477" s="10"/>
      <c r="BO477" s="10"/>
      <c r="BP477" s="10"/>
      <c r="BQ477" s="10"/>
      <c r="BR477" s="10"/>
      <c r="BS477" s="10"/>
      <c r="BT477" s="10"/>
    </row>
    <row r="478" spans="53:72" ht="18" x14ac:dyDescent="0.2">
      <c r="BA478" s="10"/>
      <c r="BB478" s="10"/>
      <c r="BC478" s="10"/>
      <c r="BD478" s="10"/>
      <c r="BE478" s="10"/>
      <c r="BF478" s="10"/>
      <c r="BG478" s="10"/>
      <c r="BH478" s="10"/>
      <c r="BI478" s="10"/>
      <c r="BJ478" s="10"/>
      <c r="BK478" s="10"/>
      <c r="BL478" s="10"/>
      <c r="BM478" s="10"/>
      <c r="BN478" s="10"/>
      <c r="BO478" s="10"/>
      <c r="BP478" s="10"/>
      <c r="BQ478" s="10"/>
      <c r="BR478" s="10"/>
      <c r="BS478" s="10"/>
      <c r="BT478" s="10"/>
    </row>
    <row r="479" spans="53:72" ht="18" x14ac:dyDescent="0.2">
      <c r="BA479" s="10"/>
      <c r="BB479" s="10"/>
      <c r="BC479" s="10"/>
      <c r="BD479" s="10"/>
      <c r="BE479" s="10"/>
      <c r="BF479" s="10"/>
      <c r="BG479" s="10"/>
      <c r="BH479" s="10"/>
      <c r="BI479" s="10"/>
      <c r="BJ479" s="10"/>
      <c r="BK479" s="10"/>
      <c r="BL479" s="10"/>
      <c r="BM479" s="10"/>
      <c r="BN479" s="10"/>
      <c r="BO479" s="10"/>
      <c r="BP479" s="10"/>
      <c r="BQ479" s="10"/>
      <c r="BR479" s="10"/>
      <c r="BS479" s="10"/>
      <c r="BT479" s="10"/>
    </row>
    <row r="480" spans="53:72" ht="18" x14ac:dyDescent="0.2">
      <c r="BA480" s="10"/>
      <c r="BB480" s="10"/>
      <c r="BC480" s="10"/>
      <c r="BD480" s="10"/>
      <c r="BE480" s="10"/>
      <c r="BF480" s="10"/>
      <c r="BG480" s="10"/>
      <c r="BH480" s="10"/>
      <c r="BI480" s="10"/>
      <c r="BJ480" s="10"/>
      <c r="BK480" s="10"/>
      <c r="BL480" s="10"/>
      <c r="BM480" s="10"/>
      <c r="BN480" s="10"/>
      <c r="BO480" s="10"/>
      <c r="BP480" s="10"/>
      <c r="BQ480" s="10"/>
      <c r="BR480" s="10"/>
      <c r="BS480" s="10"/>
      <c r="BT480" s="10"/>
    </row>
    <row r="481" spans="53:72" ht="18" x14ac:dyDescent="0.2">
      <c r="BA481" s="10"/>
      <c r="BB481" s="10"/>
      <c r="BC481" s="10"/>
      <c r="BD481" s="10"/>
      <c r="BE481" s="10"/>
      <c r="BF481" s="10"/>
      <c r="BG481" s="10"/>
      <c r="BH481" s="10"/>
      <c r="BI481" s="10"/>
      <c r="BJ481" s="10"/>
      <c r="BK481" s="10"/>
      <c r="BL481" s="10"/>
      <c r="BM481" s="10"/>
      <c r="BN481" s="10"/>
      <c r="BO481" s="10"/>
      <c r="BP481" s="10"/>
      <c r="BQ481" s="10"/>
      <c r="BR481" s="10"/>
      <c r="BS481" s="10"/>
      <c r="BT481" s="10"/>
    </row>
    <row r="482" spans="53:72" ht="18" x14ac:dyDescent="0.2">
      <c r="BA482" s="10"/>
      <c r="BB482" s="10"/>
      <c r="BC482" s="10"/>
      <c r="BD482" s="10"/>
      <c r="BE482" s="10"/>
      <c r="BF482" s="10"/>
      <c r="BG482" s="10"/>
      <c r="BH482" s="10"/>
      <c r="BI482" s="10"/>
      <c r="BJ482" s="10"/>
      <c r="BK482" s="10"/>
      <c r="BL482" s="10"/>
      <c r="BM482" s="10"/>
      <c r="BN482" s="10"/>
      <c r="BO482" s="10"/>
      <c r="BP482" s="10"/>
      <c r="BQ482" s="10"/>
      <c r="BR482" s="10"/>
      <c r="BS482" s="10"/>
      <c r="BT482" s="10"/>
    </row>
    <row r="483" spans="53:72" ht="18" x14ac:dyDescent="0.2">
      <c r="BA483" s="10"/>
      <c r="BB483" s="10"/>
      <c r="BC483" s="10"/>
      <c r="BD483" s="10"/>
      <c r="BE483" s="10"/>
      <c r="BF483" s="10"/>
      <c r="BG483" s="10"/>
      <c r="BH483" s="10"/>
      <c r="BI483" s="10"/>
      <c r="BJ483" s="10"/>
      <c r="BK483" s="10"/>
      <c r="BL483" s="10"/>
      <c r="BM483" s="10"/>
      <c r="BN483" s="10"/>
      <c r="BO483" s="10"/>
      <c r="BP483" s="10"/>
      <c r="BQ483" s="10"/>
      <c r="BR483" s="10"/>
      <c r="BS483" s="10"/>
      <c r="BT483" s="10"/>
    </row>
    <row r="484" spans="53:72" ht="18" x14ac:dyDescent="0.2">
      <c r="BA484" s="10"/>
      <c r="BB484" s="10"/>
      <c r="BC484" s="10"/>
      <c r="BD484" s="10"/>
      <c r="BE484" s="10"/>
      <c r="BF484" s="10"/>
      <c r="BG484" s="10"/>
      <c r="BH484" s="10"/>
      <c r="BI484" s="10"/>
      <c r="BJ484" s="10"/>
      <c r="BK484" s="10"/>
      <c r="BL484" s="10"/>
      <c r="BM484" s="10"/>
      <c r="BN484" s="10"/>
      <c r="BO484" s="10"/>
      <c r="BP484" s="10"/>
      <c r="BQ484" s="10"/>
      <c r="BR484" s="10"/>
      <c r="BS484" s="10"/>
      <c r="BT484" s="10"/>
    </row>
    <row r="485" spans="53:72" ht="18" x14ac:dyDescent="0.2">
      <c r="BA485" s="10"/>
      <c r="BB485" s="10"/>
      <c r="BC485" s="10"/>
      <c r="BD485" s="10"/>
      <c r="BE485" s="10"/>
      <c r="BF485" s="10"/>
      <c r="BG485" s="10"/>
      <c r="BH485" s="10"/>
      <c r="BI485" s="10"/>
      <c r="BJ485" s="10"/>
      <c r="BK485" s="10"/>
      <c r="BL485" s="10"/>
      <c r="BM485" s="10"/>
      <c r="BN485" s="10"/>
      <c r="BO485" s="10"/>
      <c r="BP485" s="10"/>
      <c r="BQ485" s="10"/>
      <c r="BR485" s="10"/>
      <c r="BS485" s="10"/>
      <c r="BT485" s="10"/>
    </row>
    <row r="486" spans="53:72" ht="18" x14ac:dyDescent="0.2">
      <c r="BA486" s="10"/>
      <c r="BB486" s="10"/>
      <c r="BC486" s="10"/>
      <c r="BD486" s="10"/>
      <c r="BE486" s="10"/>
      <c r="BF486" s="10"/>
      <c r="BG486" s="10"/>
      <c r="BH486" s="10"/>
      <c r="BI486" s="10"/>
      <c r="BJ486" s="10"/>
      <c r="BK486" s="10"/>
      <c r="BL486" s="10"/>
      <c r="BM486" s="10"/>
      <c r="BN486" s="10"/>
      <c r="BO486" s="10"/>
      <c r="BP486" s="10"/>
      <c r="BQ486" s="10"/>
      <c r="BR486" s="10"/>
      <c r="BS486" s="10"/>
      <c r="BT486" s="10"/>
    </row>
    <row r="487" spans="53:72" ht="18" x14ac:dyDescent="0.2">
      <c r="BA487" s="10"/>
      <c r="BB487" s="10"/>
      <c r="BC487" s="10"/>
      <c r="BD487" s="10"/>
      <c r="BE487" s="10"/>
      <c r="BF487" s="10"/>
      <c r="BG487" s="10"/>
      <c r="BH487" s="10"/>
      <c r="BI487" s="10"/>
      <c r="BJ487" s="10"/>
      <c r="BK487" s="10"/>
      <c r="BL487" s="10"/>
      <c r="BM487" s="10"/>
      <c r="BN487" s="10"/>
      <c r="BO487" s="10"/>
      <c r="BP487" s="10"/>
      <c r="BQ487" s="10"/>
      <c r="BR487" s="10"/>
      <c r="BS487" s="10"/>
      <c r="BT487" s="10"/>
    </row>
    <row r="488" spans="53:72" ht="18" x14ac:dyDescent="0.2">
      <c r="BA488" s="10"/>
      <c r="BB488" s="10"/>
      <c r="BC488" s="10"/>
      <c r="BD488" s="10"/>
      <c r="BE488" s="10"/>
      <c r="BF488" s="10"/>
      <c r="BG488" s="10"/>
      <c r="BH488" s="10"/>
      <c r="BI488" s="10"/>
      <c r="BJ488" s="10"/>
      <c r="BK488" s="10"/>
      <c r="BL488" s="10"/>
      <c r="BM488" s="10"/>
      <c r="BN488" s="10"/>
      <c r="BO488" s="10"/>
      <c r="BP488" s="10"/>
      <c r="BQ488" s="10"/>
      <c r="BR488" s="10"/>
      <c r="BS488" s="10"/>
      <c r="BT488" s="10"/>
    </row>
    <row r="489" spans="53:72" ht="18" x14ac:dyDescent="0.2">
      <c r="BA489" s="10"/>
      <c r="BB489" s="10"/>
      <c r="BC489" s="10"/>
      <c r="BD489" s="10"/>
      <c r="BE489" s="10"/>
      <c r="BF489" s="10"/>
      <c r="BG489" s="10"/>
      <c r="BH489" s="10"/>
      <c r="BI489" s="10"/>
      <c r="BJ489" s="10"/>
      <c r="BK489" s="10"/>
      <c r="BL489" s="10"/>
      <c r="BM489" s="10"/>
      <c r="BN489" s="10"/>
      <c r="BO489" s="10"/>
      <c r="BP489" s="10"/>
      <c r="BQ489" s="10"/>
      <c r="BR489" s="10"/>
      <c r="BS489" s="10"/>
      <c r="BT489" s="10"/>
    </row>
    <row r="490" spans="53:72" ht="18" x14ac:dyDescent="0.2">
      <c r="BA490" s="10"/>
      <c r="BB490" s="10"/>
      <c r="BC490" s="10"/>
      <c r="BD490" s="10"/>
      <c r="BE490" s="10"/>
      <c r="BF490" s="10"/>
      <c r="BG490" s="10"/>
      <c r="BH490" s="10"/>
      <c r="BI490" s="10"/>
      <c r="BJ490" s="10"/>
      <c r="BK490" s="10"/>
      <c r="BL490" s="10"/>
      <c r="BM490" s="10"/>
      <c r="BN490" s="10"/>
      <c r="BO490" s="10"/>
      <c r="BP490" s="10"/>
      <c r="BQ490" s="10"/>
      <c r="BR490" s="10"/>
      <c r="BS490" s="10"/>
      <c r="BT490" s="10"/>
    </row>
    <row r="491" spans="53:72" ht="18" x14ac:dyDescent="0.2">
      <c r="BA491" s="10"/>
      <c r="BB491" s="10"/>
      <c r="BC491" s="10"/>
      <c r="BD491" s="10"/>
      <c r="BE491" s="10"/>
      <c r="BF491" s="10"/>
      <c r="BG491" s="10"/>
      <c r="BH491" s="10"/>
      <c r="BI491" s="10"/>
      <c r="BJ491" s="10"/>
      <c r="BK491" s="10"/>
      <c r="BL491" s="10"/>
      <c r="BM491" s="10"/>
      <c r="BN491" s="10"/>
      <c r="BO491" s="10"/>
      <c r="BP491" s="10"/>
      <c r="BQ491" s="10"/>
      <c r="BR491" s="10"/>
      <c r="BS491" s="10"/>
      <c r="BT491" s="10"/>
    </row>
    <row r="492" spans="53:72" ht="18" x14ac:dyDescent="0.2">
      <c r="BA492" s="10"/>
      <c r="BB492" s="10"/>
      <c r="BC492" s="10"/>
      <c r="BD492" s="10"/>
      <c r="BE492" s="10"/>
      <c r="BF492" s="10"/>
      <c r="BG492" s="10"/>
      <c r="BH492" s="10"/>
      <c r="BI492" s="10"/>
      <c r="BJ492" s="10"/>
      <c r="BK492" s="10"/>
      <c r="BL492" s="10"/>
      <c r="BM492" s="10"/>
      <c r="BN492" s="10"/>
      <c r="BO492" s="10"/>
      <c r="BP492" s="10"/>
      <c r="BQ492" s="10"/>
      <c r="BR492" s="10"/>
      <c r="BS492" s="10"/>
      <c r="BT492" s="10"/>
    </row>
    <row r="493" spans="53:72" ht="18" x14ac:dyDescent="0.2">
      <c r="BA493" s="10"/>
      <c r="BB493" s="10"/>
      <c r="BC493" s="10"/>
      <c r="BD493" s="10"/>
      <c r="BE493" s="10"/>
      <c r="BF493" s="10"/>
      <c r="BG493" s="10"/>
      <c r="BH493" s="10"/>
      <c r="BI493" s="10"/>
      <c r="BJ493" s="10"/>
      <c r="BK493" s="10"/>
      <c r="BL493" s="10"/>
      <c r="BM493" s="10"/>
      <c r="BN493" s="10"/>
      <c r="BO493" s="10"/>
      <c r="BP493" s="10"/>
      <c r="BQ493" s="10"/>
      <c r="BR493" s="10"/>
      <c r="BS493" s="10"/>
      <c r="BT493" s="10"/>
    </row>
    <row r="494" spans="53:72" ht="18" x14ac:dyDescent="0.2">
      <c r="BA494" s="10"/>
      <c r="BB494" s="10"/>
      <c r="BC494" s="10"/>
      <c r="BD494" s="10"/>
      <c r="BE494" s="10"/>
      <c r="BF494" s="10"/>
      <c r="BG494" s="10"/>
      <c r="BH494" s="10"/>
      <c r="BI494" s="10"/>
      <c r="BJ494" s="10"/>
      <c r="BK494" s="10"/>
      <c r="BL494" s="10"/>
      <c r="BM494" s="10"/>
      <c r="BN494" s="10"/>
      <c r="BO494" s="10"/>
      <c r="BP494" s="10"/>
      <c r="BQ494" s="10"/>
      <c r="BR494" s="10"/>
      <c r="BS494" s="10"/>
      <c r="BT494" s="10"/>
    </row>
    <row r="495" spans="53:72" ht="18" x14ac:dyDescent="0.2">
      <c r="BA495" s="10"/>
      <c r="BB495" s="10"/>
      <c r="BC495" s="10"/>
      <c r="BD495" s="10"/>
      <c r="BE495" s="10"/>
      <c r="BF495" s="10"/>
      <c r="BG495" s="10"/>
      <c r="BH495" s="10"/>
      <c r="BI495" s="10"/>
      <c r="BJ495" s="10"/>
      <c r="BK495" s="10"/>
      <c r="BL495" s="10"/>
      <c r="BM495" s="10"/>
      <c r="BN495" s="10"/>
      <c r="BO495" s="10"/>
      <c r="BP495" s="10"/>
      <c r="BQ495" s="10"/>
      <c r="BR495" s="10"/>
      <c r="BS495" s="10"/>
      <c r="BT495" s="10"/>
    </row>
    <row r="496" spans="53:72" ht="18" x14ac:dyDescent="0.2">
      <c r="BA496" s="10"/>
      <c r="BB496" s="10"/>
      <c r="BC496" s="10"/>
      <c r="BD496" s="10"/>
      <c r="BE496" s="10"/>
      <c r="BF496" s="10"/>
      <c r="BG496" s="10"/>
      <c r="BH496" s="10"/>
      <c r="BI496" s="10"/>
      <c r="BJ496" s="10"/>
      <c r="BK496" s="10"/>
      <c r="BL496" s="10"/>
      <c r="BM496" s="10"/>
      <c r="BN496" s="10"/>
      <c r="BO496" s="10"/>
      <c r="BP496" s="10"/>
      <c r="BQ496" s="10"/>
      <c r="BR496" s="10"/>
      <c r="BS496" s="10"/>
      <c r="BT496" s="10"/>
    </row>
    <row r="497" spans="53:72" ht="18" x14ac:dyDescent="0.2">
      <c r="BA497" s="10"/>
      <c r="BB497" s="10"/>
      <c r="BC497" s="10"/>
      <c r="BD497" s="10"/>
      <c r="BE497" s="10"/>
      <c r="BF497" s="10"/>
      <c r="BG497" s="10"/>
      <c r="BH497" s="10"/>
      <c r="BI497" s="10"/>
      <c r="BJ497" s="10"/>
      <c r="BK497" s="10"/>
      <c r="BL497" s="10"/>
      <c r="BM497" s="10"/>
      <c r="BN497" s="10"/>
      <c r="BO497" s="10"/>
      <c r="BP497" s="10"/>
      <c r="BQ497" s="10"/>
      <c r="BR497" s="10"/>
      <c r="BS497" s="10"/>
      <c r="BT497" s="10"/>
    </row>
    <row r="498" spans="53:72" ht="18" x14ac:dyDescent="0.2">
      <c r="BA498" s="10"/>
      <c r="BB498" s="10"/>
      <c r="BC498" s="10"/>
      <c r="BD498" s="10"/>
      <c r="BE498" s="10"/>
      <c r="BF498" s="10"/>
      <c r="BG498" s="10"/>
      <c r="BH498" s="10"/>
      <c r="BI498" s="10"/>
      <c r="BJ498" s="10"/>
      <c r="BK498" s="10"/>
      <c r="BL498" s="10"/>
      <c r="BM498" s="10"/>
      <c r="BN498" s="10"/>
      <c r="BO498" s="10"/>
      <c r="BP498" s="10"/>
      <c r="BQ498" s="10"/>
      <c r="BR498" s="10"/>
      <c r="BS498" s="10"/>
      <c r="BT498" s="10"/>
    </row>
    <row r="499" spans="53:72" ht="18" x14ac:dyDescent="0.2">
      <c r="BA499" s="10"/>
      <c r="BB499" s="10"/>
      <c r="BC499" s="10"/>
      <c r="BD499" s="10"/>
      <c r="BE499" s="10"/>
      <c r="BF499" s="10"/>
      <c r="BG499" s="10"/>
      <c r="BH499" s="10"/>
      <c r="BI499" s="10"/>
      <c r="BJ499" s="10"/>
      <c r="BK499" s="10"/>
      <c r="BL499" s="10"/>
      <c r="BM499" s="10"/>
      <c r="BN499" s="10"/>
      <c r="BO499" s="10"/>
      <c r="BP499" s="10"/>
      <c r="BQ499" s="10"/>
      <c r="BR499" s="10"/>
      <c r="BS499" s="10"/>
      <c r="BT499" s="10"/>
    </row>
    <row r="500" spans="53:72" ht="18" x14ac:dyDescent="0.2">
      <c r="BA500" s="10"/>
      <c r="BB500" s="10"/>
      <c r="BC500" s="10"/>
      <c r="BD500" s="10"/>
      <c r="BE500" s="10"/>
      <c r="BF500" s="10"/>
      <c r="BG500" s="10"/>
      <c r="BH500" s="10"/>
      <c r="BI500" s="10"/>
      <c r="BJ500" s="10"/>
      <c r="BK500" s="10"/>
      <c r="BL500" s="10"/>
      <c r="BM500" s="10"/>
      <c r="BN500" s="10"/>
      <c r="BO500" s="10"/>
      <c r="BP500" s="10"/>
      <c r="BQ500" s="10"/>
      <c r="BR500" s="10"/>
      <c r="BS500" s="10"/>
      <c r="BT500" s="10"/>
    </row>
    <row r="501" spans="53:72" ht="18" x14ac:dyDescent="0.2">
      <c r="BA501" s="10"/>
      <c r="BB501" s="10"/>
      <c r="BC501" s="10"/>
      <c r="BD501" s="10"/>
      <c r="BE501" s="10"/>
      <c r="BF501" s="10"/>
      <c r="BG501" s="10"/>
      <c r="BH501" s="10"/>
      <c r="BI501" s="10"/>
      <c r="BJ501" s="10"/>
      <c r="BK501" s="10"/>
      <c r="BL501" s="10"/>
      <c r="BM501" s="10"/>
      <c r="BN501" s="10"/>
      <c r="BO501" s="10"/>
      <c r="BP501" s="10"/>
      <c r="BQ501" s="10"/>
      <c r="BR501" s="10"/>
      <c r="BS501" s="10"/>
      <c r="BT501" s="10"/>
    </row>
    <row r="502" spans="53:72" ht="18" x14ac:dyDescent="0.2">
      <c r="BA502" s="10"/>
      <c r="BB502" s="10"/>
      <c r="BC502" s="10"/>
      <c r="BD502" s="10"/>
      <c r="BE502" s="10"/>
      <c r="BF502" s="10"/>
      <c r="BG502" s="10"/>
      <c r="BH502" s="10"/>
      <c r="BI502" s="10"/>
      <c r="BJ502" s="10"/>
      <c r="BK502" s="10"/>
      <c r="BL502" s="10"/>
      <c r="BM502" s="10"/>
      <c r="BN502" s="10"/>
      <c r="BO502" s="10"/>
      <c r="BP502" s="10"/>
      <c r="BQ502" s="10"/>
      <c r="BR502" s="10"/>
      <c r="BS502" s="10"/>
      <c r="BT502" s="10"/>
    </row>
    <row r="503" spans="53:72" ht="18" x14ac:dyDescent="0.2">
      <c r="BA503" s="10"/>
      <c r="BB503" s="10"/>
      <c r="BC503" s="10"/>
      <c r="BD503" s="10"/>
      <c r="BE503" s="10"/>
      <c r="BF503" s="10"/>
      <c r="BG503" s="10"/>
      <c r="BH503" s="10"/>
      <c r="BI503" s="10"/>
      <c r="BJ503" s="10"/>
      <c r="BK503" s="10"/>
      <c r="BL503" s="10"/>
      <c r="BM503" s="10"/>
      <c r="BN503" s="10"/>
      <c r="BO503" s="10"/>
      <c r="BP503" s="10"/>
      <c r="BQ503" s="10"/>
      <c r="BR503" s="10"/>
      <c r="BS503" s="10"/>
      <c r="BT503" s="10"/>
    </row>
    <row r="504" spans="53:72" ht="18" x14ac:dyDescent="0.2">
      <c r="BA504" s="10"/>
      <c r="BB504" s="10"/>
      <c r="BC504" s="10"/>
      <c r="BD504" s="10"/>
      <c r="BE504" s="10"/>
      <c r="BF504" s="10"/>
      <c r="BG504" s="10"/>
      <c r="BH504" s="10"/>
      <c r="BI504" s="10"/>
      <c r="BJ504" s="10"/>
      <c r="BK504" s="10"/>
      <c r="BL504" s="10"/>
      <c r="BM504" s="10"/>
      <c r="BN504" s="10"/>
      <c r="BO504" s="10"/>
      <c r="BP504" s="10"/>
      <c r="BQ504" s="10"/>
      <c r="BR504" s="10"/>
      <c r="BS504" s="10"/>
      <c r="BT504" s="10"/>
    </row>
    <row r="505" spans="53:72" ht="18" x14ac:dyDescent="0.2">
      <c r="BA505" s="10"/>
      <c r="BB505" s="10"/>
      <c r="BC505" s="10"/>
      <c r="BD505" s="10"/>
      <c r="BE505" s="10"/>
      <c r="BF505" s="10"/>
      <c r="BG505" s="10"/>
      <c r="BH505" s="10"/>
      <c r="BI505" s="10"/>
      <c r="BJ505" s="10"/>
      <c r="BK505" s="10"/>
      <c r="BL505" s="10"/>
      <c r="BM505" s="10"/>
      <c r="BN505" s="10"/>
      <c r="BO505" s="10"/>
      <c r="BP505" s="10"/>
      <c r="BQ505" s="10"/>
      <c r="BR505" s="10"/>
      <c r="BS505" s="10"/>
      <c r="BT505" s="10"/>
    </row>
    <row r="506" spans="53:72" ht="18" x14ac:dyDescent="0.2">
      <c r="BA506" s="10"/>
      <c r="BB506" s="10"/>
      <c r="BC506" s="10"/>
      <c r="BD506" s="10"/>
      <c r="BE506" s="10"/>
      <c r="BF506" s="10"/>
      <c r="BG506" s="10"/>
      <c r="BH506" s="10"/>
      <c r="BI506" s="10"/>
      <c r="BJ506" s="10"/>
      <c r="BK506" s="10"/>
      <c r="BL506" s="10"/>
      <c r="BM506" s="10"/>
      <c r="BN506" s="10"/>
      <c r="BO506" s="10"/>
      <c r="BP506" s="10"/>
      <c r="BQ506" s="10"/>
      <c r="BR506" s="10"/>
      <c r="BS506" s="10"/>
      <c r="BT506" s="10"/>
    </row>
    <row r="507" spans="53:72" ht="18" x14ac:dyDescent="0.2">
      <c r="BA507" s="10"/>
      <c r="BB507" s="10"/>
      <c r="BC507" s="10"/>
      <c r="BD507" s="10"/>
      <c r="BE507" s="10"/>
      <c r="BF507" s="10"/>
      <c r="BG507" s="10"/>
      <c r="BH507" s="10"/>
      <c r="BI507" s="10"/>
      <c r="BJ507" s="10"/>
      <c r="BK507" s="10"/>
      <c r="BL507" s="10"/>
      <c r="BM507" s="10"/>
      <c r="BN507" s="10"/>
      <c r="BO507" s="10"/>
      <c r="BP507" s="10"/>
      <c r="BQ507" s="10"/>
      <c r="BR507" s="10"/>
      <c r="BS507" s="10"/>
      <c r="BT507" s="10"/>
    </row>
    <row r="508" spans="53:72" ht="18" x14ac:dyDescent="0.2">
      <c r="BA508" s="10"/>
      <c r="BB508" s="10"/>
      <c r="BC508" s="10"/>
      <c r="BD508" s="10"/>
      <c r="BE508" s="10"/>
      <c r="BF508" s="10"/>
      <c r="BG508" s="10"/>
      <c r="BH508" s="10"/>
      <c r="BI508" s="10"/>
      <c r="BJ508" s="10"/>
      <c r="BK508" s="10"/>
      <c r="BL508" s="10"/>
      <c r="BM508" s="10"/>
      <c r="BN508" s="10"/>
      <c r="BO508" s="10"/>
      <c r="BP508" s="10"/>
      <c r="BQ508" s="10"/>
      <c r="BR508" s="10"/>
      <c r="BS508" s="10"/>
      <c r="BT508" s="10"/>
    </row>
    <row r="509" spans="53:72" ht="18" x14ac:dyDescent="0.2">
      <c r="BA509" s="10"/>
      <c r="BB509" s="10"/>
      <c r="BC509" s="10"/>
      <c r="BD509" s="10"/>
      <c r="BE509" s="10"/>
      <c r="BF509" s="10"/>
      <c r="BG509" s="10"/>
      <c r="BH509" s="10"/>
      <c r="BI509" s="10"/>
      <c r="BJ509" s="10"/>
      <c r="BK509" s="10"/>
      <c r="BL509" s="10"/>
      <c r="BM509" s="10"/>
      <c r="BN509" s="10"/>
      <c r="BO509" s="10"/>
      <c r="BP509" s="10"/>
      <c r="BQ509" s="10"/>
      <c r="BR509" s="10"/>
      <c r="BS509" s="10"/>
      <c r="BT509" s="10"/>
    </row>
    <row r="510" spans="53:72" ht="18" x14ac:dyDescent="0.2">
      <c r="BA510" s="10"/>
      <c r="BB510" s="10"/>
      <c r="BC510" s="10"/>
      <c r="BD510" s="10"/>
      <c r="BE510" s="10"/>
      <c r="BF510" s="10"/>
      <c r="BG510" s="10"/>
      <c r="BH510" s="10"/>
      <c r="BI510" s="10"/>
      <c r="BJ510" s="10"/>
      <c r="BK510" s="10"/>
      <c r="BL510" s="10"/>
      <c r="BM510" s="10"/>
      <c r="BN510" s="10"/>
      <c r="BO510" s="10"/>
      <c r="BP510" s="10"/>
      <c r="BQ510" s="10"/>
      <c r="BR510" s="10"/>
      <c r="BS510" s="10"/>
      <c r="BT510" s="10"/>
    </row>
    <row r="511" spans="53:72" ht="18" x14ac:dyDescent="0.2">
      <c r="BA511" s="10"/>
      <c r="BB511" s="10"/>
      <c r="BC511" s="10"/>
      <c r="BD511" s="10"/>
      <c r="BE511" s="10"/>
      <c r="BF511" s="10"/>
      <c r="BG511" s="10"/>
      <c r="BH511" s="10"/>
      <c r="BI511" s="10"/>
      <c r="BJ511" s="10"/>
      <c r="BK511" s="10"/>
      <c r="BL511" s="10"/>
      <c r="BM511" s="10"/>
      <c r="BN511" s="10"/>
      <c r="BO511" s="10"/>
      <c r="BP511" s="10"/>
      <c r="BQ511" s="10"/>
      <c r="BR511" s="10"/>
      <c r="BS511" s="10"/>
      <c r="BT511" s="10"/>
    </row>
    <row r="512" spans="53:72" ht="18" x14ac:dyDescent="0.2">
      <c r="BA512" s="10"/>
      <c r="BB512" s="10"/>
      <c r="BC512" s="10"/>
      <c r="BD512" s="10"/>
      <c r="BE512" s="10"/>
      <c r="BF512" s="10"/>
      <c r="BG512" s="10"/>
      <c r="BH512" s="10"/>
      <c r="BI512" s="10"/>
      <c r="BJ512" s="10"/>
      <c r="BK512" s="10"/>
      <c r="BL512" s="10"/>
      <c r="BM512" s="10"/>
      <c r="BN512" s="10"/>
      <c r="BO512" s="10"/>
      <c r="BP512" s="10"/>
      <c r="BQ512" s="10"/>
      <c r="BR512" s="10"/>
      <c r="BS512" s="10"/>
      <c r="BT512" s="10"/>
    </row>
    <row r="513" spans="53:72" ht="18" x14ac:dyDescent="0.2">
      <c r="BA513" s="10"/>
      <c r="BB513" s="10"/>
      <c r="BC513" s="10"/>
      <c r="BD513" s="10"/>
      <c r="BE513" s="10"/>
      <c r="BF513" s="10"/>
      <c r="BG513" s="10"/>
      <c r="BH513" s="10"/>
      <c r="BI513" s="10"/>
      <c r="BJ513" s="10"/>
      <c r="BK513" s="10"/>
      <c r="BL513" s="10"/>
      <c r="BM513" s="10"/>
      <c r="BN513" s="10"/>
      <c r="BO513" s="10"/>
      <c r="BP513" s="10"/>
      <c r="BQ513" s="10"/>
      <c r="BR513" s="10"/>
      <c r="BS513" s="10"/>
      <c r="BT513" s="10"/>
    </row>
    <row r="514" spans="53:72" ht="18" x14ac:dyDescent="0.2">
      <c r="BA514" s="10"/>
      <c r="BB514" s="10"/>
      <c r="BC514" s="10"/>
      <c r="BD514" s="10"/>
      <c r="BE514" s="10"/>
      <c r="BF514" s="10"/>
      <c r="BG514" s="10"/>
      <c r="BH514" s="10"/>
      <c r="BI514" s="10"/>
      <c r="BJ514" s="10"/>
      <c r="BK514" s="10"/>
      <c r="BL514" s="10"/>
      <c r="BM514" s="10"/>
      <c r="BN514" s="10"/>
      <c r="BO514" s="10"/>
      <c r="BP514" s="10"/>
      <c r="BQ514" s="10"/>
      <c r="BR514" s="10"/>
      <c r="BS514" s="10"/>
      <c r="BT514" s="10"/>
    </row>
    <row r="515" spans="53:72" ht="18" x14ac:dyDescent="0.2">
      <c r="BA515" s="10"/>
      <c r="BB515" s="10"/>
      <c r="BC515" s="10"/>
      <c r="BD515" s="10"/>
      <c r="BE515" s="10"/>
      <c r="BF515" s="10"/>
      <c r="BG515" s="10"/>
      <c r="BH515" s="10"/>
      <c r="BI515" s="10"/>
      <c r="BJ515" s="10"/>
      <c r="BK515" s="10"/>
      <c r="BL515" s="10"/>
      <c r="BM515" s="10"/>
      <c r="BN515" s="10"/>
      <c r="BO515" s="10"/>
      <c r="BP515" s="10"/>
      <c r="BQ515" s="10"/>
      <c r="BR515" s="10"/>
      <c r="BS515" s="10"/>
      <c r="BT515" s="10"/>
    </row>
    <row r="516" spans="53:72" ht="18" x14ac:dyDescent="0.2">
      <c r="BA516" s="10"/>
      <c r="BB516" s="10"/>
      <c r="BC516" s="10"/>
      <c r="BD516" s="10"/>
      <c r="BE516" s="10"/>
      <c r="BF516" s="10"/>
      <c r="BG516" s="10"/>
      <c r="BH516" s="10"/>
      <c r="BI516" s="10"/>
      <c r="BJ516" s="10"/>
      <c r="BK516" s="10"/>
      <c r="BL516" s="10"/>
      <c r="BM516" s="10"/>
      <c r="BN516" s="10"/>
      <c r="BO516" s="10"/>
      <c r="BP516" s="10"/>
      <c r="BQ516" s="10"/>
      <c r="BR516" s="10"/>
      <c r="BS516" s="10"/>
      <c r="BT516" s="10"/>
    </row>
    <row r="517" spans="53:72" ht="18" x14ac:dyDescent="0.2">
      <c r="BA517" s="10"/>
      <c r="BB517" s="10"/>
      <c r="BC517" s="10"/>
      <c r="BD517" s="10"/>
      <c r="BE517" s="10"/>
      <c r="BF517" s="10"/>
      <c r="BG517" s="10"/>
      <c r="BH517" s="10"/>
      <c r="BI517" s="10"/>
      <c r="BJ517" s="10"/>
      <c r="BK517" s="10"/>
      <c r="BL517" s="10"/>
      <c r="BM517" s="10"/>
      <c r="BN517" s="10"/>
      <c r="BO517" s="10"/>
      <c r="BP517" s="10"/>
      <c r="BQ517" s="10"/>
      <c r="BR517" s="10"/>
      <c r="BS517" s="10"/>
      <c r="BT517" s="10"/>
    </row>
    <row r="518" spans="53:72" ht="18" x14ac:dyDescent="0.2">
      <c r="BA518" s="10"/>
      <c r="BB518" s="10"/>
      <c r="BC518" s="10"/>
      <c r="BD518" s="10"/>
      <c r="BE518" s="10"/>
      <c r="BF518" s="10"/>
      <c r="BG518" s="10"/>
      <c r="BH518" s="10"/>
      <c r="BI518" s="10"/>
      <c r="BJ518" s="10"/>
      <c r="BK518" s="10"/>
      <c r="BL518" s="10"/>
      <c r="BM518" s="10"/>
      <c r="BN518" s="10"/>
      <c r="BO518" s="10"/>
      <c r="BP518" s="10"/>
      <c r="BQ518" s="10"/>
      <c r="BR518" s="10"/>
      <c r="BS518" s="10"/>
      <c r="BT518" s="10"/>
    </row>
    <row r="519" spans="53:72" ht="18" x14ac:dyDescent="0.2">
      <c r="BA519" s="10"/>
      <c r="BB519" s="10"/>
      <c r="BC519" s="10"/>
      <c r="BD519" s="10"/>
      <c r="BE519" s="10"/>
      <c r="BF519" s="10"/>
      <c r="BG519" s="10"/>
      <c r="BH519" s="10"/>
      <c r="BI519" s="10"/>
      <c r="BJ519" s="10"/>
      <c r="BK519" s="10"/>
      <c r="BL519" s="10"/>
      <c r="BM519" s="10"/>
      <c r="BN519" s="10"/>
      <c r="BO519" s="10"/>
      <c r="BP519" s="10"/>
      <c r="BQ519" s="10"/>
      <c r="BR519" s="10"/>
      <c r="BS519" s="10"/>
      <c r="BT519" s="10"/>
    </row>
    <row r="520" spans="53:72" ht="18" x14ac:dyDescent="0.2">
      <c r="BA520" s="10"/>
      <c r="BB520" s="10"/>
      <c r="BC520" s="10"/>
      <c r="BD520" s="10"/>
      <c r="BE520" s="10"/>
      <c r="BF520" s="10"/>
      <c r="BG520" s="10"/>
      <c r="BH520" s="10"/>
      <c r="BI520" s="10"/>
      <c r="BJ520" s="10"/>
      <c r="BK520" s="10"/>
      <c r="BL520" s="10"/>
      <c r="BM520" s="10"/>
      <c r="BN520" s="10"/>
      <c r="BO520" s="10"/>
      <c r="BP520" s="10"/>
      <c r="BQ520" s="10"/>
      <c r="BR520" s="10"/>
      <c r="BS520" s="10"/>
      <c r="BT520" s="10"/>
    </row>
    <row r="521" spans="53:72" ht="18" x14ac:dyDescent="0.2">
      <c r="BA521" s="10"/>
      <c r="BB521" s="10"/>
      <c r="BC521" s="10"/>
      <c r="BD521" s="10"/>
      <c r="BE521" s="10"/>
      <c r="BF521" s="10"/>
      <c r="BG521" s="10"/>
      <c r="BH521" s="10"/>
      <c r="BI521" s="10"/>
      <c r="BJ521" s="10"/>
      <c r="BK521" s="10"/>
      <c r="BL521" s="10"/>
      <c r="BM521" s="10"/>
      <c r="BN521" s="10"/>
      <c r="BO521" s="10"/>
      <c r="BP521" s="10"/>
      <c r="BQ521" s="10"/>
      <c r="BR521" s="10"/>
      <c r="BS521" s="10"/>
      <c r="BT521" s="10"/>
    </row>
    <row r="522" spans="53:72" ht="18" x14ac:dyDescent="0.2">
      <c r="BA522" s="10"/>
      <c r="BB522" s="10"/>
      <c r="BC522" s="10"/>
      <c r="BD522" s="10"/>
      <c r="BE522" s="10"/>
      <c r="BF522" s="10"/>
      <c r="BG522" s="10"/>
      <c r="BH522" s="10"/>
      <c r="BI522" s="10"/>
      <c r="BJ522" s="10"/>
      <c r="BK522" s="10"/>
      <c r="BL522" s="10"/>
      <c r="BM522" s="10"/>
      <c r="BN522" s="10"/>
      <c r="BO522" s="10"/>
      <c r="BP522" s="10"/>
      <c r="BQ522" s="10"/>
      <c r="BR522" s="10"/>
      <c r="BS522" s="10"/>
      <c r="BT522" s="10"/>
    </row>
    <row r="523" spans="53:72" ht="18" x14ac:dyDescent="0.2">
      <c r="BA523" s="10"/>
      <c r="BB523" s="10"/>
      <c r="BC523" s="10"/>
      <c r="BD523" s="10"/>
      <c r="BE523" s="10"/>
      <c r="BF523" s="10"/>
      <c r="BG523" s="10"/>
      <c r="BH523" s="10"/>
      <c r="BI523" s="10"/>
      <c r="BJ523" s="10"/>
      <c r="BK523" s="10"/>
      <c r="BL523" s="10"/>
      <c r="BM523" s="10"/>
      <c r="BN523" s="10"/>
      <c r="BO523" s="10"/>
      <c r="BP523" s="10"/>
      <c r="BQ523" s="10"/>
      <c r="BR523" s="10"/>
      <c r="BS523" s="10"/>
      <c r="BT523" s="10"/>
    </row>
    <row r="524" spans="53:72" ht="18" x14ac:dyDescent="0.2">
      <c r="BA524" s="10"/>
      <c r="BB524" s="10"/>
      <c r="BC524" s="10"/>
      <c r="BD524" s="10"/>
      <c r="BE524" s="10"/>
      <c r="BF524" s="10"/>
      <c r="BG524" s="10"/>
      <c r="BH524" s="10"/>
      <c r="BI524" s="10"/>
      <c r="BJ524" s="10"/>
      <c r="BK524" s="10"/>
      <c r="BL524" s="10"/>
      <c r="BM524" s="10"/>
      <c r="BN524" s="10"/>
      <c r="BO524" s="10"/>
      <c r="BP524" s="10"/>
      <c r="BQ524" s="10"/>
      <c r="BR524" s="10"/>
      <c r="BS524" s="10"/>
      <c r="BT524" s="10"/>
    </row>
    <row r="525" spans="53:72" ht="18" x14ac:dyDescent="0.2">
      <c r="BA525" s="10"/>
      <c r="BB525" s="10"/>
      <c r="BC525" s="10"/>
      <c r="BD525" s="10"/>
      <c r="BE525" s="10"/>
      <c r="BF525" s="10"/>
      <c r="BG525" s="10"/>
      <c r="BH525" s="10"/>
      <c r="BI525" s="10"/>
      <c r="BJ525" s="10"/>
      <c r="BK525" s="10"/>
      <c r="BL525" s="10"/>
      <c r="BM525" s="10"/>
      <c r="BN525" s="10"/>
      <c r="BO525" s="10"/>
      <c r="BP525" s="10"/>
      <c r="BQ525" s="10"/>
      <c r="BR525" s="10"/>
      <c r="BS525" s="10"/>
      <c r="BT525" s="10"/>
    </row>
    <row r="526" spans="53:72" ht="18" x14ac:dyDescent="0.2">
      <c r="BA526" s="10"/>
      <c r="BB526" s="10"/>
      <c r="BC526" s="10"/>
      <c r="BD526" s="10"/>
      <c r="BE526" s="10"/>
      <c r="BF526" s="10"/>
      <c r="BG526" s="10"/>
      <c r="BH526" s="10"/>
      <c r="BI526" s="10"/>
      <c r="BJ526" s="10"/>
      <c r="BK526" s="10"/>
      <c r="BL526" s="10"/>
      <c r="BM526" s="10"/>
      <c r="BN526" s="10"/>
      <c r="BO526" s="10"/>
      <c r="BP526" s="10"/>
      <c r="BQ526" s="10"/>
      <c r="BR526" s="10"/>
      <c r="BS526" s="10"/>
      <c r="BT526" s="10"/>
    </row>
    <row r="527" spans="53:72" ht="18" x14ac:dyDescent="0.2">
      <c r="BA527" s="10"/>
      <c r="BB527" s="10"/>
      <c r="BC527" s="10"/>
      <c r="BD527" s="10"/>
      <c r="BE527" s="10"/>
      <c r="BF527" s="10"/>
      <c r="BG527" s="10"/>
      <c r="BH527" s="10"/>
      <c r="BI527" s="10"/>
      <c r="BJ527" s="10"/>
      <c r="BK527" s="10"/>
      <c r="BL527" s="10"/>
      <c r="BM527" s="10"/>
      <c r="BN527" s="10"/>
      <c r="BO527" s="10"/>
      <c r="BP527" s="10"/>
      <c r="BQ527" s="10"/>
      <c r="BR527" s="10"/>
      <c r="BS527" s="10"/>
      <c r="BT527" s="10"/>
    </row>
    <row r="528" spans="53:72" ht="18" x14ac:dyDescent="0.2">
      <c r="BA528" s="10"/>
      <c r="BB528" s="10"/>
      <c r="BC528" s="10"/>
      <c r="BD528" s="10"/>
      <c r="BE528" s="10"/>
      <c r="BF528" s="10"/>
      <c r="BG528" s="10"/>
      <c r="BH528" s="10"/>
      <c r="BI528" s="10"/>
      <c r="BJ528" s="10"/>
      <c r="BK528" s="10"/>
      <c r="BL528" s="10"/>
      <c r="BM528" s="10"/>
      <c r="BN528" s="10"/>
      <c r="BO528" s="10"/>
      <c r="BP528" s="10"/>
      <c r="BQ528" s="10"/>
      <c r="BR528" s="10"/>
      <c r="BS528" s="10"/>
      <c r="BT528" s="10"/>
    </row>
    <row r="529" spans="53:72" ht="18" x14ac:dyDescent="0.2">
      <c r="BA529" s="10"/>
      <c r="BB529" s="10"/>
      <c r="BC529" s="10"/>
      <c r="BD529" s="10"/>
      <c r="BE529" s="10"/>
      <c r="BF529" s="10"/>
      <c r="BG529" s="10"/>
      <c r="BH529" s="10"/>
      <c r="BI529" s="10"/>
      <c r="BJ529" s="10"/>
      <c r="BK529" s="10"/>
      <c r="BL529" s="10"/>
      <c r="BM529" s="10"/>
      <c r="BN529" s="10"/>
      <c r="BO529" s="10"/>
      <c r="BP529" s="10"/>
      <c r="BQ529" s="10"/>
      <c r="BR529" s="10"/>
      <c r="BS529" s="10"/>
      <c r="BT529" s="10"/>
    </row>
    <row r="530" spans="53:72" ht="18" x14ac:dyDescent="0.2">
      <c r="BA530" s="10"/>
      <c r="BB530" s="10"/>
      <c r="BC530" s="10"/>
      <c r="BD530" s="10"/>
      <c r="BE530" s="10"/>
      <c r="BF530" s="10"/>
      <c r="BG530" s="10"/>
      <c r="BH530" s="10"/>
      <c r="BI530" s="10"/>
      <c r="BJ530" s="10"/>
      <c r="BK530" s="10"/>
      <c r="BL530" s="10"/>
      <c r="BM530" s="10"/>
      <c r="BN530" s="10"/>
      <c r="BO530" s="10"/>
      <c r="BP530" s="10"/>
      <c r="BQ530" s="10"/>
      <c r="BR530" s="10"/>
      <c r="BS530" s="10"/>
      <c r="BT530" s="10"/>
    </row>
    <row r="531" spans="53:72" ht="18" x14ac:dyDescent="0.2">
      <c r="BA531" s="10"/>
      <c r="BB531" s="10"/>
      <c r="BC531" s="10"/>
      <c r="BD531" s="10"/>
      <c r="BE531" s="10"/>
      <c r="BF531" s="10"/>
      <c r="BG531" s="10"/>
      <c r="BH531" s="10"/>
      <c r="BI531" s="10"/>
      <c r="BJ531" s="10"/>
      <c r="BK531" s="10"/>
      <c r="BL531" s="10"/>
      <c r="BM531" s="10"/>
      <c r="BN531" s="10"/>
      <c r="BO531" s="10"/>
      <c r="BP531" s="10"/>
      <c r="BQ531" s="10"/>
      <c r="BR531" s="10"/>
      <c r="BS531" s="10"/>
      <c r="BT531" s="10"/>
    </row>
    <row r="532" spans="53:72" ht="18" x14ac:dyDescent="0.2">
      <c r="BA532" s="10"/>
      <c r="BB532" s="10"/>
      <c r="BC532" s="10"/>
      <c r="BD532" s="10"/>
      <c r="BE532" s="10"/>
      <c r="BF532" s="10"/>
      <c r="BG532" s="10"/>
      <c r="BH532" s="10"/>
      <c r="BI532" s="10"/>
      <c r="BJ532" s="10"/>
      <c r="BK532" s="10"/>
      <c r="BL532" s="10"/>
      <c r="BM532" s="10"/>
      <c r="BN532" s="10"/>
      <c r="BO532" s="10"/>
      <c r="BP532" s="10"/>
      <c r="BQ532" s="10"/>
      <c r="BR532" s="10"/>
      <c r="BS532" s="10"/>
      <c r="BT532" s="10"/>
    </row>
    <row r="533" spans="53:72" ht="18" x14ac:dyDescent="0.2">
      <c r="BA533" s="10"/>
      <c r="BB533" s="10"/>
      <c r="BC533" s="10"/>
      <c r="BD533" s="10"/>
      <c r="BE533" s="10"/>
      <c r="BF533" s="10"/>
      <c r="BG533" s="10"/>
      <c r="BH533" s="10"/>
      <c r="BI533" s="10"/>
      <c r="BJ533" s="10"/>
      <c r="BK533" s="10"/>
      <c r="BL533" s="10"/>
      <c r="BM533" s="10"/>
      <c r="BN533" s="10"/>
      <c r="BO533" s="10"/>
      <c r="BP533" s="10"/>
      <c r="BQ533" s="10"/>
      <c r="BR533" s="10"/>
      <c r="BS533" s="10"/>
      <c r="BT533" s="10"/>
    </row>
    <row r="534" spans="53:72" ht="18" x14ac:dyDescent="0.2">
      <c r="BA534" s="10"/>
      <c r="BB534" s="10"/>
      <c r="BC534" s="10"/>
      <c r="BD534" s="10"/>
      <c r="BE534" s="10"/>
      <c r="BF534" s="10"/>
      <c r="BG534" s="10"/>
      <c r="BH534" s="10"/>
      <c r="BI534" s="10"/>
      <c r="BJ534" s="10"/>
      <c r="BK534" s="10"/>
      <c r="BL534" s="10"/>
      <c r="BM534" s="10"/>
      <c r="BN534" s="10"/>
      <c r="BO534" s="10"/>
      <c r="BP534" s="10"/>
      <c r="BQ534" s="10"/>
      <c r="BR534" s="10"/>
      <c r="BS534" s="10"/>
      <c r="BT534" s="10"/>
    </row>
    <row r="535" spans="53:72" ht="18" x14ac:dyDescent="0.2">
      <c r="BA535" s="10"/>
      <c r="BB535" s="10"/>
      <c r="BC535" s="10"/>
      <c r="BD535" s="10"/>
      <c r="BE535" s="10"/>
      <c r="BF535" s="10"/>
      <c r="BG535" s="10"/>
      <c r="BH535" s="10"/>
      <c r="BI535" s="10"/>
      <c r="BJ535" s="10"/>
      <c r="BK535" s="10"/>
      <c r="BL535" s="10"/>
      <c r="BM535" s="10"/>
      <c r="BN535" s="10"/>
      <c r="BO535" s="10"/>
      <c r="BP535" s="10"/>
      <c r="BQ535" s="10"/>
      <c r="BR535" s="10"/>
      <c r="BS535" s="10"/>
      <c r="BT535" s="10"/>
    </row>
    <row r="536" spans="53:72" ht="18" x14ac:dyDescent="0.2">
      <c r="BA536" s="10"/>
      <c r="BB536" s="10"/>
      <c r="BC536" s="10"/>
      <c r="BD536" s="10"/>
      <c r="BE536" s="10"/>
      <c r="BF536" s="10"/>
      <c r="BG536" s="10"/>
      <c r="BH536" s="10"/>
      <c r="BI536" s="10"/>
      <c r="BJ536" s="10"/>
      <c r="BK536" s="10"/>
      <c r="BL536" s="10"/>
      <c r="BM536" s="10"/>
      <c r="BN536" s="10"/>
      <c r="BO536" s="10"/>
      <c r="BP536" s="10"/>
      <c r="BQ536" s="10"/>
      <c r="BR536" s="10"/>
      <c r="BS536" s="10"/>
      <c r="BT536" s="10"/>
    </row>
    <row r="537" spans="53:72" ht="18" x14ac:dyDescent="0.2">
      <c r="BA537" s="10"/>
      <c r="BB537" s="10"/>
      <c r="BC537" s="10"/>
      <c r="BD537" s="10"/>
      <c r="BE537" s="10"/>
      <c r="BF537" s="10"/>
      <c r="BG537" s="10"/>
      <c r="BH537" s="10"/>
      <c r="BI537" s="10"/>
      <c r="BJ537" s="10"/>
      <c r="BK537" s="10"/>
      <c r="BL537" s="10"/>
      <c r="BM537" s="10"/>
      <c r="BN537" s="10"/>
      <c r="BO537" s="10"/>
      <c r="BP537" s="10"/>
      <c r="BQ537" s="10"/>
      <c r="BR537" s="10"/>
      <c r="BS537" s="10"/>
      <c r="BT537" s="10"/>
    </row>
    <row r="538" spans="53:72" ht="18" x14ac:dyDescent="0.2">
      <c r="BA538" s="10"/>
      <c r="BB538" s="10"/>
      <c r="BC538" s="10"/>
      <c r="BD538" s="10"/>
      <c r="BE538" s="10"/>
      <c r="BF538" s="10"/>
      <c r="BG538" s="10"/>
      <c r="BH538" s="10"/>
      <c r="BI538" s="10"/>
      <c r="BJ538" s="10"/>
      <c r="BK538" s="10"/>
      <c r="BL538" s="10"/>
      <c r="BM538" s="10"/>
      <c r="BN538" s="10"/>
      <c r="BO538" s="10"/>
      <c r="BP538" s="10"/>
      <c r="BQ538" s="10"/>
      <c r="BR538" s="10"/>
      <c r="BS538" s="10"/>
      <c r="BT538" s="10"/>
    </row>
    <row r="539" spans="53:72" ht="18" x14ac:dyDescent="0.2">
      <c r="BA539" s="10"/>
      <c r="BB539" s="10"/>
      <c r="BC539" s="10"/>
      <c r="BD539" s="10"/>
      <c r="BE539" s="10"/>
      <c r="BF539" s="10"/>
      <c r="BG539" s="10"/>
      <c r="BH539" s="10"/>
      <c r="BI539" s="10"/>
      <c r="BJ539" s="10"/>
      <c r="BK539" s="10"/>
      <c r="BL539" s="10"/>
      <c r="BM539" s="10"/>
      <c r="BN539" s="10"/>
      <c r="BO539" s="10"/>
      <c r="BP539" s="10"/>
      <c r="BQ539" s="10"/>
      <c r="BR539" s="10"/>
      <c r="BS539" s="10"/>
      <c r="BT539" s="10"/>
    </row>
    <row r="540" spans="53:72" ht="18" x14ac:dyDescent="0.2">
      <c r="BA540" s="10"/>
      <c r="BB540" s="10"/>
      <c r="BC540" s="10"/>
      <c r="BD540" s="10"/>
      <c r="BE540" s="10"/>
      <c r="BF540" s="10"/>
      <c r="BG540" s="10"/>
      <c r="BH540" s="10"/>
      <c r="BI540" s="10"/>
      <c r="BJ540" s="10"/>
      <c r="BK540" s="10"/>
      <c r="BL540" s="10"/>
      <c r="BM540" s="10"/>
      <c r="BN540" s="10"/>
      <c r="BO540" s="10"/>
      <c r="BP540" s="10"/>
      <c r="BQ540" s="10"/>
      <c r="BR540" s="10"/>
      <c r="BS540" s="10"/>
      <c r="BT540" s="10"/>
    </row>
    <row r="541" spans="53:72" ht="18" x14ac:dyDescent="0.2">
      <c r="BA541" s="10"/>
      <c r="BB541" s="10"/>
      <c r="BC541" s="10"/>
      <c r="BD541" s="10"/>
      <c r="BE541" s="10"/>
      <c r="BF541" s="10"/>
      <c r="BG541" s="10"/>
      <c r="BH541" s="10"/>
      <c r="BI541" s="10"/>
      <c r="BJ541" s="10"/>
      <c r="BK541" s="10"/>
      <c r="BL541" s="10"/>
      <c r="BM541" s="10"/>
      <c r="BN541" s="10"/>
      <c r="BO541" s="10"/>
      <c r="BP541" s="10"/>
      <c r="BQ541" s="10"/>
      <c r="BR541" s="10"/>
      <c r="BS541" s="10"/>
      <c r="BT541" s="10"/>
    </row>
    <row r="542" spans="53:72" ht="18" x14ac:dyDescent="0.2">
      <c r="BA542" s="10"/>
      <c r="BB542" s="10"/>
      <c r="BC542" s="10"/>
      <c r="BD542" s="10"/>
      <c r="BE542" s="10"/>
      <c r="BF542" s="10"/>
      <c r="BG542" s="10"/>
      <c r="BH542" s="10"/>
      <c r="BI542" s="10"/>
      <c r="BJ542" s="10"/>
      <c r="BK542" s="10"/>
      <c r="BL542" s="10"/>
      <c r="BM542" s="10"/>
      <c r="BN542" s="10"/>
      <c r="BO542" s="10"/>
      <c r="BP542" s="10"/>
      <c r="BQ542" s="10"/>
      <c r="BR542" s="10"/>
      <c r="BS542" s="10"/>
      <c r="BT542" s="10"/>
    </row>
    <row r="543" spans="53:72" ht="18" x14ac:dyDescent="0.2">
      <c r="BA543" s="10"/>
      <c r="BB543" s="10"/>
      <c r="BC543" s="10"/>
      <c r="BD543" s="10"/>
      <c r="BE543" s="10"/>
      <c r="BF543" s="10"/>
      <c r="BG543" s="10"/>
      <c r="BH543" s="10"/>
      <c r="BI543" s="10"/>
      <c r="BJ543" s="10"/>
      <c r="BK543" s="10"/>
      <c r="BL543" s="10"/>
      <c r="BM543" s="10"/>
      <c r="BN543" s="10"/>
      <c r="BO543" s="10"/>
      <c r="BP543" s="10"/>
      <c r="BQ543" s="10"/>
      <c r="BR543" s="10"/>
      <c r="BS543" s="10"/>
      <c r="BT543" s="10"/>
    </row>
    <row r="544" spans="53:72" ht="18" x14ac:dyDescent="0.2">
      <c r="BA544" s="10"/>
      <c r="BB544" s="10"/>
      <c r="BC544" s="10"/>
      <c r="BD544" s="10"/>
      <c r="BE544" s="10"/>
      <c r="BF544" s="10"/>
      <c r="BG544" s="10"/>
      <c r="BH544" s="10"/>
      <c r="BI544" s="10"/>
      <c r="BJ544" s="10"/>
      <c r="BK544" s="10"/>
      <c r="BL544" s="10"/>
      <c r="BM544" s="10"/>
      <c r="BN544" s="10"/>
      <c r="BO544" s="10"/>
      <c r="BP544" s="10"/>
      <c r="BQ544" s="10"/>
      <c r="BR544" s="10"/>
      <c r="BS544" s="10"/>
      <c r="BT544" s="10"/>
    </row>
    <row r="545" spans="53:72" ht="18" x14ac:dyDescent="0.2">
      <c r="BA545" s="10"/>
      <c r="BB545" s="10"/>
      <c r="BC545" s="10"/>
      <c r="BD545" s="10"/>
      <c r="BE545" s="10"/>
      <c r="BF545" s="10"/>
      <c r="BG545" s="10"/>
      <c r="BH545" s="10"/>
      <c r="BI545" s="10"/>
      <c r="BJ545" s="10"/>
      <c r="BK545" s="10"/>
      <c r="BL545" s="10"/>
      <c r="BM545" s="10"/>
      <c r="BN545" s="10"/>
      <c r="BO545" s="10"/>
      <c r="BP545" s="10"/>
      <c r="BQ545" s="10"/>
      <c r="BR545" s="10"/>
      <c r="BS545" s="10"/>
      <c r="BT545" s="10"/>
    </row>
    <row r="546" spans="53:72" ht="18" x14ac:dyDescent="0.2">
      <c r="BA546" s="10"/>
      <c r="BB546" s="10"/>
      <c r="BC546" s="10"/>
      <c r="BD546" s="10"/>
      <c r="BE546" s="10"/>
      <c r="BF546" s="10"/>
      <c r="BG546" s="10"/>
      <c r="BH546" s="10"/>
      <c r="BI546" s="10"/>
      <c r="BJ546" s="10"/>
      <c r="BK546" s="10"/>
      <c r="BL546" s="10"/>
      <c r="BM546" s="10"/>
      <c r="BN546" s="10"/>
      <c r="BO546" s="10"/>
      <c r="BP546" s="10"/>
      <c r="BQ546" s="10"/>
      <c r="BR546" s="10"/>
      <c r="BS546" s="10"/>
      <c r="BT546" s="10"/>
    </row>
    <row r="547" spans="53:72" ht="18" x14ac:dyDescent="0.2">
      <c r="BA547" s="10"/>
      <c r="BB547" s="10"/>
      <c r="BC547" s="10"/>
      <c r="BD547" s="10"/>
      <c r="BE547" s="10"/>
      <c r="BF547" s="10"/>
      <c r="BG547" s="10"/>
      <c r="BH547" s="10"/>
      <c r="BI547" s="10"/>
      <c r="BJ547" s="10"/>
      <c r="BK547" s="10"/>
      <c r="BL547" s="10"/>
      <c r="BM547" s="10"/>
      <c r="BN547" s="10"/>
      <c r="BO547" s="10"/>
      <c r="BP547" s="10"/>
      <c r="BQ547" s="10"/>
      <c r="BR547" s="10"/>
      <c r="BS547" s="10"/>
      <c r="BT547" s="10"/>
    </row>
    <row r="548" spans="53:72" ht="18" x14ac:dyDescent="0.2">
      <c r="BA548" s="10"/>
      <c r="BB548" s="10"/>
      <c r="BC548" s="10"/>
      <c r="BD548" s="10"/>
      <c r="BE548" s="10"/>
      <c r="BF548" s="10"/>
      <c r="BG548" s="10"/>
      <c r="BH548" s="10"/>
      <c r="BI548" s="10"/>
      <c r="BJ548" s="10"/>
      <c r="BK548" s="10"/>
      <c r="BL548" s="10"/>
      <c r="BM548" s="10"/>
      <c r="BN548" s="10"/>
      <c r="BO548" s="10"/>
      <c r="BP548" s="10"/>
      <c r="BQ548" s="10"/>
      <c r="BR548" s="10"/>
      <c r="BS548" s="10"/>
      <c r="BT548" s="10"/>
    </row>
    <row r="549" spans="53:72" ht="18" x14ac:dyDescent="0.2">
      <c r="BA549" s="10"/>
      <c r="BB549" s="10"/>
      <c r="BC549" s="10"/>
      <c r="BD549" s="10"/>
      <c r="BE549" s="10"/>
      <c r="BF549" s="10"/>
      <c r="BG549" s="10"/>
      <c r="BH549" s="10"/>
      <c r="BI549" s="10"/>
      <c r="BJ549" s="10"/>
      <c r="BK549" s="10"/>
      <c r="BL549" s="10"/>
      <c r="BM549" s="10"/>
      <c r="BN549" s="10"/>
      <c r="BO549" s="10"/>
      <c r="BP549" s="10"/>
      <c r="BQ549" s="10"/>
      <c r="BR549" s="10"/>
      <c r="BS549" s="10"/>
      <c r="BT549" s="10"/>
    </row>
    <row r="550" spans="53:72" ht="18" x14ac:dyDescent="0.2">
      <c r="BA550" s="10"/>
      <c r="BB550" s="10"/>
      <c r="BC550" s="10"/>
      <c r="BD550" s="10"/>
      <c r="BE550" s="10"/>
      <c r="BF550" s="10"/>
      <c r="BG550" s="10"/>
      <c r="BH550" s="10"/>
      <c r="BI550" s="10"/>
      <c r="BJ550" s="10"/>
      <c r="BK550" s="10"/>
      <c r="BL550" s="10"/>
      <c r="BM550" s="10"/>
      <c r="BN550" s="10"/>
      <c r="BO550" s="10"/>
      <c r="BP550" s="10"/>
      <c r="BQ550" s="10"/>
      <c r="BR550" s="10"/>
      <c r="BS550" s="10"/>
      <c r="BT550" s="10"/>
    </row>
    <row r="551" spans="53:72" ht="18" x14ac:dyDescent="0.2">
      <c r="BA551" s="10"/>
      <c r="BB551" s="10"/>
      <c r="BC551" s="10"/>
      <c r="BD551" s="10"/>
      <c r="BE551" s="10"/>
      <c r="BF551" s="10"/>
      <c r="BG551" s="10"/>
      <c r="BH551" s="10"/>
      <c r="BI551" s="10"/>
      <c r="BJ551" s="10"/>
      <c r="BK551" s="10"/>
      <c r="BL551" s="10"/>
      <c r="BM551" s="10"/>
      <c r="BN551" s="10"/>
      <c r="BO551" s="10"/>
      <c r="BP551" s="10"/>
      <c r="BQ551" s="10"/>
      <c r="BR551" s="10"/>
      <c r="BS551" s="10"/>
      <c r="BT551" s="10"/>
    </row>
    <row r="552" spans="53:72" ht="18" x14ac:dyDescent="0.2">
      <c r="BA552" s="10"/>
      <c r="BB552" s="10"/>
      <c r="BC552" s="10"/>
      <c r="BD552" s="10"/>
      <c r="BE552" s="10"/>
      <c r="BF552" s="10"/>
      <c r="BG552" s="10"/>
      <c r="BH552" s="10"/>
      <c r="BI552" s="10"/>
      <c r="BJ552" s="10"/>
      <c r="BK552" s="10"/>
      <c r="BL552" s="10"/>
      <c r="BM552" s="10"/>
      <c r="BN552" s="10"/>
      <c r="BO552" s="10"/>
      <c r="BP552" s="10"/>
      <c r="BQ552" s="10"/>
      <c r="BR552" s="10"/>
      <c r="BS552" s="10"/>
      <c r="BT552" s="10"/>
    </row>
    <row r="553" spans="53:72" ht="18" x14ac:dyDescent="0.2">
      <c r="BA553" s="10"/>
      <c r="BB553" s="10"/>
      <c r="BC553" s="10"/>
      <c r="BD553" s="10"/>
      <c r="BE553" s="10"/>
      <c r="BF553" s="10"/>
      <c r="BG553" s="10"/>
      <c r="BH553" s="10"/>
      <c r="BI553" s="10"/>
      <c r="BJ553" s="10"/>
      <c r="BK553" s="10"/>
      <c r="BL553" s="10"/>
      <c r="BM553" s="10"/>
      <c r="BN553" s="10"/>
      <c r="BO553" s="10"/>
      <c r="BP553" s="10"/>
      <c r="BQ553" s="10"/>
      <c r="BR553" s="10"/>
      <c r="BS553" s="10"/>
      <c r="BT553" s="10"/>
    </row>
    <row r="554" spans="53:72" ht="18" x14ac:dyDescent="0.2">
      <c r="BA554" s="10"/>
      <c r="BB554" s="10"/>
      <c r="BC554" s="10"/>
      <c r="BD554" s="10"/>
      <c r="BE554" s="10"/>
      <c r="BF554" s="10"/>
      <c r="BG554" s="10"/>
      <c r="BH554" s="10"/>
      <c r="BI554" s="10"/>
      <c r="BJ554" s="10"/>
      <c r="BK554" s="10"/>
      <c r="BL554" s="10"/>
      <c r="BM554" s="10"/>
      <c r="BN554" s="10"/>
      <c r="BO554" s="10"/>
      <c r="BP554" s="10"/>
      <c r="BQ554" s="10"/>
      <c r="BR554" s="10"/>
      <c r="BS554" s="10"/>
      <c r="BT554" s="10"/>
    </row>
    <row r="555" spans="53:72" ht="18" x14ac:dyDescent="0.2">
      <c r="BA555" s="10"/>
      <c r="BB555" s="10"/>
      <c r="BC555" s="10"/>
      <c r="BD555" s="10"/>
      <c r="BE555" s="10"/>
      <c r="BF555" s="10"/>
      <c r="BG555" s="10"/>
      <c r="BH555" s="10"/>
      <c r="BI555" s="10"/>
      <c r="BJ555" s="10"/>
      <c r="BK555" s="10"/>
      <c r="BL555" s="10"/>
      <c r="BM555" s="10"/>
      <c r="BN555" s="10"/>
      <c r="BO555" s="10"/>
      <c r="BP555" s="10"/>
      <c r="BQ555" s="10"/>
      <c r="BR555" s="10"/>
      <c r="BS555" s="10"/>
      <c r="BT555" s="10"/>
    </row>
    <row r="556" spans="53:72" ht="18" x14ac:dyDescent="0.2">
      <c r="BA556" s="10"/>
      <c r="BB556" s="10"/>
      <c r="BC556" s="10"/>
      <c r="BD556" s="10"/>
      <c r="BE556" s="10"/>
      <c r="BF556" s="10"/>
      <c r="BG556" s="10"/>
      <c r="BH556" s="10"/>
      <c r="BI556" s="10"/>
      <c r="BJ556" s="10"/>
      <c r="BK556" s="10"/>
      <c r="BL556" s="10"/>
      <c r="BM556" s="10"/>
      <c r="BN556" s="10"/>
      <c r="BO556" s="10"/>
      <c r="BP556" s="10"/>
      <c r="BQ556" s="10"/>
      <c r="BR556" s="10"/>
      <c r="BS556" s="10"/>
      <c r="BT556" s="10"/>
    </row>
    <row r="557" spans="53:72" ht="18" x14ac:dyDescent="0.2">
      <c r="BA557" s="10"/>
      <c r="BB557" s="10"/>
      <c r="BC557" s="10"/>
      <c r="BD557" s="10"/>
      <c r="BE557" s="10"/>
      <c r="BF557" s="10"/>
      <c r="BG557" s="10"/>
      <c r="BH557" s="10"/>
      <c r="BI557" s="10"/>
      <c r="BJ557" s="10"/>
      <c r="BK557" s="10"/>
      <c r="BL557" s="10"/>
      <c r="BM557" s="10"/>
      <c r="BN557" s="10"/>
      <c r="BO557" s="10"/>
      <c r="BP557" s="10"/>
      <c r="BQ557" s="10"/>
      <c r="BR557" s="10"/>
      <c r="BS557" s="10"/>
      <c r="BT557" s="10"/>
    </row>
    <row r="558" spans="53:72" ht="18" x14ac:dyDescent="0.2">
      <c r="BA558" s="10"/>
      <c r="BB558" s="10"/>
      <c r="BC558" s="10"/>
      <c r="BD558" s="10"/>
      <c r="BE558" s="10"/>
      <c r="BF558" s="10"/>
      <c r="BG558" s="10"/>
      <c r="BH558" s="10"/>
      <c r="BI558" s="10"/>
      <c r="BJ558" s="10"/>
      <c r="BK558" s="10"/>
      <c r="BL558" s="10"/>
      <c r="BM558" s="10"/>
      <c r="BN558" s="10"/>
      <c r="BO558" s="10"/>
      <c r="BP558" s="10"/>
      <c r="BQ558" s="10"/>
      <c r="BR558" s="10"/>
      <c r="BS558" s="10"/>
      <c r="BT558" s="10"/>
    </row>
    <row r="559" spans="53:72" ht="18" x14ac:dyDescent="0.2">
      <c r="BA559" s="10"/>
      <c r="BB559" s="10"/>
      <c r="BC559" s="10"/>
      <c r="BD559" s="10"/>
      <c r="BE559" s="10"/>
      <c r="BF559" s="10"/>
      <c r="BG559" s="10"/>
      <c r="BH559" s="10"/>
      <c r="BI559" s="10"/>
      <c r="BJ559" s="10"/>
      <c r="BK559" s="10"/>
      <c r="BL559" s="10"/>
      <c r="BM559" s="10"/>
      <c r="BN559" s="10"/>
      <c r="BO559" s="10"/>
      <c r="BP559" s="10"/>
      <c r="BQ559" s="10"/>
      <c r="BR559" s="10"/>
      <c r="BS559" s="10"/>
      <c r="BT559" s="10"/>
    </row>
    <row r="560" spans="53:72" ht="18" x14ac:dyDescent="0.2">
      <c r="BA560" s="10"/>
      <c r="BB560" s="10"/>
      <c r="BC560" s="10"/>
      <c r="BD560" s="10"/>
      <c r="BE560" s="10"/>
      <c r="BF560" s="10"/>
      <c r="BG560" s="10"/>
      <c r="BH560" s="10"/>
      <c r="BI560" s="10"/>
      <c r="BJ560" s="10"/>
      <c r="BK560" s="10"/>
      <c r="BL560" s="10"/>
      <c r="BM560" s="10"/>
      <c r="BN560" s="10"/>
      <c r="BO560" s="10"/>
      <c r="BP560" s="10"/>
      <c r="BQ560" s="10"/>
      <c r="BR560" s="10"/>
      <c r="BS560" s="10"/>
      <c r="BT560" s="10"/>
    </row>
    <row r="561" spans="53:72" ht="18" x14ac:dyDescent="0.2">
      <c r="BA561" s="10"/>
      <c r="BB561" s="10"/>
      <c r="BC561" s="10"/>
      <c r="BD561" s="10"/>
      <c r="BE561" s="10"/>
      <c r="BF561" s="10"/>
      <c r="BG561" s="10"/>
      <c r="BH561" s="10"/>
      <c r="BI561" s="10"/>
      <c r="BJ561" s="10"/>
      <c r="BK561" s="10"/>
      <c r="BL561" s="10"/>
      <c r="BM561" s="10"/>
      <c r="BN561" s="10"/>
      <c r="BO561" s="10"/>
      <c r="BP561" s="10"/>
      <c r="BQ561" s="10"/>
      <c r="BR561" s="10"/>
      <c r="BS561" s="10"/>
      <c r="BT561" s="10"/>
    </row>
    <row r="562" spans="53:72" ht="18" x14ac:dyDescent="0.2">
      <c r="BA562" s="10"/>
      <c r="BB562" s="10"/>
      <c r="BC562" s="10"/>
      <c r="BD562" s="10"/>
      <c r="BE562" s="10"/>
      <c r="BF562" s="10"/>
      <c r="BG562" s="10"/>
      <c r="BH562" s="10"/>
      <c r="BI562" s="10"/>
      <c r="BJ562" s="10"/>
      <c r="BK562" s="10"/>
      <c r="BL562" s="10"/>
      <c r="BM562" s="10"/>
      <c r="BN562" s="10"/>
      <c r="BO562" s="10"/>
      <c r="BP562" s="10"/>
      <c r="BQ562" s="10"/>
      <c r="BR562" s="10"/>
      <c r="BS562" s="10"/>
      <c r="BT562" s="10"/>
    </row>
    <row r="563" spans="53:72" ht="18" x14ac:dyDescent="0.2">
      <c r="BA563" s="10"/>
      <c r="BB563" s="10"/>
      <c r="BC563" s="10"/>
      <c r="BD563" s="10"/>
      <c r="BE563" s="10"/>
      <c r="BF563" s="10"/>
      <c r="BG563" s="10"/>
      <c r="BH563" s="10"/>
      <c r="BI563" s="10"/>
      <c r="BJ563" s="10"/>
      <c r="BK563" s="10"/>
      <c r="BL563" s="10"/>
      <c r="BM563" s="10"/>
      <c r="BN563" s="10"/>
      <c r="BO563" s="10"/>
      <c r="BP563" s="10"/>
      <c r="BQ563" s="10"/>
      <c r="BR563" s="10"/>
      <c r="BS563" s="10"/>
      <c r="BT563" s="10"/>
    </row>
    <row r="564" spans="53:72" ht="18" x14ac:dyDescent="0.2">
      <c r="BA564" s="10"/>
      <c r="BB564" s="10"/>
      <c r="BC564" s="10"/>
      <c r="BD564" s="10"/>
      <c r="BE564" s="10"/>
      <c r="BF564" s="10"/>
      <c r="BG564" s="10"/>
      <c r="BH564" s="10"/>
      <c r="BI564" s="10"/>
      <c r="BJ564" s="10"/>
      <c r="BK564" s="10"/>
      <c r="BL564" s="10"/>
      <c r="BM564" s="10"/>
      <c r="BN564" s="10"/>
      <c r="BO564" s="10"/>
      <c r="BP564" s="10"/>
      <c r="BQ564" s="10"/>
      <c r="BR564" s="10"/>
      <c r="BS564" s="10"/>
      <c r="BT564" s="10"/>
    </row>
    <row r="565" spans="53:72" ht="18" x14ac:dyDescent="0.2">
      <c r="BA565" s="10"/>
      <c r="BB565" s="10"/>
      <c r="BC565" s="10"/>
      <c r="BD565" s="10"/>
      <c r="BE565" s="10"/>
      <c r="BF565" s="10"/>
      <c r="BG565" s="10"/>
      <c r="BH565" s="10"/>
      <c r="BI565" s="10"/>
      <c r="BJ565" s="10"/>
      <c r="BK565" s="10"/>
      <c r="BL565" s="10"/>
      <c r="BM565" s="10"/>
      <c r="BN565" s="10"/>
      <c r="BO565" s="10"/>
      <c r="BP565" s="10"/>
      <c r="BQ565" s="10"/>
      <c r="BR565" s="10"/>
      <c r="BS565" s="10"/>
      <c r="BT565" s="10"/>
    </row>
    <row r="566" spans="53:72" ht="18" x14ac:dyDescent="0.2">
      <c r="BA566" s="10"/>
      <c r="BB566" s="10"/>
      <c r="BC566" s="10"/>
      <c r="BD566" s="10"/>
      <c r="BE566" s="10"/>
      <c r="BF566" s="10"/>
      <c r="BG566" s="10"/>
      <c r="BH566" s="10"/>
      <c r="BI566" s="10"/>
      <c r="BJ566" s="10"/>
      <c r="BK566" s="10"/>
      <c r="BL566" s="10"/>
      <c r="BM566" s="10"/>
      <c r="BN566" s="10"/>
      <c r="BO566" s="10"/>
      <c r="BP566" s="10"/>
      <c r="BQ566" s="10"/>
      <c r="BR566" s="10"/>
      <c r="BS566" s="10"/>
      <c r="BT566" s="10"/>
    </row>
    <row r="567" spans="53:72" ht="18" x14ac:dyDescent="0.2">
      <c r="BA567" s="10"/>
      <c r="BB567" s="10"/>
      <c r="BC567" s="10"/>
      <c r="BD567" s="10"/>
      <c r="BE567" s="10"/>
      <c r="BF567" s="10"/>
      <c r="BG567" s="10"/>
      <c r="BH567" s="10"/>
      <c r="BI567" s="10"/>
      <c r="BJ567" s="10"/>
      <c r="BK567" s="10"/>
      <c r="BL567" s="10"/>
      <c r="BM567" s="10"/>
      <c r="BN567" s="10"/>
      <c r="BO567" s="10"/>
      <c r="BP567" s="10"/>
      <c r="BQ567" s="10"/>
      <c r="BR567" s="10"/>
      <c r="BS567" s="10"/>
      <c r="BT567" s="10"/>
    </row>
    <row r="568" spans="53:72" ht="18" x14ac:dyDescent="0.2">
      <c r="BA568" s="10"/>
      <c r="BB568" s="10"/>
      <c r="BC568" s="10"/>
      <c r="BD568" s="10"/>
      <c r="BE568" s="10"/>
      <c r="BF568" s="10"/>
      <c r="BG568" s="10"/>
      <c r="BH568" s="10"/>
      <c r="BI568" s="10"/>
      <c r="BJ568" s="10"/>
      <c r="BK568" s="10"/>
      <c r="BL568" s="10"/>
      <c r="BM568" s="10"/>
      <c r="BN568" s="10"/>
      <c r="BO568" s="10"/>
      <c r="BP568" s="10"/>
      <c r="BQ568" s="10"/>
      <c r="BR568" s="10"/>
      <c r="BS568" s="10"/>
      <c r="BT568" s="10"/>
    </row>
    <row r="569" spans="53:72" ht="18" x14ac:dyDescent="0.2">
      <c r="BA569" s="10"/>
      <c r="BB569" s="10"/>
      <c r="BC569" s="10"/>
      <c r="BD569" s="10"/>
      <c r="BE569" s="10"/>
      <c r="BF569" s="10"/>
      <c r="BG569" s="10"/>
      <c r="BH569" s="10"/>
      <c r="BI569" s="10"/>
      <c r="BJ569" s="10"/>
      <c r="BK569" s="10"/>
      <c r="BL569" s="10"/>
      <c r="BM569" s="10"/>
      <c r="BN569" s="10"/>
      <c r="BO569" s="10"/>
      <c r="BP569" s="10"/>
      <c r="BQ569" s="10"/>
      <c r="BR569" s="10"/>
      <c r="BS569" s="10"/>
      <c r="BT569" s="10"/>
    </row>
    <row r="570" spans="53:72" ht="18" x14ac:dyDescent="0.2">
      <c r="BA570" s="10"/>
      <c r="BB570" s="10"/>
      <c r="BC570" s="10"/>
      <c r="BD570" s="10"/>
      <c r="BE570" s="10"/>
      <c r="BF570" s="10"/>
      <c r="BG570" s="10"/>
      <c r="BH570" s="10"/>
      <c r="BI570" s="10"/>
      <c r="BJ570" s="10"/>
      <c r="BK570" s="10"/>
      <c r="BL570" s="10"/>
      <c r="BM570" s="10"/>
      <c r="BN570" s="10"/>
      <c r="BO570" s="10"/>
      <c r="BP570" s="10"/>
      <c r="BQ570" s="10"/>
      <c r="BR570" s="10"/>
      <c r="BS570" s="10"/>
      <c r="BT570" s="10"/>
    </row>
    <row r="571" spans="53:72" ht="18" x14ac:dyDescent="0.2">
      <c r="BA571" s="10"/>
      <c r="BB571" s="10"/>
      <c r="BC571" s="10"/>
      <c r="BD571" s="10"/>
      <c r="BE571" s="10"/>
      <c r="BF571" s="10"/>
      <c r="BG571" s="10"/>
      <c r="BH571" s="10"/>
      <c r="BI571" s="10"/>
      <c r="BJ571" s="10"/>
      <c r="BK571" s="10"/>
      <c r="BL571" s="10"/>
      <c r="BM571" s="10"/>
      <c r="BN571" s="10"/>
      <c r="BO571" s="10"/>
      <c r="BP571" s="10"/>
      <c r="BQ571" s="10"/>
      <c r="BR571" s="10"/>
      <c r="BS571" s="10"/>
      <c r="BT571" s="10"/>
    </row>
    <row r="572" spans="53:72" ht="18" x14ac:dyDescent="0.2">
      <c r="BA572" s="10"/>
      <c r="BB572" s="10"/>
      <c r="BC572" s="10"/>
      <c r="BD572" s="10"/>
      <c r="BE572" s="10"/>
      <c r="BF572" s="10"/>
      <c r="BG572" s="10"/>
      <c r="BH572" s="10"/>
      <c r="BI572" s="10"/>
      <c r="BJ572" s="10"/>
      <c r="BK572" s="10"/>
      <c r="BL572" s="10"/>
      <c r="BM572" s="10"/>
      <c r="BN572" s="10"/>
      <c r="BO572" s="10"/>
      <c r="BP572" s="10"/>
      <c r="BQ572" s="10"/>
      <c r="BR572" s="10"/>
      <c r="BS572" s="10"/>
      <c r="BT572" s="10"/>
    </row>
    <row r="573" spans="53:72" ht="18" x14ac:dyDescent="0.2">
      <c r="BA573" s="10"/>
      <c r="BB573" s="10"/>
      <c r="BC573" s="10"/>
      <c r="BD573" s="10"/>
      <c r="BE573" s="10"/>
      <c r="BF573" s="10"/>
      <c r="BG573" s="10"/>
      <c r="BH573" s="10"/>
      <c r="BI573" s="10"/>
      <c r="BJ573" s="10"/>
      <c r="BK573" s="10"/>
      <c r="BL573" s="10"/>
      <c r="BM573" s="10"/>
      <c r="BN573" s="10"/>
      <c r="BO573" s="10"/>
      <c r="BP573" s="10"/>
      <c r="BQ573" s="10"/>
      <c r="BR573" s="10"/>
      <c r="BS573" s="10"/>
      <c r="BT573" s="10"/>
    </row>
    <row r="574" spans="53:72" ht="18" x14ac:dyDescent="0.2">
      <c r="BA574" s="10"/>
      <c r="BB574" s="10"/>
      <c r="BC574" s="10"/>
      <c r="BD574" s="10"/>
      <c r="BE574" s="10"/>
      <c r="BF574" s="10"/>
      <c r="BG574" s="10"/>
      <c r="BH574" s="10"/>
      <c r="BI574" s="10"/>
      <c r="BJ574" s="10"/>
      <c r="BK574" s="10"/>
      <c r="BL574" s="10"/>
      <c r="BM574" s="10"/>
      <c r="BN574" s="10"/>
      <c r="BO574" s="10"/>
      <c r="BP574" s="10"/>
      <c r="BQ574" s="10"/>
      <c r="BR574" s="10"/>
      <c r="BS574" s="10"/>
      <c r="BT574" s="10"/>
    </row>
    <row r="575" spans="53:72" ht="18" x14ac:dyDescent="0.2">
      <c r="BA575" s="10"/>
      <c r="BB575" s="10"/>
      <c r="BC575" s="10"/>
      <c r="BD575" s="10"/>
      <c r="BE575" s="10"/>
      <c r="BF575" s="10"/>
      <c r="BG575" s="10"/>
      <c r="BH575" s="10"/>
      <c r="BI575" s="10"/>
      <c r="BJ575" s="10"/>
      <c r="BK575" s="10"/>
      <c r="BL575" s="10"/>
      <c r="BM575" s="10"/>
      <c r="BN575" s="10"/>
      <c r="BO575" s="10"/>
      <c r="BP575" s="10"/>
      <c r="BQ575" s="10"/>
      <c r="BR575" s="10"/>
      <c r="BS575" s="10"/>
      <c r="BT575" s="10"/>
    </row>
    <row r="576" spans="53:72" ht="18" x14ac:dyDescent="0.2">
      <c r="BA576" s="10"/>
      <c r="BB576" s="10"/>
      <c r="BC576" s="10"/>
      <c r="BD576" s="10"/>
      <c r="BE576" s="10"/>
      <c r="BF576" s="10"/>
      <c r="BG576" s="10"/>
      <c r="BH576" s="10"/>
      <c r="BI576" s="10"/>
      <c r="BJ576" s="10"/>
      <c r="BK576" s="10"/>
      <c r="BL576" s="10"/>
      <c r="BM576" s="10"/>
      <c r="BN576" s="10"/>
      <c r="BO576" s="10"/>
      <c r="BP576" s="10"/>
      <c r="BQ576" s="10"/>
      <c r="BR576" s="10"/>
      <c r="BS576" s="10"/>
      <c r="BT576" s="10"/>
    </row>
    <row r="577" spans="53:72" ht="18" x14ac:dyDescent="0.2">
      <c r="BA577" s="10"/>
      <c r="BB577" s="10"/>
      <c r="BC577" s="10"/>
      <c r="BD577" s="10"/>
      <c r="BE577" s="10"/>
      <c r="BF577" s="10"/>
      <c r="BG577" s="10"/>
      <c r="BH577" s="10"/>
      <c r="BI577" s="10"/>
      <c r="BJ577" s="10"/>
      <c r="BK577" s="10"/>
      <c r="BL577" s="10"/>
      <c r="BM577" s="10"/>
      <c r="BN577" s="10"/>
      <c r="BO577" s="10"/>
      <c r="BP577" s="10"/>
      <c r="BQ577" s="10"/>
      <c r="BR577" s="10"/>
      <c r="BS577" s="10"/>
      <c r="BT577" s="10"/>
    </row>
    <row r="578" spans="53:72" ht="18" x14ac:dyDescent="0.2">
      <c r="BA578" s="10"/>
      <c r="BB578" s="10"/>
      <c r="BC578" s="10"/>
      <c r="BD578" s="10"/>
      <c r="BE578" s="10"/>
      <c r="BF578" s="10"/>
      <c r="BG578" s="10"/>
      <c r="BH578" s="10"/>
      <c r="BI578" s="10"/>
      <c r="BJ578" s="10"/>
      <c r="BK578" s="10"/>
      <c r="BL578" s="10"/>
      <c r="BM578" s="10"/>
      <c r="BN578" s="10"/>
      <c r="BO578" s="10"/>
      <c r="BP578" s="10"/>
      <c r="BQ578" s="10"/>
      <c r="BR578" s="10"/>
      <c r="BS578" s="10"/>
      <c r="BT578" s="10"/>
    </row>
    <row r="579" spans="53:72" ht="18" x14ac:dyDescent="0.2">
      <c r="BA579" s="10"/>
      <c r="BB579" s="10"/>
      <c r="BC579" s="10"/>
      <c r="BD579" s="10"/>
      <c r="BE579" s="10"/>
      <c r="BF579" s="10"/>
      <c r="BG579" s="10"/>
      <c r="BH579" s="10"/>
      <c r="BI579" s="10"/>
      <c r="BJ579" s="10"/>
      <c r="BK579" s="10"/>
      <c r="BL579" s="10"/>
      <c r="BM579" s="10"/>
      <c r="BN579" s="10"/>
      <c r="BO579" s="10"/>
      <c r="BP579" s="10"/>
      <c r="BQ579" s="10"/>
      <c r="BR579" s="10"/>
      <c r="BS579" s="10"/>
      <c r="BT579" s="10"/>
    </row>
    <row r="580" spans="53:72" ht="18" x14ac:dyDescent="0.2">
      <c r="BA580" s="10"/>
      <c r="BB580" s="10"/>
      <c r="BC580" s="10"/>
      <c r="BD580" s="10"/>
      <c r="BE580" s="10"/>
      <c r="BF580" s="10"/>
      <c r="BG580" s="10"/>
      <c r="BH580" s="10"/>
      <c r="BI580" s="10"/>
      <c r="BJ580" s="10"/>
      <c r="BK580" s="10"/>
      <c r="BL580" s="10"/>
      <c r="BM580" s="10"/>
      <c r="BN580" s="10"/>
      <c r="BO580" s="10"/>
      <c r="BP580" s="10"/>
      <c r="BQ580" s="10"/>
      <c r="BR580" s="10"/>
      <c r="BS580" s="10"/>
      <c r="BT580" s="10"/>
    </row>
    <row r="581" spans="53:72" ht="18" x14ac:dyDescent="0.2">
      <c r="BA581" s="10"/>
      <c r="BB581" s="10"/>
      <c r="BC581" s="10"/>
      <c r="BD581" s="10"/>
      <c r="BE581" s="10"/>
      <c r="BF581" s="10"/>
      <c r="BG581" s="10"/>
      <c r="BH581" s="10"/>
      <c r="BI581" s="10"/>
      <c r="BJ581" s="10"/>
      <c r="BK581" s="10"/>
      <c r="BL581" s="10"/>
      <c r="BM581" s="10"/>
      <c r="BN581" s="10"/>
      <c r="BO581" s="10"/>
      <c r="BP581" s="10"/>
      <c r="BQ581" s="10"/>
      <c r="BR581" s="10"/>
      <c r="BS581" s="10"/>
      <c r="BT581" s="10"/>
    </row>
    <row r="582" spans="53:72" ht="18" x14ac:dyDescent="0.2">
      <c r="BA582" s="10"/>
      <c r="BB582" s="10"/>
      <c r="BC582" s="10"/>
      <c r="BD582" s="10"/>
      <c r="BE582" s="10"/>
      <c r="BF582" s="10"/>
      <c r="BG582" s="10"/>
      <c r="BH582" s="10"/>
      <c r="BI582" s="10"/>
      <c r="BJ582" s="10"/>
      <c r="BK582" s="10"/>
      <c r="BL582" s="10"/>
      <c r="BM582" s="10"/>
      <c r="BN582" s="10"/>
      <c r="BO582" s="10"/>
      <c r="BP582" s="10"/>
      <c r="BQ582" s="10"/>
      <c r="BR582" s="10"/>
      <c r="BS582" s="10"/>
      <c r="BT582" s="10"/>
    </row>
    <row r="583" spans="53:72" ht="18" x14ac:dyDescent="0.2">
      <c r="BA583" s="10"/>
      <c r="BB583" s="10"/>
      <c r="BC583" s="10"/>
      <c r="BD583" s="10"/>
      <c r="BE583" s="10"/>
      <c r="BF583" s="10"/>
      <c r="BG583" s="10"/>
      <c r="BH583" s="10"/>
      <c r="BI583" s="10"/>
      <c r="BJ583" s="10"/>
      <c r="BK583" s="10"/>
      <c r="BL583" s="10"/>
      <c r="BM583" s="10"/>
      <c r="BN583" s="10"/>
      <c r="BO583" s="10"/>
      <c r="BP583" s="10"/>
      <c r="BQ583" s="10"/>
      <c r="BR583" s="10"/>
      <c r="BS583" s="10"/>
      <c r="BT583" s="10"/>
    </row>
    <row r="584" spans="53:72" ht="18" x14ac:dyDescent="0.2">
      <c r="BA584" s="10"/>
      <c r="BB584" s="10"/>
      <c r="BC584" s="10"/>
      <c r="BD584" s="10"/>
      <c r="BE584" s="10"/>
      <c r="BF584" s="10"/>
      <c r="BG584" s="10"/>
      <c r="BH584" s="10"/>
      <c r="BI584" s="10"/>
      <c r="BJ584" s="10"/>
      <c r="BK584" s="10"/>
      <c r="BL584" s="10"/>
      <c r="BM584" s="10"/>
      <c r="BN584" s="10"/>
      <c r="BO584" s="10"/>
      <c r="BP584" s="10"/>
      <c r="BQ584" s="10"/>
      <c r="BR584" s="10"/>
      <c r="BS584" s="10"/>
      <c r="BT584" s="10"/>
    </row>
    <row r="585" spans="53:72" ht="18" x14ac:dyDescent="0.2">
      <c r="BA585" s="10"/>
      <c r="BB585" s="10"/>
      <c r="BC585" s="10"/>
      <c r="BD585" s="10"/>
      <c r="BE585" s="10"/>
      <c r="BF585" s="10"/>
      <c r="BG585" s="10"/>
      <c r="BH585" s="10"/>
      <c r="BI585" s="10"/>
      <c r="BJ585" s="10"/>
      <c r="BK585" s="10"/>
      <c r="BL585" s="10"/>
      <c r="BM585" s="10"/>
      <c r="BN585" s="10"/>
      <c r="BO585" s="10"/>
      <c r="BP585" s="10"/>
      <c r="BQ585" s="10"/>
      <c r="BR585" s="10"/>
      <c r="BS585" s="10"/>
      <c r="BT585" s="10"/>
    </row>
    <row r="586" spans="53:72" ht="18" x14ac:dyDescent="0.2">
      <c r="BA586" s="10"/>
      <c r="BB586" s="10"/>
      <c r="BC586" s="10"/>
      <c r="BD586" s="10"/>
      <c r="BE586" s="10"/>
      <c r="BF586" s="10"/>
      <c r="BG586" s="10"/>
      <c r="BH586" s="10"/>
      <c r="BI586" s="10"/>
      <c r="BJ586" s="10"/>
      <c r="BK586" s="10"/>
      <c r="BL586" s="10"/>
      <c r="BM586" s="10"/>
      <c r="BN586" s="10"/>
      <c r="BO586" s="10"/>
      <c r="BP586" s="10"/>
      <c r="BQ586" s="10"/>
      <c r="BR586" s="10"/>
      <c r="BS586" s="10"/>
      <c r="BT586" s="10"/>
    </row>
    <row r="587" spans="53:72" ht="18" x14ac:dyDescent="0.2">
      <c r="BA587" s="10"/>
      <c r="BB587" s="10"/>
      <c r="BC587" s="10"/>
      <c r="BD587" s="10"/>
      <c r="BE587" s="10"/>
      <c r="BF587" s="10"/>
      <c r="BG587" s="10"/>
      <c r="BH587" s="10"/>
      <c r="BI587" s="10"/>
      <c r="BJ587" s="10"/>
      <c r="BK587" s="10"/>
      <c r="BL587" s="10"/>
      <c r="BM587" s="10"/>
      <c r="BN587" s="10"/>
      <c r="BO587" s="10"/>
      <c r="BP587" s="10"/>
      <c r="BQ587" s="10"/>
      <c r="BR587" s="10"/>
      <c r="BS587" s="10"/>
      <c r="BT587" s="10"/>
    </row>
    <row r="588" spans="53:72" ht="18" x14ac:dyDescent="0.2">
      <c r="BA588" s="10"/>
      <c r="BB588" s="10"/>
      <c r="BC588" s="10"/>
      <c r="BD588" s="10"/>
      <c r="BE588" s="10"/>
      <c r="BF588" s="10"/>
      <c r="BG588" s="10"/>
      <c r="BH588" s="10"/>
      <c r="BI588" s="10"/>
      <c r="BJ588" s="10"/>
      <c r="BK588" s="10"/>
      <c r="BL588" s="10"/>
      <c r="BM588" s="10"/>
      <c r="BN588" s="10"/>
      <c r="BO588" s="10"/>
      <c r="BP588" s="10"/>
      <c r="BQ588" s="10"/>
      <c r="BR588" s="10"/>
      <c r="BS588" s="10"/>
      <c r="BT588" s="10"/>
    </row>
    <row r="589" spans="53:72" ht="18" x14ac:dyDescent="0.2">
      <c r="BA589" s="10"/>
      <c r="BB589" s="10"/>
      <c r="BC589" s="10"/>
      <c r="BD589" s="10"/>
      <c r="BE589" s="10"/>
      <c r="BF589" s="10"/>
      <c r="BG589" s="10"/>
      <c r="BH589" s="10"/>
      <c r="BI589" s="10"/>
      <c r="BJ589" s="10"/>
      <c r="BK589" s="10"/>
      <c r="BL589" s="10"/>
      <c r="BM589" s="10"/>
      <c r="BN589" s="10"/>
      <c r="BO589" s="10"/>
      <c r="BP589" s="10"/>
      <c r="BQ589" s="10"/>
      <c r="BR589" s="10"/>
      <c r="BS589" s="10"/>
      <c r="BT589" s="10"/>
    </row>
    <row r="590" spans="53:72" ht="18" x14ac:dyDescent="0.2">
      <c r="BA590" s="10"/>
      <c r="BB590" s="10"/>
      <c r="BC590" s="10"/>
      <c r="BD590" s="10"/>
      <c r="BE590" s="10"/>
      <c r="BF590" s="10"/>
      <c r="BG590" s="10"/>
      <c r="BH590" s="10"/>
      <c r="BI590" s="10"/>
      <c r="BJ590" s="10"/>
      <c r="BK590" s="10"/>
      <c r="BL590" s="10"/>
      <c r="BM590" s="10"/>
      <c r="BN590" s="10"/>
      <c r="BO590" s="10"/>
      <c r="BP590" s="10"/>
      <c r="BQ590" s="10"/>
      <c r="BR590" s="10"/>
      <c r="BS590" s="10"/>
      <c r="BT590" s="10"/>
    </row>
    <row r="591" spans="53:72" ht="18" x14ac:dyDescent="0.2">
      <c r="BA591" s="10"/>
      <c r="BB591" s="10"/>
      <c r="BC591" s="10"/>
      <c r="BD591" s="10"/>
      <c r="BE591" s="10"/>
      <c r="BF591" s="10"/>
      <c r="BG591" s="10"/>
      <c r="BH591" s="10"/>
      <c r="BI591" s="10"/>
      <c r="BJ591" s="10"/>
      <c r="BK591" s="10"/>
      <c r="BL591" s="10"/>
      <c r="BM591" s="10"/>
      <c r="BN591" s="10"/>
      <c r="BO591" s="10"/>
      <c r="BP591" s="10"/>
      <c r="BQ591" s="10"/>
      <c r="BR591" s="10"/>
      <c r="BS591" s="10"/>
      <c r="BT591" s="10"/>
    </row>
    <row r="592" spans="53:72" ht="18" x14ac:dyDescent="0.2">
      <c r="BA592" s="10"/>
      <c r="BB592" s="10"/>
      <c r="BC592" s="10"/>
      <c r="BD592" s="10"/>
      <c r="BE592" s="10"/>
      <c r="BF592" s="10"/>
      <c r="BG592" s="10"/>
      <c r="BH592" s="10"/>
      <c r="BI592" s="10"/>
      <c r="BJ592" s="10"/>
      <c r="BK592" s="10"/>
      <c r="BL592" s="10"/>
      <c r="BM592" s="10"/>
      <c r="BN592" s="10"/>
      <c r="BO592" s="10"/>
      <c r="BP592" s="10"/>
      <c r="BQ592" s="10"/>
      <c r="BR592" s="10"/>
      <c r="BS592" s="10"/>
      <c r="BT592" s="10"/>
    </row>
    <row r="593" spans="53:72" ht="18" x14ac:dyDescent="0.2">
      <c r="BA593" s="10"/>
      <c r="BB593" s="10"/>
      <c r="BC593" s="10"/>
      <c r="BD593" s="10"/>
      <c r="BE593" s="10"/>
      <c r="BF593" s="10"/>
      <c r="BG593" s="10"/>
      <c r="BH593" s="10"/>
      <c r="BI593" s="10"/>
      <c r="BJ593" s="10"/>
      <c r="BK593" s="10"/>
      <c r="BL593" s="10"/>
      <c r="BM593" s="10"/>
      <c r="BN593" s="10"/>
      <c r="BO593" s="10"/>
      <c r="BP593" s="10"/>
      <c r="BQ593" s="10"/>
      <c r="BR593" s="10"/>
      <c r="BS593" s="10"/>
      <c r="BT593" s="10"/>
    </row>
    <row r="594" spans="53:72" ht="18" x14ac:dyDescent="0.2">
      <c r="BA594" s="10"/>
      <c r="BB594" s="10"/>
      <c r="BC594" s="10"/>
      <c r="BD594" s="10"/>
      <c r="BE594" s="10"/>
      <c r="BF594" s="10"/>
      <c r="BG594" s="10"/>
      <c r="BH594" s="10"/>
      <c r="BI594" s="10"/>
      <c r="BJ594" s="10"/>
      <c r="BK594" s="10"/>
      <c r="BL594" s="10"/>
      <c r="BM594" s="10"/>
      <c r="BN594" s="10"/>
      <c r="BO594" s="10"/>
      <c r="BP594" s="10"/>
      <c r="BQ594" s="10"/>
      <c r="BR594" s="10"/>
      <c r="BS594" s="10"/>
      <c r="BT594" s="10"/>
    </row>
    <row r="595" spans="53:72" ht="18" x14ac:dyDescent="0.2">
      <c r="BA595" s="10"/>
      <c r="BB595" s="10"/>
      <c r="BC595" s="10"/>
      <c r="BD595" s="10"/>
      <c r="BE595" s="10"/>
      <c r="BF595" s="10"/>
      <c r="BG595" s="10"/>
      <c r="BH595" s="10"/>
      <c r="BI595" s="10"/>
      <c r="BJ595" s="10"/>
      <c r="BK595" s="10"/>
      <c r="BL595" s="10"/>
      <c r="BM595" s="10"/>
      <c r="BN595" s="10"/>
      <c r="BO595" s="10"/>
      <c r="BP595" s="10"/>
      <c r="BQ595" s="10"/>
      <c r="BR595" s="10"/>
      <c r="BS595" s="10"/>
      <c r="BT595" s="10"/>
    </row>
    <row r="596" spans="53:72" ht="18" x14ac:dyDescent="0.2">
      <c r="BA596" s="10"/>
      <c r="BB596" s="10"/>
      <c r="BC596" s="10"/>
      <c r="BD596" s="10"/>
      <c r="BE596" s="10"/>
      <c r="BF596" s="10"/>
      <c r="BG596" s="10"/>
      <c r="BH596" s="10"/>
      <c r="BI596" s="10"/>
      <c r="BJ596" s="10"/>
      <c r="BK596" s="10"/>
      <c r="BL596" s="10"/>
      <c r="BM596" s="10"/>
      <c r="BN596" s="10"/>
      <c r="BO596" s="10"/>
      <c r="BP596" s="10"/>
      <c r="BQ596" s="10"/>
      <c r="BR596" s="10"/>
      <c r="BS596" s="10"/>
      <c r="BT596" s="10"/>
    </row>
    <row r="597" spans="53:72" ht="18" x14ac:dyDescent="0.2">
      <c r="BA597" s="10"/>
      <c r="BB597" s="10"/>
      <c r="BC597" s="10"/>
      <c r="BD597" s="10"/>
      <c r="BE597" s="10"/>
      <c r="BF597" s="10"/>
      <c r="BG597" s="10"/>
      <c r="BH597" s="10"/>
      <c r="BI597" s="10"/>
      <c r="BJ597" s="10"/>
      <c r="BK597" s="10"/>
      <c r="BL597" s="10"/>
      <c r="BM597" s="10"/>
      <c r="BN597" s="10"/>
      <c r="BO597" s="10"/>
      <c r="BP597" s="10"/>
      <c r="BQ597" s="10"/>
      <c r="BR597" s="10"/>
      <c r="BS597" s="10"/>
      <c r="BT597" s="10"/>
    </row>
    <row r="598" spans="53:72" ht="18" x14ac:dyDescent="0.2">
      <c r="BA598" s="10"/>
      <c r="BB598" s="10"/>
      <c r="BC598" s="10"/>
      <c r="BD598" s="10"/>
      <c r="BE598" s="10"/>
      <c r="BF598" s="10"/>
      <c r="BG598" s="10"/>
      <c r="BH598" s="10"/>
      <c r="BI598" s="10"/>
      <c r="BJ598" s="10"/>
      <c r="BK598" s="10"/>
      <c r="BL598" s="10"/>
      <c r="BM598" s="10"/>
      <c r="BN598" s="10"/>
      <c r="BO598" s="10"/>
      <c r="BP598" s="10"/>
      <c r="BQ598" s="10"/>
      <c r="BR598" s="10"/>
      <c r="BS598" s="10"/>
      <c r="BT598" s="10"/>
    </row>
    <row r="599" spans="53:72" ht="18" x14ac:dyDescent="0.2">
      <c r="BA599" s="10"/>
      <c r="BB599" s="10"/>
      <c r="BC599" s="10"/>
      <c r="BD599" s="10"/>
      <c r="BE599" s="10"/>
      <c r="BF599" s="10"/>
      <c r="BG599" s="10"/>
      <c r="BH599" s="10"/>
      <c r="BI599" s="10"/>
      <c r="BJ599" s="10"/>
      <c r="BK599" s="10"/>
      <c r="BL599" s="10"/>
      <c r="BM599" s="10"/>
      <c r="BN599" s="10"/>
      <c r="BO599" s="10"/>
      <c r="BP599" s="10"/>
      <c r="BQ599" s="10"/>
      <c r="BR599" s="10"/>
      <c r="BS599" s="10"/>
      <c r="BT599" s="10"/>
    </row>
    <row r="600" spans="53:72" ht="18" x14ac:dyDescent="0.2">
      <c r="BA600" s="10"/>
      <c r="BB600" s="10"/>
      <c r="BC600" s="10"/>
      <c r="BD600" s="10"/>
      <c r="BE600" s="10"/>
      <c r="BF600" s="10"/>
      <c r="BG600" s="10"/>
      <c r="BH600" s="10"/>
      <c r="BI600" s="10"/>
      <c r="BJ600" s="10"/>
      <c r="BK600" s="10"/>
      <c r="BL600" s="10"/>
      <c r="BM600" s="10"/>
      <c r="BN600" s="10"/>
      <c r="BO600" s="10"/>
      <c r="BP600" s="10"/>
      <c r="BQ600" s="10"/>
      <c r="BR600" s="10"/>
      <c r="BS600" s="10"/>
      <c r="BT600" s="10"/>
    </row>
    <row r="601" spans="53:72" ht="18" x14ac:dyDescent="0.2">
      <c r="BA601" s="10"/>
      <c r="BB601" s="10"/>
      <c r="BC601" s="10"/>
      <c r="BD601" s="10"/>
      <c r="BE601" s="10"/>
      <c r="BF601" s="10"/>
      <c r="BG601" s="10"/>
      <c r="BH601" s="10"/>
      <c r="BI601" s="10"/>
      <c r="BJ601" s="10"/>
      <c r="BK601" s="10"/>
      <c r="BL601" s="10"/>
      <c r="BM601" s="10"/>
      <c r="BN601" s="10"/>
      <c r="BO601" s="10"/>
      <c r="BP601" s="10"/>
      <c r="BQ601" s="10"/>
      <c r="BR601" s="10"/>
      <c r="BS601" s="10"/>
      <c r="BT601" s="10"/>
    </row>
    <row r="602" spans="53:72" ht="18" x14ac:dyDescent="0.2">
      <c r="BA602" s="10"/>
      <c r="BB602" s="10"/>
      <c r="BC602" s="10"/>
      <c r="BD602" s="10"/>
      <c r="BE602" s="10"/>
      <c r="BF602" s="10"/>
      <c r="BG602" s="10"/>
      <c r="BH602" s="10"/>
      <c r="BI602" s="10"/>
      <c r="BJ602" s="10"/>
      <c r="BK602" s="10"/>
      <c r="BL602" s="10"/>
      <c r="BM602" s="10"/>
      <c r="BN602" s="10"/>
      <c r="BO602" s="10"/>
      <c r="BP602" s="10"/>
      <c r="BQ602" s="10"/>
      <c r="BR602" s="10"/>
      <c r="BS602" s="10"/>
      <c r="BT602" s="10"/>
    </row>
    <row r="603" spans="53:72" ht="18" x14ac:dyDescent="0.2">
      <c r="BA603" s="10"/>
      <c r="BB603" s="10"/>
      <c r="BC603" s="10"/>
      <c r="BD603" s="10"/>
      <c r="BE603" s="10"/>
      <c r="BF603" s="10"/>
      <c r="BG603" s="10"/>
      <c r="BH603" s="10"/>
      <c r="BI603" s="10"/>
      <c r="BJ603" s="10"/>
      <c r="BK603" s="10"/>
      <c r="BL603" s="10"/>
      <c r="BM603" s="10"/>
      <c r="BN603" s="10"/>
      <c r="BO603" s="10"/>
      <c r="BP603" s="10"/>
      <c r="BQ603" s="10"/>
      <c r="BR603" s="10"/>
      <c r="BS603" s="10"/>
      <c r="BT603" s="10"/>
    </row>
    <row r="604" spans="53:72" ht="18" x14ac:dyDescent="0.2">
      <c r="BA604" s="10"/>
      <c r="BB604" s="10"/>
      <c r="BC604" s="10"/>
      <c r="BD604" s="10"/>
      <c r="BE604" s="10"/>
      <c r="BF604" s="10"/>
      <c r="BG604" s="10"/>
      <c r="BH604" s="10"/>
      <c r="BI604" s="10"/>
      <c r="BJ604" s="10"/>
      <c r="BK604" s="10"/>
      <c r="BL604" s="10"/>
      <c r="BM604" s="10"/>
      <c r="BN604" s="10"/>
      <c r="BO604" s="10"/>
      <c r="BP604" s="10"/>
      <c r="BQ604" s="10"/>
      <c r="BR604" s="10"/>
      <c r="BS604" s="10"/>
      <c r="BT604" s="10"/>
    </row>
    <row r="605" spans="53:72" ht="18" x14ac:dyDescent="0.2">
      <c r="BA605" s="10"/>
      <c r="BB605" s="10"/>
      <c r="BC605" s="10"/>
      <c r="BD605" s="10"/>
      <c r="BE605" s="10"/>
      <c r="BF605" s="10"/>
      <c r="BG605" s="10"/>
      <c r="BH605" s="10"/>
      <c r="BI605" s="10"/>
      <c r="BJ605" s="10"/>
      <c r="BK605" s="10"/>
      <c r="BL605" s="10"/>
      <c r="BM605" s="10"/>
      <c r="BN605" s="10"/>
      <c r="BO605" s="10"/>
      <c r="BP605" s="10"/>
      <c r="BQ605" s="10"/>
      <c r="BR605" s="10"/>
      <c r="BS605" s="10"/>
      <c r="BT605" s="10"/>
    </row>
    <row r="606" spans="53:72" ht="18" x14ac:dyDescent="0.2">
      <c r="BA606" s="10"/>
      <c r="BB606" s="10"/>
      <c r="BC606" s="10"/>
      <c r="BD606" s="10"/>
      <c r="BE606" s="10"/>
      <c r="BF606" s="10"/>
      <c r="BG606" s="10"/>
      <c r="BH606" s="10"/>
      <c r="BI606" s="10"/>
      <c r="BJ606" s="10"/>
      <c r="BK606" s="10"/>
      <c r="BL606" s="10"/>
      <c r="BM606" s="10"/>
      <c r="BN606" s="10"/>
      <c r="BO606" s="10"/>
      <c r="BP606" s="10"/>
      <c r="BQ606" s="10"/>
      <c r="BR606" s="10"/>
      <c r="BS606" s="10"/>
      <c r="BT606" s="10"/>
    </row>
    <row r="607" spans="53:72" ht="18" x14ac:dyDescent="0.2">
      <c r="BA607" s="10"/>
      <c r="BB607" s="10"/>
      <c r="BC607" s="10"/>
      <c r="BD607" s="10"/>
      <c r="BE607" s="10"/>
      <c r="BF607" s="10"/>
      <c r="BG607" s="10"/>
      <c r="BH607" s="10"/>
      <c r="BI607" s="10"/>
      <c r="BJ607" s="10"/>
      <c r="BK607" s="10"/>
      <c r="BL607" s="10"/>
      <c r="BM607" s="10"/>
      <c r="BN607" s="10"/>
      <c r="BO607" s="10"/>
      <c r="BP607" s="10"/>
      <c r="BQ607" s="10"/>
      <c r="BR607" s="10"/>
      <c r="BS607" s="10"/>
      <c r="BT607" s="10"/>
    </row>
    <row r="608" spans="53:72" ht="18" x14ac:dyDescent="0.2">
      <c r="BA608" s="10"/>
      <c r="BB608" s="10"/>
      <c r="BC608" s="10"/>
      <c r="BD608" s="10"/>
      <c r="BE608" s="10"/>
      <c r="BF608" s="10"/>
      <c r="BG608" s="10"/>
      <c r="BH608" s="10"/>
      <c r="BI608" s="10"/>
      <c r="BJ608" s="10"/>
      <c r="BK608" s="10"/>
      <c r="BL608" s="10"/>
      <c r="BM608" s="10"/>
      <c r="BN608" s="10"/>
      <c r="BO608" s="10"/>
      <c r="BP608" s="10"/>
      <c r="BQ608" s="10"/>
      <c r="BR608" s="10"/>
      <c r="BS608" s="10"/>
      <c r="BT608" s="10"/>
    </row>
    <row r="609" spans="53:72" ht="18" x14ac:dyDescent="0.2">
      <c r="BA609" s="10"/>
      <c r="BB609" s="10"/>
      <c r="BC609" s="10"/>
      <c r="BD609" s="10"/>
      <c r="BE609" s="10"/>
      <c r="BF609" s="10"/>
      <c r="BG609" s="10"/>
      <c r="BH609" s="10"/>
      <c r="BI609" s="10"/>
      <c r="BJ609" s="10"/>
      <c r="BK609" s="10"/>
      <c r="BL609" s="10"/>
      <c r="BM609" s="10"/>
      <c r="BN609" s="10"/>
      <c r="BO609" s="10"/>
      <c r="BP609" s="10"/>
      <c r="BQ609" s="10"/>
      <c r="BR609" s="10"/>
      <c r="BS609" s="10"/>
      <c r="BT609" s="10"/>
    </row>
    <row r="610" spans="53:72" ht="18" x14ac:dyDescent="0.2">
      <c r="BA610" s="10"/>
      <c r="BB610" s="10"/>
      <c r="BC610" s="10"/>
      <c r="BD610" s="10"/>
      <c r="BE610" s="10"/>
      <c r="BF610" s="10"/>
      <c r="BG610" s="10"/>
      <c r="BH610" s="10"/>
      <c r="BI610" s="10"/>
      <c r="BJ610" s="10"/>
      <c r="BK610" s="10"/>
      <c r="BL610" s="10"/>
      <c r="BM610" s="10"/>
      <c r="BN610" s="10"/>
      <c r="BO610" s="10"/>
      <c r="BP610" s="10"/>
      <c r="BQ610" s="10"/>
      <c r="BR610" s="10"/>
      <c r="BS610" s="10"/>
      <c r="BT610" s="10"/>
    </row>
    <row r="611" spans="53:72" ht="18" x14ac:dyDescent="0.2">
      <c r="BA611" s="10"/>
      <c r="BB611" s="10"/>
      <c r="BC611" s="10"/>
      <c r="BD611" s="10"/>
      <c r="BE611" s="10"/>
      <c r="BF611" s="10"/>
      <c r="BG611" s="10"/>
      <c r="BH611" s="10"/>
      <c r="BI611" s="10"/>
      <c r="BJ611" s="10"/>
      <c r="BK611" s="10"/>
      <c r="BL611" s="10"/>
      <c r="BM611" s="10"/>
      <c r="BN611" s="10"/>
      <c r="BO611" s="10"/>
      <c r="BP611" s="10"/>
      <c r="BQ611" s="10"/>
      <c r="BR611" s="10"/>
      <c r="BS611" s="10"/>
      <c r="BT611" s="10"/>
    </row>
    <row r="612" spans="53:72" ht="18" x14ac:dyDescent="0.2">
      <c r="BA612" s="10"/>
      <c r="BB612" s="10"/>
      <c r="BC612" s="10"/>
      <c r="BD612" s="10"/>
      <c r="BE612" s="10"/>
      <c r="BF612" s="10"/>
      <c r="BG612" s="10"/>
      <c r="BH612" s="10"/>
      <c r="BI612" s="10"/>
      <c r="BJ612" s="10"/>
      <c r="BK612" s="10"/>
      <c r="BL612" s="10"/>
      <c r="BM612" s="10"/>
      <c r="BN612" s="10"/>
      <c r="BO612" s="10"/>
      <c r="BP612" s="10"/>
      <c r="BQ612" s="10"/>
      <c r="BR612" s="10"/>
      <c r="BS612" s="10"/>
      <c r="BT612" s="10"/>
    </row>
    <row r="613" spans="53:72" ht="18" x14ac:dyDescent="0.2">
      <c r="BA613" s="10"/>
      <c r="BB613" s="10"/>
      <c r="BC613" s="10"/>
      <c r="BD613" s="10"/>
      <c r="BE613" s="10"/>
      <c r="BF613" s="10"/>
      <c r="BG613" s="10"/>
      <c r="BH613" s="10"/>
      <c r="BI613" s="10"/>
      <c r="BJ613" s="10"/>
      <c r="BK613" s="10"/>
      <c r="BL613" s="10"/>
      <c r="BM613" s="10"/>
      <c r="BN613" s="10"/>
      <c r="BO613" s="10"/>
      <c r="BP613" s="10"/>
      <c r="BQ613" s="10"/>
      <c r="BR613" s="10"/>
      <c r="BS613" s="10"/>
      <c r="BT613" s="10"/>
    </row>
    <row r="614" spans="53:72" ht="18" x14ac:dyDescent="0.2">
      <c r="BA614" s="10"/>
      <c r="BB614" s="10"/>
      <c r="BC614" s="10"/>
      <c r="BD614" s="10"/>
      <c r="BE614" s="10"/>
      <c r="BF614" s="10"/>
      <c r="BG614" s="10"/>
      <c r="BH614" s="10"/>
      <c r="BI614" s="10"/>
      <c r="BJ614" s="10"/>
      <c r="BK614" s="10"/>
      <c r="BL614" s="10"/>
      <c r="BM614" s="10"/>
      <c r="BN614" s="10"/>
      <c r="BO614" s="10"/>
      <c r="BP614" s="10"/>
      <c r="BQ614" s="10"/>
      <c r="BR614" s="10"/>
      <c r="BS614" s="10"/>
      <c r="BT614" s="10"/>
    </row>
    <row r="615" spans="53:72" ht="18" x14ac:dyDescent="0.2">
      <c r="BA615" s="10"/>
      <c r="BB615" s="10"/>
      <c r="BC615" s="10"/>
      <c r="BD615" s="10"/>
      <c r="BE615" s="10"/>
      <c r="BF615" s="10"/>
      <c r="BG615" s="10"/>
      <c r="BH615" s="10"/>
      <c r="BI615" s="10"/>
      <c r="BJ615" s="10"/>
      <c r="BK615" s="10"/>
      <c r="BL615" s="10"/>
      <c r="BM615" s="10"/>
      <c r="BN615" s="10"/>
      <c r="BO615" s="10"/>
      <c r="BP615" s="10"/>
      <c r="BQ615" s="10"/>
      <c r="BR615" s="10"/>
      <c r="BS615" s="10"/>
      <c r="BT615" s="10"/>
    </row>
    <row r="616" spans="53:72" ht="18" x14ac:dyDescent="0.2">
      <c r="BA616" s="10"/>
      <c r="BB616" s="10"/>
      <c r="BC616" s="10"/>
      <c r="BD616" s="10"/>
      <c r="BE616" s="10"/>
      <c r="BF616" s="10"/>
      <c r="BG616" s="10"/>
      <c r="BH616" s="10"/>
      <c r="BI616" s="10"/>
      <c r="BJ616" s="10"/>
      <c r="BK616" s="10"/>
      <c r="BL616" s="10"/>
      <c r="BM616" s="10"/>
      <c r="BN616" s="10"/>
      <c r="BO616" s="10"/>
      <c r="BP616" s="10"/>
      <c r="BQ616" s="10"/>
      <c r="BR616" s="10"/>
      <c r="BS616" s="10"/>
      <c r="BT616" s="10"/>
    </row>
    <row r="617" spans="53:72" ht="18" x14ac:dyDescent="0.2">
      <c r="BA617" s="10"/>
      <c r="BB617" s="10"/>
      <c r="BC617" s="10"/>
      <c r="BD617" s="10"/>
      <c r="BE617" s="10"/>
      <c r="BF617" s="10"/>
      <c r="BG617" s="10"/>
      <c r="BH617" s="10"/>
      <c r="BI617" s="10"/>
      <c r="BJ617" s="10"/>
      <c r="BK617" s="10"/>
      <c r="BL617" s="10"/>
      <c r="BM617" s="10"/>
      <c r="BN617" s="10"/>
      <c r="BO617" s="10"/>
      <c r="BP617" s="10"/>
      <c r="BQ617" s="10"/>
      <c r="BR617" s="10"/>
      <c r="BS617" s="10"/>
      <c r="BT617" s="10"/>
    </row>
    <row r="618" spans="53:72" ht="18" x14ac:dyDescent="0.2">
      <c r="BA618" s="10"/>
      <c r="BB618" s="10"/>
      <c r="BC618" s="10"/>
      <c r="BD618" s="10"/>
      <c r="BE618" s="10"/>
      <c r="BF618" s="10"/>
      <c r="BG618" s="10"/>
      <c r="BH618" s="10"/>
      <c r="BI618" s="10"/>
      <c r="BJ618" s="10"/>
      <c r="BK618" s="10"/>
      <c r="BL618" s="10"/>
      <c r="BM618" s="10"/>
      <c r="BN618" s="10"/>
      <c r="BO618" s="10"/>
      <c r="BP618" s="10"/>
      <c r="BQ618" s="10"/>
      <c r="BR618" s="10"/>
      <c r="BS618" s="10"/>
      <c r="BT618" s="10"/>
    </row>
    <row r="619" spans="53:72" ht="18" x14ac:dyDescent="0.2">
      <c r="BA619" s="10"/>
      <c r="BB619" s="10"/>
      <c r="BC619" s="10"/>
      <c r="BD619" s="10"/>
      <c r="BE619" s="10"/>
      <c r="BF619" s="10"/>
      <c r="BG619" s="10"/>
      <c r="BH619" s="10"/>
      <c r="BI619" s="10"/>
      <c r="BJ619" s="10"/>
      <c r="BK619" s="10"/>
      <c r="BL619" s="10"/>
      <c r="BM619" s="10"/>
      <c r="BN619" s="10"/>
      <c r="BO619" s="10"/>
      <c r="BP619" s="10"/>
      <c r="BQ619" s="10"/>
      <c r="BR619" s="10"/>
      <c r="BS619" s="10"/>
      <c r="BT619" s="10"/>
    </row>
    <row r="620" spans="53:72" ht="18" x14ac:dyDescent="0.2">
      <c r="BA620" s="10"/>
      <c r="BB620" s="10"/>
      <c r="BC620" s="10"/>
      <c r="BD620" s="10"/>
      <c r="BE620" s="10"/>
      <c r="BF620" s="10"/>
      <c r="BG620" s="10"/>
      <c r="BH620" s="10"/>
      <c r="BI620" s="10"/>
      <c r="BJ620" s="10"/>
      <c r="BK620" s="10"/>
      <c r="BL620" s="10"/>
      <c r="BM620" s="10"/>
      <c r="BN620" s="10"/>
      <c r="BO620" s="10"/>
      <c r="BP620" s="10"/>
      <c r="BQ620" s="10"/>
      <c r="BR620" s="10"/>
      <c r="BS620" s="10"/>
      <c r="BT620" s="10"/>
    </row>
    <row r="621" spans="53:72" ht="18" x14ac:dyDescent="0.2">
      <c r="BA621" s="10"/>
      <c r="BB621" s="10"/>
      <c r="BC621" s="10"/>
      <c r="BD621" s="10"/>
      <c r="BE621" s="10"/>
      <c r="BF621" s="10"/>
      <c r="BG621" s="10"/>
      <c r="BH621" s="10"/>
      <c r="BI621" s="10"/>
      <c r="BJ621" s="10"/>
      <c r="BK621" s="10"/>
      <c r="BL621" s="10"/>
      <c r="BM621" s="10"/>
      <c r="BN621" s="10"/>
      <c r="BO621" s="10"/>
      <c r="BP621" s="10"/>
      <c r="BQ621" s="10"/>
      <c r="BR621" s="10"/>
      <c r="BS621" s="10"/>
      <c r="BT621" s="10"/>
    </row>
    <row r="622" spans="53:72" ht="18" x14ac:dyDescent="0.2">
      <c r="BA622" s="10"/>
      <c r="BB622" s="10"/>
      <c r="BC622" s="10"/>
      <c r="BD622" s="10"/>
      <c r="BE622" s="10"/>
      <c r="BF622" s="10"/>
      <c r="BG622" s="10"/>
      <c r="BH622" s="10"/>
      <c r="BI622" s="10"/>
      <c r="BJ622" s="10"/>
      <c r="BK622" s="10"/>
      <c r="BL622" s="10"/>
      <c r="BM622" s="10"/>
      <c r="BN622" s="10"/>
      <c r="BO622" s="10"/>
      <c r="BP622" s="10"/>
      <c r="BQ622" s="10"/>
      <c r="BR622" s="10"/>
      <c r="BS622" s="10"/>
      <c r="BT622" s="10"/>
    </row>
    <row r="623" spans="53:72" ht="18" x14ac:dyDescent="0.2">
      <c r="BA623" s="10"/>
      <c r="BB623" s="10"/>
      <c r="BC623" s="10"/>
      <c r="BD623" s="10"/>
      <c r="BE623" s="10"/>
      <c r="BF623" s="10"/>
      <c r="BG623" s="10"/>
      <c r="BH623" s="10"/>
      <c r="BI623" s="10"/>
      <c r="BJ623" s="10"/>
      <c r="BK623" s="10"/>
      <c r="BL623" s="10"/>
      <c r="BM623" s="10"/>
      <c r="BN623" s="10"/>
      <c r="BO623" s="10"/>
      <c r="BP623" s="10"/>
      <c r="BQ623" s="10"/>
      <c r="BR623" s="10"/>
      <c r="BS623" s="10"/>
      <c r="BT623" s="10"/>
    </row>
    <row r="624" spans="53:72" ht="18" x14ac:dyDescent="0.2">
      <c r="BA624" s="10"/>
      <c r="BB624" s="10"/>
      <c r="BC624" s="10"/>
      <c r="BD624" s="10"/>
      <c r="BE624" s="10"/>
      <c r="BF624" s="10"/>
      <c r="BG624" s="10"/>
      <c r="BH624" s="10"/>
      <c r="BI624" s="10"/>
      <c r="BJ624" s="10"/>
      <c r="BK624" s="10"/>
      <c r="BL624" s="10"/>
      <c r="BM624" s="10"/>
      <c r="BN624" s="10"/>
      <c r="BO624" s="10"/>
      <c r="BP624" s="10"/>
      <c r="BQ624" s="10"/>
      <c r="BR624" s="10"/>
      <c r="BS624" s="10"/>
      <c r="BT624" s="10"/>
    </row>
    <row r="625" spans="53:72" ht="18" x14ac:dyDescent="0.2">
      <c r="BA625" s="10"/>
      <c r="BB625" s="10"/>
      <c r="BC625" s="10"/>
      <c r="BD625" s="10"/>
      <c r="BE625" s="10"/>
      <c r="BF625" s="10"/>
      <c r="BG625" s="10"/>
      <c r="BH625" s="10"/>
      <c r="BI625" s="10"/>
      <c r="BJ625" s="10"/>
      <c r="BK625" s="10"/>
      <c r="BL625" s="10"/>
      <c r="BM625" s="10"/>
      <c r="BN625" s="10"/>
      <c r="BO625" s="10"/>
      <c r="BP625" s="10"/>
      <c r="BQ625" s="10"/>
      <c r="BR625" s="10"/>
      <c r="BS625" s="10"/>
      <c r="BT625" s="10"/>
    </row>
    <row r="626" spans="53:72" ht="18" x14ac:dyDescent="0.2">
      <c r="BA626" s="10"/>
      <c r="BB626" s="10"/>
      <c r="BC626" s="10"/>
      <c r="BD626" s="10"/>
      <c r="BE626" s="10"/>
      <c r="BF626" s="10"/>
      <c r="BG626" s="10"/>
      <c r="BH626" s="10"/>
      <c r="BI626" s="10"/>
      <c r="BJ626" s="10"/>
      <c r="BK626" s="10"/>
      <c r="BL626" s="10"/>
      <c r="BM626" s="10"/>
      <c r="BN626" s="10"/>
      <c r="BO626" s="10"/>
      <c r="BP626" s="10"/>
      <c r="BQ626" s="10"/>
      <c r="BR626" s="10"/>
      <c r="BS626" s="10"/>
      <c r="BT626" s="10"/>
    </row>
    <row r="627" spans="53:72" ht="18" x14ac:dyDescent="0.2">
      <c r="BA627" s="10"/>
      <c r="BB627" s="10"/>
      <c r="BC627" s="10"/>
      <c r="BD627" s="10"/>
      <c r="BE627" s="10"/>
      <c r="BF627" s="10"/>
      <c r="BG627" s="10"/>
      <c r="BH627" s="10"/>
      <c r="BI627" s="10"/>
      <c r="BJ627" s="10"/>
      <c r="BK627" s="10"/>
      <c r="BL627" s="10"/>
      <c r="BM627" s="10"/>
      <c r="BN627" s="10"/>
      <c r="BO627" s="10"/>
      <c r="BP627" s="10"/>
      <c r="BQ627" s="10"/>
      <c r="BR627" s="10"/>
      <c r="BS627" s="10"/>
      <c r="BT627" s="10"/>
    </row>
    <row r="628" spans="53:72" ht="18" x14ac:dyDescent="0.2">
      <c r="BA628" s="10"/>
      <c r="BB628" s="10"/>
      <c r="BC628" s="10"/>
      <c r="BD628" s="10"/>
      <c r="BE628" s="10"/>
      <c r="BF628" s="10"/>
      <c r="BG628" s="10"/>
      <c r="BH628" s="10"/>
      <c r="BI628" s="10"/>
      <c r="BJ628" s="10"/>
      <c r="BK628" s="10"/>
      <c r="BL628" s="10"/>
      <c r="BM628" s="10"/>
      <c r="BN628" s="10"/>
      <c r="BO628" s="10"/>
      <c r="BP628" s="10"/>
      <c r="BQ628" s="10"/>
      <c r="BR628" s="10"/>
      <c r="BS628" s="10"/>
      <c r="BT628" s="10"/>
    </row>
    <row r="629" spans="53:72" ht="18" x14ac:dyDescent="0.2">
      <c r="BA629" s="10"/>
      <c r="BB629" s="10"/>
      <c r="BC629" s="10"/>
      <c r="BD629" s="10"/>
      <c r="BE629" s="10"/>
      <c r="BF629" s="10"/>
      <c r="BG629" s="10"/>
      <c r="BH629" s="10"/>
      <c r="BI629" s="10"/>
      <c r="BJ629" s="10"/>
      <c r="BK629" s="10"/>
      <c r="BL629" s="10"/>
      <c r="BM629" s="10"/>
      <c r="BN629" s="10"/>
      <c r="BO629" s="10"/>
      <c r="BP629" s="10"/>
      <c r="BQ629" s="10"/>
      <c r="BR629" s="10"/>
      <c r="BS629" s="10"/>
      <c r="BT629" s="10"/>
    </row>
    <row r="630" spans="53:72" ht="18" x14ac:dyDescent="0.2">
      <c r="BA630" s="10"/>
      <c r="BB630" s="10"/>
      <c r="BC630" s="10"/>
      <c r="BD630" s="10"/>
      <c r="BE630" s="10"/>
      <c r="BF630" s="10"/>
      <c r="BG630" s="10"/>
      <c r="BH630" s="10"/>
      <c r="BI630" s="10"/>
      <c r="BJ630" s="10"/>
      <c r="BK630" s="10"/>
      <c r="BL630" s="10"/>
      <c r="BM630" s="10"/>
      <c r="BN630" s="10"/>
      <c r="BO630" s="10"/>
      <c r="BP630" s="10"/>
      <c r="BQ630" s="10"/>
      <c r="BR630" s="10"/>
      <c r="BS630" s="10"/>
      <c r="BT630" s="10"/>
    </row>
    <row r="631" spans="53:72" ht="18" x14ac:dyDescent="0.2">
      <c r="BA631" s="10"/>
      <c r="BB631" s="10"/>
      <c r="BC631" s="10"/>
      <c r="BD631" s="10"/>
      <c r="BE631" s="10"/>
      <c r="BF631" s="10"/>
      <c r="BG631" s="10"/>
      <c r="BH631" s="10"/>
      <c r="BI631" s="10"/>
      <c r="BJ631" s="10"/>
      <c r="BK631" s="10"/>
      <c r="BL631" s="10"/>
      <c r="BM631" s="10"/>
      <c r="BN631" s="10"/>
      <c r="BO631" s="10"/>
      <c r="BP631" s="10"/>
      <c r="BQ631" s="10"/>
      <c r="BR631" s="10"/>
      <c r="BS631" s="10"/>
      <c r="BT631" s="10"/>
    </row>
    <row r="632" spans="53:72" ht="18" x14ac:dyDescent="0.2">
      <c r="BA632" s="10"/>
      <c r="BB632" s="10"/>
      <c r="BC632" s="10"/>
      <c r="BD632" s="10"/>
      <c r="BE632" s="10"/>
      <c r="BF632" s="10"/>
      <c r="BG632" s="10"/>
      <c r="BH632" s="10"/>
      <c r="BI632" s="10"/>
      <c r="BJ632" s="10"/>
      <c r="BK632" s="10"/>
      <c r="BL632" s="10"/>
      <c r="BM632" s="10"/>
      <c r="BN632" s="10"/>
      <c r="BO632" s="10"/>
      <c r="BP632" s="10"/>
      <c r="BQ632" s="10"/>
      <c r="BR632" s="10"/>
      <c r="BS632" s="10"/>
      <c r="BT632" s="10"/>
    </row>
    <row r="633" spans="53:72" ht="18" x14ac:dyDescent="0.2">
      <c r="BA633" s="10"/>
      <c r="BB633" s="10"/>
      <c r="BC633" s="10"/>
      <c r="BD633" s="10"/>
      <c r="BE633" s="10"/>
      <c r="BF633" s="10"/>
      <c r="BG633" s="10"/>
      <c r="BH633" s="10"/>
      <c r="BI633" s="10"/>
      <c r="BJ633" s="10"/>
      <c r="BK633" s="10"/>
      <c r="BL633" s="10"/>
      <c r="BM633" s="10"/>
      <c r="BN633" s="10"/>
      <c r="BO633" s="10"/>
      <c r="BP633" s="10"/>
      <c r="BQ633" s="10"/>
      <c r="BR633" s="10"/>
      <c r="BS633" s="10"/>
      <c r="BT633" s="10"/>
    </row>
    <row r="634" spans="53:72" ht="18" x14ac:dyDescent="0.2">
      <c r="BA634" s="10"/>
      <c r="BB634" s="10"/>
      <c r="BC634" s="10"/>
      <c r="BD634" s="10"/>
      <c r="BE634" s="10"/>
      <c r="BF634" s="10"/>
      <c r="BG634" s="10"/>
      <c r="BH634" s="10"/>
      <c r="BI634" s="10"/>
      <c r="BJ634" s="10"/>
      <c r="BK634" s="10"/>
      <c r="BL634" s="10"/>
      <c r="BM634" s="10"/>
      <c r="BN634" s="10"/>
      <c r="BO634" s="10"/>
      <c r="BP634" s="10"/>
      <c r="BQ634" s="10"/>
      <c r="BR634" s="10"/>
      <c r="BS634" s="10"/>
      <c r="BT634" s="10"/>
    </row>
    <row r="635" spans="53:72" ht="18" x14ac:dyDescent="0.2">
      <c r="BA635" s="10"/>
      <c r="BB635" s="10"/>
      <c r="BC635" s="10"/>
      <c r="BD635" s="10"/>
      <c r="BE635" s="10"/>
      <c r="BF635" s="10"/>
      <c r="BG635" s="10"/>
      <c r="BH635" s="10"/>
      <c r="BI635" s="10"/>
      <c r="BJ635" s="10"/>
      <c r="BK635" s="10"/>
      <c r="BL635" s="10"/>
      <c r="BM635" s="10"/>
      <c r="BN635" s="10"/>
      <c r="BO635" s="10"/>
      <c r="BP635" s="10"/>
      <c r="BQ635" s="10"/>
      <c r="BR635" s="10"/>
      <c r="BS635" s="10"/>
      <c r="BT635" s="10"/>
    </row>
    <row r="636" spans="53:72" ht="18" x14ac:dyDescent="0.2">
      <c r="BA636" s="10"/>
      <c r="BB636" s="10"/>
      <c r="BC636" s="10"/>
      <c r="BD636" s="10"/>
      <c r="BE636" s="10"/>
      <c r="BF636" s="10"/>
      <c r="BG636" s="10"/>
      <c r="BH636" s="10"/>
      <c r="BI636" s="10"/>
      <c r="BJ636" s="10"/>
      <c r="BK636" s="10"/>
      <c r="BL636" s="10"/>
      <c r="BM636" s="10"/>
      <c r="BN636" s="10"/>
      <c r="BO636" s="10"/>
      <c r="BP636" s="10"/>
      <c r="BQ636" s="10"/>
      <c r="BR636" s="10"/>
      <c r="BS636" s="10"/>
      <c r="BT636" s="10"/>
    </row>
    <row r="637" spans="53:72" ht="18" x14ac:dyDescent="0.2">
      <c r="BA637" s="10"/>
      <c r="BB637" s="10"/>
      <c r="BC637" s="10"/>
      <c r="BD637" s="10"/>
      <c r="BE637" s="10"/>
      <c r="BF637" s="10"/>
      <c r="BG637" s="10"/>
      <c r="BH637" s="10"/>
      <c r="BI637" s="10"/>
      <c r="BJ637" s="10"/>
      <c r="BK637" s="10"/>
      <c r="BL637" s="10"/>
      <c r="BM637" s="10"/>
      <c r="BN637" s="10"/>
      <c r="BO637" s="10"/>
      <c r="BP637" s="10"/>
      <c r="BQ637" s="10"/>
      <c r="BR637" s="10"/>
      <c r="BS637" s="10"/>
      <c r="BT637" s="10"/>
    </row>
    <row r="638" spans="53:72" ht="18" x14ac:dyDescent="0.2">
      <c r="BA638" s="10"/>
      <c r="BB638" s="10"/>
      <c r="BC638" s="10"/>
      <c r="BD638" s="10"/>
      <c r="BE638" s="10"/>
      <c r="BF638" s="10"/>
      <c r="BG638" s="10"/>
      <c r="BH638" s="10"/>
      <c r="BI638" s="10"/>
      <c r="BJ638" s="10"/>
      <c r="BK638" s="10"/>
      <c r="BL638" s="10"/>
      <c r="BM638" s="10"/>
      <c r="BN638" s="10"/>
      <c r="BO638" s="10"/>
      <c r="BP638" s="10"/>
      <c r="BQ638" s="10"/>
      <c r="BR638" s="10"/>
      <c r="BS638" s="10"/>
      <c r="BT638" s="10"/>
    </row>
    <row r="639" spans="53:72" ht="18" x14ac:dyDescent="0.2">
      <c r="BA639" s="10"/>
      <c r="BB639" s="10"/>
      <c r="BC639" s="10"/>
      <c r="BD639" s="10"/>
      <c r="BE639" s="10"/>
      <c r="BF639" s="10"/>
      <c r="BG639" s="10"/>
      <c r="BH639" s="10"/>
      <c r="BI639" s="10"/>
      <c r="BJ639" s="10"/>
      <c r="BK639" s="10"/>
      <c r="BL639" s="10"/>
      <c r="BM639" s="10"/>
      <c r="BN639" s="10"/>
      <c r="BO639" s="10"/>
      <c r="BP639" s="10"/>
      <c r="BQ639" s="10"/>
      <c r="BR639" s="10"/>
      <c r="BS639" s="10"/>
      <c r="BT639" s="10"/>
    </row>
    <row r="640" spans="53:72" ht="18" x14ac:dyDescent="0.2">
      <c r="BA640" s="10"/>
      <c r="BB640" s="10"/>
      <c r="BC640" s="10"/>
      <c r="BD640" s="10"/>
      <c r="BE640" s="10"/>
      <c r="BF640" s="10"/>
      <c r="BG640" s="10"/>
      <c r="BH640" s="10"/>
      <c r="BI640" s="10"/>
      <c r="BJ640" s="10"/>
      <c r="BK640" s="10"/>
      <c r="BL640" s="10"/>
      <c r="BM640" s="10"/>
      <c r="BN640" s="10"/>
      <c r="BO640" s="10"/>
      <c r="BP640" s="10"/>
      <c r="BQ640" s="10"/>
      <c r="BR640" s="10"/>
      <c r="BS640" s="10"/>
      <c r="BT640" s="10"/>
    </row>
    <row r="641" spans="53:72" ht="18" x14ac:dyDescent="0.2">
      <c r="BA641" s="10"/>
      <c r="BB641" s="10"/>
      <c r="BC641" s="10"/>
      <c r="BD641" s="10"/>
      <c r="BE641" s="10"/>
      <c r="BF641" s="10"/>
      <c r="BG641" s="10"/>
      <c r="BH641" s="10"/>
      <c r="BI641" s="10"/>
      <c r="BJ641" s="10"/>
      <c r="BK641" s="10"/>
      <c r="BL641" s="10"/>
      <c r="BM641" s="10"/>
      <c r="BN641" s="10"/>
      <c r="BO641" s="10"/>
      <c r="BP641" s="10"/>
      <c r="BQ641" s="10"/>
      <c r="BR641" s="10"/>
      <c r="BS641" s="10"/>
      <c r="BT641" s="10"/>
    </row>
    <row r="642" spans="53:72" ht="18" x14ac:dyDescent="0.2">
      <c r="BA642" s="10"/>
      <c r="BB642" s="10"/>
      <c r="BC642" s="10"/>
      <c r="BD642" s="10"/>
      <c r="BE642" s="10"/>
      <c r="BF642" s="10"/>
      <c r="BG642" s="10"/>
      <c r="BH642" s="10"/>
      <c r="BI642" s="10"/>
      <c r="BJ642" s="10"/>
      <c r="BK642" s="10"/>
      <c r="BL642" s="10"/>
      <c r="BM642" s="10"/>
      <c r="BN642" s="10"/>
      <c r="BO642" s="10"/>
      <c r="BP642" s="10"/>
      <c r="BQ642" s="10"/>
      <c r="BR642" s="10"/>
      <c r="BS642" s="10"/>
      <c r="BT642" s="10"/>
    </row>
    <row r="643" spans="53:72" ht="18" x14ac:dyDescent="0.2">
      <c r="BA643" s="10"/>
      <c r="BB643" s="10"/>
      <c r="BC643" s="10"/>
      <c r="BD643" s="10"/>
      <c r="BE643" s="10"/>
      <c r="BF643" s="10"/>
      <c r="BG643" s="10"/>
      <c r="BH643" s="10"/>
      <c r="BI643" s="10"/>
      <c r="BJ643" s="10"/>
      <c r="BK643" s="10"/>
      <c r="BL643" s="10"/>
      <c r="BM643" s="10"/>
      <c r="BN643" s="10"/>
      <c r="BO643" s="10"/>
      <c r="BP643" s="10"/>
      <c r="BQ643" s="10"/>
      <c r="BR643" s="10"/>
      <c r="BS643" s="10"/>
      <c r="BT643" s="10"/>
    </row>
    <row r="644" spans="53:72" ht="18" x14ac:dyDescent="0.2">
      <c r="BA644" s="10"/>
      <c r="BB644" s="10"/>
      <c r="BC644" s="10"/>
      <c r="BD644" s="10"/>
      <c r="BE644" s="10"/>
      <c r="BF644" s="10"/>
      <c r="BG644" s="10"/>
      <c r="BH644" s="10"/>
      <c r="BI644" s="10"/>
      <c r="BJ644" s="10"/>
      <c r="BK644" s="10"/>
      <c r="BL644" s="10"/>
      <c r="BM644" s="10"/>
      <c r="BN644" s="10"/>
      <c r="BO644" s="10"/>
      <c r="BP644" s="10"/>
      <c r="BQ644" s="10"/>
      <c r="BR644" s="10"/>
      <c r="BS644" s="10"/>
      <c r="BT644" s="10"/>
    </row>
    <row r="645" spans="53:72" ht="18" x14ac:dyDescent="0.2">
      <c r="BA645" s="10"/>
      <c r="BB645" s="10"/>
      <c r="BC645" s="10"/>
      <c r="BD645" s="10"/>
      <c r="BE645" s="10"/>
      <c r="BF645" s="10"/>
      <c r="BG645" s="10"/>
      <c r="BH645" s="10"/>
      <c r="BI645" s="10"/>
      <c r="BJ645" s="10"/>
      <c r="BK645" s="10"/>
      <c r="BL645" s="10"/>
      <c r="BM645" s="10"/>
      <c r="BN645" s="10"/>
      <c r="BO645" s="10"/>
      <c r="BP645" s="10"/>
      <c r="BQ645" s="10"/>
      <c r="BR645" s="10"/>
      <c r="BS645" s="10"/>
      <c r="BT645" s="10"/>
    </row>
    <row r="646" spans="53:72" ht="18" x14ac:dyDescent="0.2">
      <c r="BA646" s="10"/>
      <c r="BB646" s="10"/>
      <c r="BC646" s="10"/>
      <c r="BD646" s="10"/>
      <c r="BE646" s="10"/>
      <c r="BF646" s="10"/>
      <c r="BG646" s="10"/>
      <c r="BH646" s="10"/>
      <c r="BI646" s="10"/>
      <c r="BJ646" s="10"/>
      <c r="BK646" s="10"/>
      <c r="BL646" s="10"/>
      <c r="BM646" s="10"/>
      <c r="BN646" s="10"/>
      <c r="BO646" s="10"/>
      <c r="BP646" s="10"/>
      <c r="BQ646" s="10"/>
      <c r="BR646" s="10"/>
      <c r="BS646" s="10"/>
      <c r="BT646" s="10"/>
    </row>
    <row r="647" spans="53:72" ht="18" x14ac:dyDescent="0.2">
      <c r="BA647" s="10"/>
      <c r="BB647" s="10"/>
      <c r="BC647" s="10"/>
      <c r="BD647" s="10"/>
      <c r="BE647" s="10"/>
      <c r="BF647" s="10"/>
      <c r="BG647" s="10"/>
      <c r="BH647" s="10"/>
      <c r="BI647" s="10"/>
      <c r="BJ647" s="10"/>
      <c r="BK647" s="10"/>
      <c r="BL647" s="10"/>
      <c r="BM647" s="10"/>
      <c r="BN647" s="10"/>
      <c r="BO647" s="10"/>
      <c r="BP647" s="10"/>
      <c r="BQ647" s="10"/>
      <c r="BR647" s="10"/>
      <c r="BS647" s="10"/>
      <c r="BT647" s="10"/>
    </row>
    <row r="648" spans="53:72" ht="18" x14ac:dyDescent="0.2">
      <c r="BA648" s="10"/>
      <c r="BB648" s="10"/>
      <c r="BC648" s="10"/>
      <c r="BD648" s="10"/>
      <c r="BE648" s="10"/>
      <c r="BF648" s="10"/>
      <c r="BG648" s="10"/>
      <c r="BH648" s="10"/>
      <c r="BI648" s="10"/>
      <c r="BJ648" s="10"/>
      <c r="BK648" s="10"/>
      <c r="BL648" s="10"/>
      <c r="BM648" s="10"/>
      <c r="BN648" s="10"/>
      <c r="BO648" s="10"/>
      <c r="BP648" s="10"/>
      <c r="BQ648" s="10"/>
      <c r="BR648" s="10"/>
      <c r="BS648" s="10"/>
      <c r="BT648" s="10"/>
    </row>
    <row r="649" spans="53:72" ht="18" x14ac:dyDescent="0.2">
      <c r="BA649" s="10"/>
      <c r="BB649" s="10"/>
      <c r="BC649" s="10"/>
      <c r="BD649" s="10"/>
      <c r="BE649" s="10"/>
      <c r="BF649" s="10"/>
      <c r="BG649" s="10"/>
      <c r="BH649" s="10"/>
      <c r="BI649" s="10"/>
      <c r="BJ649" s="10"/>
      <c r="BK649" s="10"/>
      <c r="BL649" s="10"/>
      <c r="BM649" s="10"/>
      <c r="BN649" s="10"/>
      <c r="BO649" s="10"/>
      <c r="BP649" s="10"/>
      <c r="BQ649" s="10"/>
      <c r="BR649" s="10"/>
      <c r="BS649" s="10"/>
      <c r="BT649" s="10"/>
    </row>
    <row r="650" spans="53:72" ht="18" x14ac:dyDescent="0.2">
      <c r="BA650" s="10"/>
      <c r="BB650" s="10"/>
      <c r="BC650" s="10"/>
      <c r="BD650" s="10"/>
      <c r="BE650" s="10"/>
      <c r="BF650" s="10"/>
      <c r="BG650" s="10"/>
      <c r="BH650" s="10"/>
      <c r="BI650" s="10"/>
      <c r="BJ650" s="10"/>
      <c r="BK650" s="10"/>
      <c r="BL650" s="10"/>
      <c r="BM650" s="10"/>
      <c r="BN650" s="10"/>
      <c r="BO650" s="10"/>
      <c r="BP650" s="10"/>
      <c r="BQ650" s="10"/>
      <c r="BR650" s="10"/>
      <c r="BS650" s="10"/>
      <c r="BT650" s="10"/>
    </row>
    <row r="651" spans="53:72" ht="18" x14ac:dyDescent="0.2">
      <c r="BA651" s="10"/>
      <c r="BB651" s="10"/>
      <c r="BC651" s="10"/>
      <c r="BD651" s="10"/>
      <c r="BE651" s="10"/>
      <c r="BF651" s="10"/>
      <c r="BG651" s="10"/>
      <c r="BH651" s="10"/>
      <c r="BI651" s="10"/>
      <c r="BJ651" s="10"/>
      <c r="BK651" s="10"/>
      <c r="BL651" s="10"/>
      <c r="BM651" s="10"/>
      <c r="BN651" s="10"/>
      <c r="BO651" s="10"/>
      <c r="BP651" s="10"/>
      <c r="BQ651" s="10"/>
      <c r="BR651" s="10"/>
      <c r="BS651" s="10"/>
      <c r="BT651" s="10"/>
    </row>
    <row r="652" spans="53:72" ht="18" x14ac:dyDescent="0.2">
      <c r="BA652" s="10"/>
      <c r="BB652" s="10"/>
      <c r="BC652" s="10"/>
      <c r="BD652" s="10"/>
      <c r="BE652" s="10"/>
      <c r="BF652" s="10"/>
      <c r="BG652" s="10"/>
      <c r="BH652" s="10"/>
      <c r="BI652" s="10"/>
      <c r="BJ652" s="10"/>
      <c r="BK652" s="10"/>
      <c r="BL652" s="10"/>
      <c r="BM652" s="10"/>
      <c r="BN652" s="10"/>
      <c r="BO652" s="10"/>
      <c r="BP652" s="10"/>
      <c r="BQ652" s="10"/>
      <c r="BR652" s="10"/>
      <c r="BS652" s="10"/>
      <c r="BT652" s="10"/>
    </row>
    <row r="653" spans="53:72" ht="18" x14ac:dyDescent="0.2">
      <c r="BA653" s="10"/>
      <c r="BB653" s="10"/>
      <c r="BC653" s="10"/>
      <c r="BD653" s="10"/>
      <c r="BE653" s="10"/>
      <c r="BF653" s="10"/>
      <c r="BG653" s="10"/>
      <c r="BH653" s="10"/>
      <c r="BI653" s="10"/>
      <c r="BJ653" s="10"/>
      <c r="BK653" s="10"/>
      <c r="BL653" s="10"/>
      <c r="BM653" s="10"/>
      <c r="BN653" s="10"/>
      <c r="BO653" s="10"/>
      <c r="BP653" s="10"/>
      <c r="BQ653" s="10"/>
      <c r="BR653" s="10"/>
      <c r="BS653" s="10"/>
      <c r="BT653" s="10"/>
    </row>
    <row r="654" spans="53:72" ht="18" x14ac:dyDescent="0.2">
      <c r="BA654" s="10"/>
      <c r="BB654" s="10"/>
      <c r="BC654" s="10"/>
      <c r="BD654" s="10"/>
      <c r="BE654" s="10"/>
      <c r="BF654" s="10"/>
      <c r="BG654" s="10"/>
      <c r="BH654" s="10"/>
      <c r="BI654" s="10"/>
      <c r="BJ654" s="10"/>
      <c r="BK654" s="10"/>
      <c r="BL654" s="10"/>
      <c r="BM654" s="10"/>
      <c r="BN654" s="10"/>
      <c r="BO654" s="10"/>
      <c r="BP654" s="10"/>
      <c r="BQ654" s="10"/>
      <c r="BR654" s="10"/>
      <c r="BS654" s="10"/>
      <c r="BT654" s="10"/>
    </row>
    <row r="655" spans="53:72" ht="18" x14ac:dyDescent="0.2">
      <c r="BA655" s="10"/>
      <c r="BB655" s="10"/>
      <c r="BC655" s="10"/>
      <c r="BD655" s="10"/>
      <c r="BE655" s="10"/>
      <c r="BF655" s="10"/>
      <c r="BG655" s="10"/>
      <c r="BH655" s="10"/>
      <c r="BI655" s="10"/>
      <c r="BJ655" s="10"/>
      <c r="BK655" s="10"/>
      <c r="BL655" s="10"/>
      <c r="BM655" s="10"/>
      <c r="BN655" s="10"/>
      <c r="BO655" s="10"/>
      <c r="BP655" s="10"/>
      <c r="BQ655" s="10"/>
      <c r="BR655" s="10"/>
      <c r="BS655" s="10"/>
      <c r="BT655" s="10"/>
    </row>
    <row r="656" spans="53:72" ht="18" x14ac:dyDescent="0.2">
      <c r="BA656" s="10"/>
      <c r="BB656" s="10"/>
      <c r="BC656" s="10"/>
      <c r="BD656" s="10"/>
      <c r="BE656" s="10"/>
      <c r="BF656" s="10"/>
      <c r="BG656" s="10"/>
      <c r="BH656" s="10"/>
      <c r="BI656" s="10"/>
      <c r="BJ656" s="10"/>
      <c r="BK656" s="10"/>
      <c r="BL656" s="10"/>
      <c r="BM656" s="10"/>
      <c r="BN656" s="10"/>
      <c r="BO656" s="10"/>
      <c r="BP656" s="10"/>
      <c r="BQ656" s="10"/>
      <c r="BR656" s="10"/>
      <c r="BS656" s="10"/>
      <c r="BT656" s="10"/>
    </row>
    <row r="657" spans="53:72" ht="18" x14ac:dyDescent="0.2">
      <c r="BA657" s="10"/>
      <c r="BB657" s="10"/>
      <c r="BC657" s="10"/>
      <c r="BD657" s="10"/>
      <c r="BE657" s="10"/>
      <c r="BF657" s="10"/>
      <c r="BG657" s="10"/>
      <c r="BH657" s="10"/>
      <c r="BI657" s="10"/>
      <c r="BJ657" s="10"/>
      <c r="BK657" s="10"/>
      <c r="BL657" s="10"/>
      <c r="BM657" s="10"/>
      <c r="BN657" s="10"/>
      <c r="BO657" s="10"/>
      <c r="BP657" s="10"/>
      <c r="BQ657" s="10"/>
      <c r="BR657" s="10"/>
      <c r="BS657" s="10"/>
      <c r="BT657" s="10"/>
    </row>
    <row r="658" spans="53:72" ht="18" x14ac:dyDescent="0.2">
      <c r="BA658" s="10"/>
      <c r="BB658" s="10"/>
      <c r="BC658" s="10"/>
      <c r="BD658" s="10"/>
      <c r="BE658" s="10"/>
      <c r="BF658" s="10"/>
      <c r="BG658" s="10"/>
      <c r="BH658" s="10"/>
      <c r="BI658" s="10"/>
      <c r="BJ658" s="10"/>
      <c r="BK658" s="10"/>
      <c r="BL658" s="10"/>
      <c r="BM658" s="10"/>
      <c r="BN658" s="10"/>
      <c r="BO658" s="10"/>
      <c r="BP658" s="10"/>
      <c r="BQ658" s="10"/>
      <c r="BR658" s="10"/>
      <c r="BS658" s="10"/>
      <c r="BT658" s="10"/>
    </row>
    <row r="659" spans="53:72" ht="18" x14ac:dyDescent="0.2">
      <c r="BA659" s="10"/>
      <c r="BB659" s="10"/>
      <c r="BC659" s="10"/>
      <c r="BD659" s="10"/>
      <c r="BE659" s="10"/>
      <c r="BF659" s="10"/>
      <c r="BG659" s="10"/>
      <c r="BH659" s="10"/>
      <c r="BI659" s="10"/>
      <c r="BJ659" s="10"/>
      <c r="BK659" s="10"/>
      <c r="BL659" s="10"/>
      <c r="BM659" s="10"/>
      <c r="BN659" s="10"/>
      <c r="BO659" s="10"/>
      <c r="BP659" s="10"/>
      <c r="BQ659" s="10"/>
      <c r="BR659" s="10"/>
      <c r="BS659" s="10"/>
      <c r="BT659" s="10"/>
    </row>
    <row r="660" spans="53:72" ht="18" x14ac:dyDescent="0.2">
      <c r="BA660" s="10"/>
      <c r="BB660" s="10"/>
      <c r="BC660" s="10"/>
      <c r="BD660" s="10"/>
      <c r="BE660" s="10"/>
      <c r="BF660" s="10"/>
      <c r="BG660" s="10"/>
      <c r="BH660" s="10"/>
      <c r="BI660" s="10"/>
      <c r="BJ660" s="10"/>
      <c r="BK660" s="10"/>
      <c r="BL660" s="10"/>
      <c r="BM660" s="10"/>
      <c r="BN660" s="10"/>
      <c r="BO660" s="10"/>
      <c r="BP660" s="10"/>
      <c r="BQ660" s="10"/>
      <c r="BR660" s="10"/>
      <c r="BS660" s="10"/>
      <c r="BT660" s="10"/>
    </row>
    <row r="661" spans="53:72" ht="18" x14ac:dyDescent="0.2">
      <c r="BA661" s="10"/>
      <c r="BB661" s="10"/>
      <c r="BC661" s="10"/>
      <c r="BD661" s="10"/>
      <c r="BE661" s="10"/>
      <c r="BF661" s="10"/>
      <c r="BG661" s="10"/>
      <c r="BH661" s="10"/>
      <c r="BI661" s="10"/>
      <c r="BJ661" s="10"/>
      <c r="BK661" s="10"/>
      <c r="BL661" s="10"/>
      <c r="BM661" s="10"/>
      <c r="BN661" s="10"/>
      <c r="BO661" s="10"/>
      <c r="BP661" s="10"/>
      <c r="BQ661" s="10"/>
      <c r="BR661" s="10"/>
      <c r="BS661" s="10"/>
      <c r="BT661" s="10"/>
    </row>
    <row r="662" spans="53:72" ht="18" x14ac:dyDescent="0.2">
      <c r="BA662" s="10"/>
      <c r="BB662" s="10"/>
      <c r="BC662" s="10"/>
      <c r="BD662" s="10"/>
      <c r="BE662" s="10"/>
      <c r="BF662" s="10"/>
      <c r="BG662" s="10"/>
      <c r="BH662" s="10"/>
      <c r="BI662" s="10"/>
      <c r="BJ662" s="10"/>
      <c r="BK662" s="10"/>
      <c r="BL662" s="10"/>
      <c r="BM662" s="10"/>
      <c r="BN662" s="10"/>
      <c r="BO662" s="10"/>
      <c r="BP662" s="10"/>
      <c r="BQ662" s="10"/>
      <c r="BR662" s="10"/>
      <c r="BS662" s="10"/>
      <c r="BT662" s="10"/>
    </row>
    <row r="663" spans="53:72" ht="18" x14ac:dyDescent="0.2">
      <c r="BA663" s="10"/>
      <c r="BB663" s="10"/>
      <c r="BC663" s="10"/>
      <c r="BD663" s="10"/>
      <c r="BE663" s="10"/>
      <c r="BF663" s="10"/>
      <c r="BG663" s="10"/>
      <c r="BH663" s="10"/>
      <c r="BI663" s="10"/>
      <c r="BJ663" s="10"/>
      <c r="BK663" s="10"/>
      <c r="BL663" s="10"/>
      <c r="BM663" s="10"/>
      <c r="BN663" s="10"/>
      <c r="BO663" s="10"/>
      <c r="BP663" s="10"/>
      <c r="BQ663" s="10"/>
      <c r="BR663" s="10"/>
      <c r="BS663" s="10"/>
      <c r="BT663" s="10"/>
    </row>
    <row r="664" spans="53:72" ht="18" x14ac:dyDescent="0.2">
      <c r="BA664" s="10"/>
      <c r="BB664" s="10"/>
      <c r="BC664" s="10"/>
      <c r="BD664" s="10"/>
      <c r="BE664" s="10"/>
      <c r="BF664" s="10"/>
      <c r="BG664" s="10"/>
      <c r="BH664" s="10"/>
      <c r="BI664" s="10"/>
      <c r="BJ664" s="10"/>
      <c r="BK664" s="10"/>
      <c r="BL664" s="10"/>
      <c r="BM664" s="10"/>
      <c r="BN664" s="10"/>
      <c r="BO664" s="10"/>
      <c r="BP664" s="10"/>
      <c r="BQ664" s="10"/>
      <c r="BR664" s="10"/>
      <c r="BS664" s="10"/>
      <c r="BT664" s="10"/>
    </row>
    <row r="665" spans="53:72" ht="18" x14ac:dyDescent="0.2">
      <c r="BA665" s="10"/>
      <c r="BB665" s="10"/>
      <c r="BC665" s="10"/>
      <c r="BD665" s="10"/>
      <c r="BE665" s="10"/>
      <c r="BF665" s="10"/>
      <c r="BG665" s="10"/>
      <c r="BH665" s="10"/>
      <c r="BI665" s="10"/>
      <c r="BJ665" s="10"/>
      <c r="BK665" s="10"/>
      <c r="BL665" s="10"/>
      <c r="BM665" s="10"/>
      <c r="BN665" s="10"/>
      <c r="BO665" s="10"/>
      <c r="BP665" s="10"/>
      <c r="BQ665" s="10"/>
      <c r="BR665" s="10"/>
      <c r="BS665" s="10"/>
      <c r="BT665" s="10"/>
    </row>
    <row r="666" spans="53:72" ht="18" x14ac:dyDescent="0.2">
      <c r="BA666" s="10"/>
      <c r="BB666" s="10"/>
      <c r="BC666" s="10"/>
      <c r="BD666" s="10"/>
      <c r="BE666" s="10"/>
      <c r="BF666" s="10"/>
      <c r="BG666" s="10"/>
      <c r="BH666" s="10"/>
      <c r="BI666" s="10"/>
      <c r="BJ666" s="10"/>
      <c r="BK666" s="10"/>
      <c r="BL666" s="10"/>
      <c r="BM666" s="10"/>
      <c r="BN666" s="10"/>
      <c r="BO666" s="10"/>
      <c r="BP666" s="10"/>
      <c r="BQ666" s="10"/>
      <c r="BR666" s="10"/>
      <c r="BS666" s="10"/>
      <c r="BT666" s="10"/>
    </row>
    <row r="667" spans="53:72" ht="18" x14ac:dyDescent="0.2">
      <c r="BA667" s="10"/>
      <c r="BB667" s="10"/>
      <c r="BC667" s="10"/>
      <c r="BD667" s="10"/>
      <c r="BE667" s="10"/>
      <c r="BF667" s="10"/>
      <c r="BG667" s="10"/>
      <c r="BH667" s="10"/>
      <c r="BI667" s="10"/>
      <c r="BJ667" s="10"/>
      <c r="BK667" s="10"/>
      <c r="BL667" s="10"/>
      <c r="BM667" s="10"/>
      <c r="BN667" s="10"/>
      <c r="BO667" s="10"/>
      <c r="BP667" s="10"/>
      <c r="BQ667" s="10"/>
      <c r="BR667" s="10"/>
      <c r="BS667" s="10"/>
      <c r="BT667" s="10"/>
    </row>
    <row r="668" spans="53:72" ht="18" x14ac:dyDescent="0.2">
      <c r="BA668" s="10"/>
      <c r="BB668" s="10"/>
      <c r="BC668" s="10"/>
      <c r="BD668" s="10"/>
      <c r="BE668" s="10"/>
      <c r="BF668" s="10"/>
      <c r="BG668" s="10"/>
      <c r="BH668" s="10"/>
      <c r="BI668" s="10"/>
      <c r="BJ668" s="10"/>
      <c r="BK668" s="10"/>
      <c r="BL668" s="10"/>
      <c r="BM668" s="10"/>
      <c r="BN668" s="10"/>
      <c r="BO668" s="10"/>
      <c r="BP668" s="10"/>
      <c r="BQ668" s="10"/>
      <c r="BR668" s="10"/>
      <c r="BS668" s="10"/>
      <c r="BT668" s="10"/>
    </row>
    <row r="669" spans="53:72" ht="18" x14ac:dyDescent="0.2">
      <c r="BA669" s="10"/>
      <c r="BB669" s="10"/>
      <c r="BC669" s="10"/>
      <c r="BD669" s="10"/>
      <c r="BE669" s="10"/>
      <c r="BF669" s="10"/>
      <c r="BG669" s="10"/>
      <c r="BH669" s="10"/>
      <c r="BI669" s="10"/>
      <c r="BJ669" s="10"/>
      <c r="BK669" s="10"/>
      <c r="BL669" s="10"/>
      <c r="BM669" s="10"/>
      <c r="BN669" s="10"/>
      <c r="BO669" s="10"/>
      <c r="BP669" s="10"/>
      <c r="BQ669" s="10"/>
      <c r="BR669" s="10"/>
      <c r="BS669" s="10"/>
      <c r="BT669" s="10"/>
    </row>
    <row r="670" spans="53:72" ht="18" x14ac:dyDescent="0.2">
      <c r="BA670" s="10"/>
      <c r="BB670" s="10"/>
      <c r="BC670" s="10"/>
      <c r="BD670" s="10"/>
      <c r="BE670" s="10"/>
      <c r="BF670" s="10"/>
      <c r="BG670" s="10"/>
      <c r="BH670" s="10"/>
      <c r="BI670" s="10"/>
      <c r="BJ670" s="10"/>
      <c r="BK670" s="10"/>
      <c r="BL670" s="10"/>
      <c r="BM670" s="10"/>
      <c r="BN670" s="10"/>
      <c r="BO670" s="10"/>
      <c r="BP670" s="10"/>
      <c r="BQ670" s="10"/>
      <c r="BR670" s="10"/>
      <c r="BS670" s="10"/>
      <c r="BT670" s="10"/>
    </row>
    <row r="671" spans="53:72" ht="18" x14ac:dyDescent="0.2">
      <c r="BA671" s="10"/>
      <c r="BB671" s="10"/>
      <c r="BC671" s="10"/>
      <c r="BD671" s="10"/>
      <c r="BE671" s="10"/>
      <c r="BF671" s="10"/>
      <c r="BG671" s="10"/>
      <c r="BH671" s="10"/>
      <c r="BI671" s="10"/>
      <c r="BJ671" s="10"/>
      <c r="BK671" s="10"/>
      <c r="BL671" s="10"/>
      <c r="BM671" s="10"/>
      <c r="BN671" s="10"/>
      <c r="BO671" s="10"/>
      <c r="BP671" s="10"/>
      <c r="BQ671" s="10"/>
      <c r="BR671" s="10"/>
      <c r="BS671" s="10"/>
      <c r="BT671" s="10"/>
    </row>
    <row r="672" spans="53:72" ht="18" x14ac:dyDescent="0.2">
      <c r="BA672" s="10"/>
      <c r="BB672" s="10"/>
      <c r="BC672" s="10"/>
      <c r="BD672" s="10"/>
      <c r="BE672" s="10"/>
      <c r="BF672" s="10"/>
      <c r="BG672" s="10"/>
      <c r="BH672" s="10"/>
      <c r="BI672" s="10"/>
      <c r="BJ672" s="10"/>
      <c r="BK672" s="10"/>
      <c r="BL672" s="10"/>
      <c r="BM672" s="10"/>
      <c r="BN672" s="10"/>
      <c r="BO672" s="10"/>
      <c r="BP672" s="10"/>
      <c r="BQ672" s="10"/>
      <c r="BR672" s="10"/>
      <c r="BS672" s="10"/>
      <c r="BT672" s="10"/>
    </row>
    <row r="673" spans="53:72" ht="18" x14ac:dyDescent="0.2">
      <c r="BA673" s="10"/>
      <c r="BB673" s="10"/>
      <c r="BC673" s="10"/>
      <c r="BD673" s="10"/>
      <c r="BE673" s="10"/>
      <c r="BF673" s="10"/>
      <c r="BG673" s="10"/>
      <c r="BH673" s="10"/>
      <c r="BI673" s="10"/>
      <c r="BJ673" s="10"/>
      <c r="BK673" s="10"/>
      <c r="BL673" s="10"/>
      <c r="BM673" s="10"/>
      <c r="BN673" s="10"/>
      <c r="BO673" s="10"/>
      <c r="BP673" s="10"/>
      <c r="BQ673" s="10"/>
      <c r="BR673" s="10"/>
      <c r="BS673" s="10"/>
      <c r="BT673" s="10"/>
    </row>
    <row r="674" spans="53:72" ht="18" x14ac:dyDescent="0.2">
      <c r="BA674" s="10"/>
      <c r="BB674" s="10"/>
      <c r="BC674" s="10"/>
      <c r="BD674" s="10"/>
      <c r="BE674" s="10"/>
      <c r="BF674" s="10"/>
      <c r="BG674" s="10"/>
      <c r="BH674" s="10"/>
      <c r="BI674" s="10"/>
      <c r="BJ674" s="10"/>
      <c r="BK674" s="10"/>
      <c r="BL674" s="10"/>
      <c r="BM674" s="10"/>
      <c r="BN674" s="10"/>
      <c r="BO674" s="10"/>
      <c r="BP674" s="10"/>
      <c r="BQ674" s="10"/>
      <c r="BR674" s="10"/>
      <c r="BS674" s="10"/>
      <c r="BT674" s="10"/>
    </row>
    <row r="675" spans="53:72" ht="18" x14ac:dyDescent="0.2">
      <c r="BA675" s="10"/>
      <c r="BB675" s="10"/>
      <c r="BC675" s="10"/>
      <c r="BD675" s="10"/>
      <c r="BE675" s="10"/>
      <c r="BF675" s="10"/>
      <c r="BG675" s="10"/>
      <c r="BH675" s="10"/>
      <c r="BI675" s="10"/>
      <c r="BJ675" s="10"/>
      <c r="BK675" s="10"/>
      <c r="BL675" s="10"/>
      <c r="BM675" s="10"/>
      <c r="BN675" s="10"/>
      <c r="BO675" s="10"/>
      <c r="BP675" s="10"/>
      <c r="BQ675" s="10"/>
      <c r="BR675" s="10"/>
      <c r="BS675" s="10"/>
      <c r="BT675" s="10"/>
    </row>
    <row r="676" spans="53:72" ht="18" x14ac:dyDescent="0.2">
      <c r="BA676" s="10"/>
      <c r="BB676" s="10"/>
      <c r="BC676" s="10"/>
      <c r="BD676" s="10"/>
      <c r="BE676" s="10"/>
      <c r="BF676" s="10"/>
      <c r="BG676" s="10"/>
      <c r="BH676" s="10"/>
      <c r="BI676" s="10"/>
      <c r="BJ676" s="10"/>
      <c r="BK676" s="10"/>
      <c r="BL676" s="10"/>
      <c r="BM676" s="10"/>
      <c r="BN676" s="10"/>
      <c r="BO676" s="10"/>
      <c r="BP676" s="10"/>
      <c r="BQ676" s="10"/>
      <c r="BR676" s="10"/>
      <c r="BS676" s="10"/>
      <c r="BT676" s="10"/>
    </row>
    <row r="677" spans="53:72" ht="18" x14ac:dyDescent="0.2">
      <c r="BA677" s="10"/>
      <c r="BB677" s="10"/>
      <c r="BC677" s="10"/>
      <c r="BD677" s="10"/>
      <c r="BE677" s="10"/>
      <c r="BF677" s="10"/>
      <c r="BG677" s="10"/>
      <c r="BH677" s="10"/>
      <c r="BI677" s="10"/>
      <c r="BJ677" s="10"/>
      <c r="BK677" s="10"/>
      <c r="BL677" s="10"/>
      <c r="BM677" s="10"/>
      <c r="BN677" s="10"/>
      <c r="BO677" s="10"/>
      <c r="BP677" s="10"/>
      <c r="BQ677" s="10"/>
      <c r="BR677" s="10"/>
      <c r="BS677" s="10"/>
      <c r="BT677" s="10"/>
    </row>
    <row r="678" spans="53:72" ht="18" x14ac:dyDescent="0.2">
      <c r="BA678" s="10"/>
      <c r="BB678" s="10"/>
      <c r="BC678" s="10"/>
      <c r="BD678" s="10"/>
      <c r="BE678" s="10"/>
      <c r="BF678" s="10"/>
      <c r="BG678" s="10"/>
      <c r="BH678" s="10"/>
      <c r="BI678" s="10"/>
      <c r="BJ678" s="10"/>
      <c r="BK678" s="10"/>
      <c r="BL678" s="10"/>
      <c r="BM678" s="10"/>
      <c r="BN678" s="10"/>
      <c r="BO678" s="10"/>
      <c r="BP678" s="10"/>
      <c r="BQ678" s="10"/>
      <c r="BR678" s="10"/>
      <c r="BS678" s="10"/>
      <c r="BT678" s="10"/>
    </row>
    <row r="679" spans="53:72" ht="18" x14ac:dyDescent="0.2">
      <c r="BA679" s="10"/>
      <c r="BB679" s="10"/>
      <c r="BC679" s="10"/>
      <c r="BD679" s="10"/>
      <c r="BE679" s="10"/>
      <c r="BF679" s="10"/>
      <c r="BG679" s="10"/>
      <c r="BH679" s="10"/>
      <c r="BI679" s="10"/>
      <c r="BJ679" s="10"/>
      <c r="BK679" s="10"/>
      <c r="BL679" s="10"/>
      <c r="BM679" s="10"/>
      <c r="BN679" s="10"/>
      <c r="BO679" s="10"/>
      <c r="BP679" s="10"/>
      <c r="BQ679" s="10"/>
      <c r="BR679" s="10"/>
      <c r="BS679" s="10"/>
      <c r="BT679" s="10"/>
    </row>
    <row r="680" spans="53:72" ht="18" x14ac:dyDescent="0.2">
      <c r="BA680" s="10"/>
      <c r="BB680" s="10"/>
      <c r="BC680" s="10"/>
      <c r="BD680" s="10"/>
      <c r="BE680" s="10"/>
      <c r="BF680" s="10"/>
      <c r="BG680" s="10"/>
      <c r="BH680" s="10"/>
      <c r="BI680" s="10"/>
      <c r="BJ680" s="10"/>
      <c r="BK680" s="10"/>
      <c r="BL680" s="10"/>
      <c r="BM680" s="10"/>
      <c r="BN680" s="10"/>
      <c r="BO680" s="10"/>
      <c r="BP680" s="10"/>
      <c r="BQ680" s="10"/>
      <c r="BR680" s="10"/>
      <c r="BS680" s="10"/>
      <c r="BT680" s="10"/>
    </row>
    <row r="681" spans="53:72" ht="18" x14ac:dyDescent="0.2">
      <c r="BA681" s="10"/>
      <c r="BB681" s="10"/>
      <c r="BC681" s="10"/>
      <c r="BD681" s="10"/>
      <c r="BE681" s="10"/>
      <c r="BF681" s="10"/>
      <c r="BG681" s="10"/>
      <c r="BH681" s="10"/>
      <c r="BI681" s="10"/>
      <c r="BJ681" s="10"/>
      <c r="BK681" s="10"/>
      <c r="BL681" s="10"/>
      <c r="BM681" s="10"/>
      <c r="BN681" s="10"/>
      <c r="BO681" s="10"/>
      <c r="BP681" s="10"/>
      <c r="BQ681" s="10"/>
      <c r="BR681" s="10"/>
      <c r="BS681" s="10"/>
      <c r="BT681" s="10"/>
    </row>
    <row r="682" spans="53:72" ht="18" x14ac:dyDescent="0.2">
      <c r="BA682" s="10"/>
      <c r="BB682" s="10"/>
      <c r="BC682" s="10"/>
      <c r="BD682" s="10"/>
      <c r="BE682" s="10"/>
      <c r="BF682" s="10"/>
      <c r="BG682" s="10"/>
      <c r="BH682" s="10"/>
      <c r="BI682" s="10"/>
      <c r="BJ682" s="10"/>
      <c r="BK682" s="10"/>
      <c r="BL682" s="10"/>
      <c r="BM682" s="10"/>
      <c r="BN682" s="10"/>
      <c r="BO682" s="10"/>
      <c r="BP682" s="10"/>
      <c r="BQ682" s="10"/>
      <c r="BR682" s="10"/>
      <c r="BS682" s="10"/>
      <c r="BT682" s="10"/>
    </row>
    <row r="683" spans="53:72" ht="18" x14ac:dyDescent="0.2">
      <c r="BA683" s="10"/>
      <c r="BB683" s="10"/>
      <c r="BC683" s="10"/>
      <c r="BD683" s="10"/>
      <c r="BE683" s="10"/>
      <c r="BF683" s="10"/>
      <c r="BG683" s="10"/>
      <c r="BH683" s="10"/>
      <c r="BI683" s="10"/>
      <c r="BJ683" s="10"/>
      <c r="BK683" s="10"/>
      <c r="BL683" s="10"/>
      <c r="BM683" s="10"/>
      <c r="BN683" s="10"/>
      <c r="BO683" s="10"/>
      <c r="BP683" s="10"/>
      <c r="BQ683" s="10"/>
      <c r="BR683" s="10"/>
      <c r="BS683" s="10"/>
      <c r="BT683" s="10"/>
    </row>
    <row r="684" spans="53:72" ht="18" x14ac:dyDescent="0.2">
      <c r="BA684" s="10"/>
      <c r="BB684" s="10"/>
      <c r="BC684" s="10"/>
      <c r="BD684" s="10"/>
      <c r="BE684" s="10"/>
      <c r="BF684" s="10"/>
      <c r="BG684" s="10"/>
      <c r="BH684" s="10"/>
      <c r="BI684" s="10"/>
      <c r="BJ684" s="10"/>
      <c r="BK684" s="10"/>
      <c r="BL684" s="10"/>
      <c r="BM684" s="10"/>
      <c r="BN684" s="10"/>
      <c r="BO684" s="10"/>
      <c r="BP684" s="10"/>
      <c r="BQ684" s="10"/>
      <c r="BR684" s="10"/>
      <c r="BS684" s="10"/>
      <c r="BT684" s="10"/>
    </row>
    <row r="685" spans="53:72" ht="18" x14ac:dyDescent="0.2">
      <c r="BA685" s="10"/>
      <c r="BB685" s="10"/>
      <c r="BC685" s="10"/>
      <c r="BD685" s="10"/>
      <c r="BE685" s="10"/>
      <c r="BF685" s="10"/>
      <c r="BG685" s="10"/>
      <c r="BH685" s="10"/>
      <c r="BI685" s="10"/>
      <c r="BJ685" s="10"/>
      <c r="BK685" s="10"/>
      <c r="BL685" s="10"/>
      <c r="BM685" s="10"/>
      <c r="BN685" s="10"/>
      <c r="BO685" s="10"/>
      <c r="BP685" s="10"/>
      <c r="BQ685" s="10"/>
      <c r="BR685" s="10"/>
      <c r="BS685" s="10"/>
      <c r="BT685" s="10"/>
    </row>
    <row r="686" spans="53:72" ht="18" x14ac:dyDescent="0.2">
      <c r="BA686" s="10"/>
      <c r="BB686" s="10"/>
      <c r="BC686" s="10"/>
      <c r="BD686" s="10"/>
      <c r="BE686" s="10"/>
      <c r="BF686" s="10"/>
      <c r="BG686" s="10"/>
      <c r="BH686" s="10"/>
      <c r="BI686" s="10"/>
      <c r="BJ686" s="10"/>
      <c r="BK686" s="10"/>
      <c r="BL686" s="10"/>
      <c r="BM686" s="10"/>
      <c r="BN686" s="10"/>
      <c r="BO686" s="10"/>
      <c r="BP686" s="10"/>
      <c r="BQ686" s="10"/>
      <c r="BR686" s="10"/>
      <c r="BS686" s="10"/>
      <c r="BT686" s="10"/>
    </row>
    <row r="687" spans="53:72" ht="18" x14ac:dyDescent="0.2">
      <c r="BA687" s="10"/>
      <c r="BB687" s="10"/>
      <c r="BC687" s="10"/>
      <c r="BD687" s="10"/>
      <c r="BE687" s="10"/>
      <c r="BF687" s="10"/>
      <c r="BG687" s="10"/>
      <c r="BH687" s="10"/>
      <c r="BI687" s="10"/>
      <c r="BJ687" s="10"/>
      <c r="BK687" s="10"/>
      <c r="BL687" s="10"/>
      <c r="BM687" s="10"/>
      <c r="BN687" s="10"/>
      <c r="BO687" s="10"/>
      <c r="BP687" s="10"/>
      <c r="BQ687" s="10"/>
      <c r="BR687" s="10"/>
      <c r="BS687" s="10"/>
      <c r="BT687" s="10"/>
    </row>
    <row r="688" spans="53:72" ht="18" x14ac:dyDescent="0.2">
      <c r="BA688" s="10"/>
      <c r="BB688" s="10"/>
      <c r="BC688" s="10"/>
      <c r="BD688" s="10"/>
      <c r="BE688" s="10"/>
      <c r="BF688" s="10"/>
      <c r="BG688" s="10"/>
      <c r="BH688" s="10"/>
      <c r="BI688" s="10"/>
      <c r="BJ688" s="10"/>
      <c r="BK688" s="10"/>
      <c r="BL688" s="10"/>
      <c r="BM688" s="10"/>
      <c r="BN688" s="10"/>
      <c r="BO688" s="10"/>
      <c r="BP688" s="10"/>
      <c r="BQ688" s="10"/>
      <c r="BR688" s="10"/>
      <c r="BS688" s="10"/>
      <c r="BT688" s="10"/>
    </row>
    <row r="689" spans="53:72" ht="18" x14ac:dyDescent="0.2">
      <c r="BA689" s="10"/>
      <c r="BB689" s="10"/>
      <c r="BC689" s="10"/>
      <c r="BD689" s="10"/>
      <c r="BE689" s="10"/>
      <c r="BF689" s="10"/>
      <c r="BG689" s="10"/>
      <c r="BH689" s="10"/>
      <c r="BI689" s="10"/>
      <c r="BJ689" s="10"/>
      <c r="BK689" s="10"/>
      <c r="BL689" s="10"/>
      <c r="BM689" s="10"/>
      <c r="BN689" s="10"/>
      <c r="BO689" s="10"/>
      <c r="BP689" s="10"/>
      <c r="BQ689" s="10"/>
      <c r="BR689" s="10"/>
      <c r="BS689" s="10"/>
      <c r="BT689" s="10"/>
    </row>
    <row r="690" spans="53:72" ht="18" x14ac:dyDescent="0.2">
      <c r="BA690" s="10"/>
      <c r="BB690" s="10"/>
      <c r="BC690" s="10"/>
      <c r="BD690" s="10"/>
      <c r="BE690" s="10"/>
      <c r="BF690" s="10"/>
      <c r="BG690" s="10"/>
      <c r="BH690" s="10"/>
      <c r="BI690" s="10"/>
      <c r="BJ690" s="10"/>
      <c r="BK690" s="10"/>
      <c r="BL690" s="10"/>
      <c r="BM690" s="10"/>
      <c r="BN690" s="10"/>
      <c r="BO690" s="10"/>
      <c r="BP690" s="10"/>
      <c r="BQ690" s="10"/>
      <c r="BR690" s="10"/>
      <c r="BS690" s="10"/>
      <c r="BT690" s="10"/>
    </row>
    <row r="691" spans="53:72" ht="18" x14ac:dyDescent="0.2">
      <c r="BA691" s="10"/>
      <c r="BB691" s="10"/>
      <c r="BC691" s="10"/>
      <c r="BD691" s="10"/>
      <c r="BE691" s="10"/>
      <c r="BF691" s="10"/>
      <c r="BG691" s="10"/>
      <c r="BH691" s="10"/>
      <c r="BI691" s="10"/>
      <c r="BJ691" s="10"/>
      <c r="BK691" s="10"/>
      <c r="BL691" s="10"/>
      <c r="BM691" s="10"/>
      <c r="BN691" s="10"/>
      <c r="BO691" s="10"/>
      <c r="BP691" s="10"/>
      <c r="BQ691" s="10"/>
      <c r="BR691" s="10"/>
      <c r="BS691" s="10"/>
      <c r="BT691" s="10"/>
    </row>
    <row r="692" spans="53:72" ht="18" x14ac:dyDescent="0.2">
      <c r="BA692" s="10"/>
      <c r="BB692" s="10"/>
      <c r="BC692" s="10"/>
      <c r="BD692" s="10"/>
      <c r="BE692" s="10"/>
      <c r="BF692" s="10"/>
      <c r="BG692" s="10"/>
      <c r="BH692" s="10"/>
      <c r="BI692" s="10"/>
      <c r="BJ692" s="10"/>
      <c r="BK692" s="10"/>
      <c r="BL692" s="10"/>
      <c r="BM692" s="10"/>
      <c r="BN692" s="10"/>
      <c r="BO692" s="10"/>
      <c r="BP692" s="10"/>
      <c r="BQ692" s="10"/>
      <c r="BR692" s="10"/>
      <c r="BS692" s="10"/>
      <c r="BT692" s="10"/>
    </row>
    <row r="693" spans="53:72" ht="18" x14ac:dyDescent="0.2">
      <c r="BA693" s="10"/>
      <c r="BB693" s="10"/>
      <c r="BC693" s="10"/>
      <c r="BD693" s="10"/>
      <c r="BE693" s="10"/>
      <c r="BF693" s="10"/>
      <c r="BG693" s="10"/>
      <c r="BH693" s="10"/>
      <c r="BI693" s="10"/>
      <c r="BJ693" s="10"/>
      <c r="BK693" s="10"/>
      <c r="BL693" s="10"/>
      <c r="BM693" s="10"/>
      <c r="BN693" s="10"/>
      <c r="BO693" s="10"/>
      <c r="BP693" s="10"/>
      <c r="BQ693" s="10"/>
      <c r="BR693" s="10"/>
      <c r="BS693" s="10"/>
      <c r="BT693" s="10"/>
    </row>
    <row r="694" spans="53:72" ht="18" x14ac:dyDescent="0.2">
      <c r="BA694" s="10"/>
      <c r="BB694" s="10"/>
      <c r="BC694" s="10"/>
      <c r="BD694" s="10"/>
      <c r="BE694" s="10"/>
      <c r="BF694" s="10"/>
      <c r="BG694" s="10"/>
      <c r="BH694" s="10"/>
      <c r="BI694" s="10"/>
      <c r="BJ694" s="10"/>
      <c r="BK694" s="10"/>
      <c r="BL694" s="10"/>
      <c r="BM694" s="10"/>
      <c r="BN694" s="10"/>
      <c r="BO694" s="10"/>
      <c r="BP694" s="10"/>
      <c r="BQ694" s="10"/>
      <c r="BR694" s="10"/>
      <c r="BS694" s="10"/>
      <c r="BT694" s="10"/>
    </row>
    <row r="695" spans="53:72" ht="18" x14ac:dyDescent="0.2">
      <c r="BA695" s="10"/>
      <c r="BB695" s="10"/>
      <c r="BC695" s="10"/>
      <c r="BD695" s="10"/>
      <c r="BE695" s="10"/>
      <c r="BF695" s="10"/>
      <c r="BG695" s="10"/>
      <c r="BH695" s="10"/>
      <c r="BI695" s="10"/>
      <c r="BJ695" s="10"/>
      <c r="BK695" s="10"/>
      <c r="BL695" s="10"/>
      <c r="BM695" s="10"/>
      <c r="BN695" s="10"/>
      <c r="BO695" s="10"/>
      <c r="BP695" s="10"/>
      <c r="BQ695" s="10"/>
      <c r="BR695" s="10"/>
      <c r="BS695" s="10"/>
      <c r="BT695" s="10"/>
    </row>
    <row r="696" spans="53:72" ht="18" x14ac:dyDescent="0.2">
      <c r="BA696" s="10"/>
      <c r="BB696" s="10"/>
      <c r="BC696" s="10"/>
      <c r="BD696" s="10"/>
      <c r="BE696" s="10"/>
      <c r="BF696" s="10"/>
      <c r="BG696" s="10"/>
      <c r="BH696" s="10"/>
      <c r="BI696" s="10"/>
      <c r="BJ696" s="10"/>
      <c r="BK696" s="10"/>
      <c r="BL696" s="10"/>
      <c r="BM696" s="10"/>
      <c r="BN696" s="10"/>
      <c r="BO696" s="10"/>
      <c r="BP696" s="10"/>
      <c r="BQ696" s="10"/>
      <c r="BR696" s="10"/>
      <c r="BS696" s="10"/>
      <c r="BT696" s="10"/>
    </row>
    <row r="697" spans="53:72" ht="18" x14ac:dyDescent="0.2">
      <c r="BA697" s="10"/>
      <c r="BB697" s="10"/>
      <c r="BC697" s="10"/>
      <c r="BD697" s="10"/>
      <c r="BE697" s="10"/>
      <c r="BF697" s="10"/>
      <c r="BG697" s="10"/>
      <c r="BH697" s="10"/>
      <c r="BI697" s="10"/>
      <c r="BJ697" s="10"/>
      <c r="BK697" s="10"/>
      <c r="BL697" s="10"/>
      <c r="BM697" s="10"/>
      <c r="BN697" s="10"/>
      <c r="BO697" s="10"/>
      <c r="BP697" s="10"/>
      <c r="BQ697" s="10"/>
      <c r="BR697" s="10"/>
      <c r="BS697" s="10"/>
      <c r="BT697" s="10"/>
    </row>
    <row r="698" spans="53:72" ht="18" x14ac:dyDescent="0.2">
      <c r="BA698" s="10"/>
      <c r="BB698" s="10"/>
      <c r="BC698" s="10"/>
      <c r="BD698" s="10"/>
      <c r="BE698" s="10"/>
      <c r="BF698" s="10"/>
      <c r="BG698" s="10"/>
      <c r="BH698" s="10"/>
      <c r="BI698" s="10"/>
      <c r="BJ698" s="10"/>
      <c r="BK698" s="10"/>
      <c r="BL698" s="10"/>
      <c r="BM698" s="10"/>
      <c r="BN698" s="10"/>
      <c r="BO698" s="10"/>
      <c r="BP698" s="10"/>
      <c r="BQ698" s="10"/>
      <c r="BR698" s="10"/>
      <c r="BS698" s="10"/>
      <c r="BT698" s="10"/>
    </row>
    <row r="699" spans="53:72" ht="18" x14ac:dyDescent="0.2">
      <c r="BA699" s="10"/>
      <c r="BB699" s="10"/>
      <c r="BC699" s="10"/>
      <c r="BD699" s="10"/>
      <c r="BE699" s="10"/>
      <c r="BF699" s="10"/>
      <c r="BG699" s="10"/>
      <c r="BH699" s="10"/>
      <c r="BI699" s="10"/>
      <c r="BJ699" s="10"/>
      <c r="BK699" s="10"/>
      <c r="BL699" s="10"/>
      <c r="BM699" s="10"/>
      <c r="BN699" s="10"/>
      <c r="BO699" s="10"/>
      <c r="BP699" s="10"/>
      <c r="BQ699" s="10"/>
      <c r="BR699" s="10"/>
      <c r="BS699" s="10"/>
      <c r="BT699" s="10"/>
    </row>
    <row r="700" spans="53:72" ht="18" x14ac:dyDescent="0.2">
      <c r="BA700" s="10"/>
      <c r="BB700" s="10"/>
      <c r="BC700" s="10"/>
      <c r="BD700" s="10"/>
      <c r="BE700" s="10"/>
      <c r="BF700" s="10"/>
      <c r="BG700" s="10"/>
      <c r="BH700" s="10"/>
      <c r="BI700" s="10"/>
      <c r="BJ700" s="10"/>
      <c r="BK700" s="10"/>
      <c r="BL700" s="10"/>
      <c r="BM700" s="10"/>
      <c r="BN700" s="10"/>
      <c r="BO700" s="10"/>
      <c r="BP700" s="10"/>
      <c r="BQ700" s="10"/>
      <c r="BR700" s="10"/>
      <c r="BS700" s="10"/>
      <c r="BT700" s="10"/>
    </row>
    <row r="701" spans="53:72" ht="18" x14ac:dyDescent="0.2">
      <c r="BA701" s="10"/>
      <c r="BB701" s="10"/>
      <c r="BC701" s="10"/>
      <c r="BD701" s="10"/>
      <c r="BE701" s="10"/>
      <c r="BF701" s="10"/>
      <c r="BG701" s="10"/>
      <c r="BH701" s="10"/>
      <c r="BI701" s="10"/>
      <c r="BJ701" s="10"/>
      <c r="BK701" s="10"/>
      <c r="BL701" s="10"/>
      <c r="BM701" s="10"/>
      <c r="BN701" s="10"/>
      <c r="BO701" s="10"/>
      <c r="BP701" s="10"/>
      <c r="BQ701" s="10"/>
      <c r="BR701" s="10"/>
      <c r="BS701" s="10"/>
      <c r="BT701" s="10"/>
    </row>
    <row r="702" spans="53:72" ht="18" x14ac:dyDescent="0.2">
      <c r="BA702" s="10"/>
      <c r="BB702" s="10"/>
      <c r="BC702" s="10"/>
      <c r="BD702" s="10"/>
      <c r="BE702" s="10"/>
      <c r="BF702" s="10"/>
      <c r="BG702" s="10"/>
      <c r="BH702" s="10"/>
      <c r="BI702" s="10"/>
      <c r="BJ702" s="10"/>
      <c r="BK702" s="10"/>
      <c r="BL702" s="10"/>
      <c r="BM702" s="10"/>
      <c r="BN702" s="10"/>
      <c r="BO702" s="10"/>
      <c r="BP702" s="10"/>
      <c r="BQ702" s="10"/>
      <c r="BR702" s="10"/>
      <c r="BS702" s="10"/>
      <c r="BT702" s="10"/>
    </row>
    <row r="703" spans="53:72" ht="18" x14ac:dyDescent="0.2">
      <c r="BA703" s="10"/>
      <c r="BB703" s="10"/>
      <c r="BC703" s="10"/>
      <c r="BD703" s="10"/>
      <c r="BE703" s="10"/>
      <c r="BF703" s="10"/>
      <c r="BG703" s="10"/>
      <c r="BH703" s="10"/>
      <c r="BI703" s="10"/>
      <c r="BJ703" s="10"/>
      <c r="BK703" s="10"/>
      <c r="BL703" s="10"/>
      <c r="BM703" s="10"/>
      <c r="BN703" s="10"/>
      <c r="BO703" s="10"/>
      <c r="BP703" s="10"/>
      <c r="BQ703" s="10"/>
      <c r="BR703" s="10"/>
      <c r="BS703" s="10"/>
      <c r="BT703" s="10"/>
    </row>
    <row r="704" spans="53:72" ht="18" x14ac:dyDescent="0.2">
      <c r="BA704" s="10"/>
      <c r="BB704" s="10"/>
      <c r="BC704" s="10"/>
      <c r="BD704" s="10"/>
      <c r="BE704" s="10"/>
      <c r="BF704" s="10"/>
      <c r="BG704" s="10"/>
      <c r="BH704" s="10"/>
      <c r="BI704" s="10"/>
      <c r="BJ704" s="10"/>
      <c r="BK704" s="10"/>
      <c r="BL704" s="10"/>
      <c r="BM704" s="10"/>
      <c r="BN704" s="10"/>
      <c r="BO704" s="10"/>
      <c r="BP704" s="10"/>
      <c r="BQ704" s="10"/>
      <c r="BR704" s="10"/>
      <c r="BS704" s="10"/>
      <c r="BT704" s="10"/>
    </row>
    <row r="705" spans="53:72" ht="18" x14ac:dyDescent="0.2">
      <c r="BA705" s="10"/>
      <c r="BB705" s="10"/>
      <c r="BC705" s="10"/>
      <c r="BD705" s="10"/>
      <c r="BE705" s="10"/>
      <c r="BF705" s="10"/>
      <c r="BG705" s="10"/>
      <c r="BH705" s="10"/>
      <c r="BI705" s="10"/>
      <c r="BJ705" s="10"/>
      <c r="BK705" s="10"/>
      <c r="BL705" s="10"/>
      <c r="BM705" s="10"/>
      <c r="BN705" s="10"/>
      <c r="BO705" s="10"/>
      <c r="BP705" s="10"/>
      <c r="BQ705" s="10"/>
      <c r="BR705" s="10"/>
      <c r="BS705" s="10"/>
      <c r="BT705" s="10"/>
    </row>
    <row r="706" spans="53:72" ht="18" x14ac:dyDescent="0.2">
      <c r="BA706" s="10"/>
      <c r="BB706" s="10"/>
      <c r="BC706" s="10"/>
      <c r="BD706" s="10"/>
      <c r="BE706" s="10"/>
      <c r="BF706" s="10"/>
      <c r="BG706" s="10"/>
      <c r="BH706" s="10"/>
      <c r="BI706" s="10"/>
      <c r="BJ706" s="10"/>
      <c r="BK706" s="10"/>
      <c r="BL706" s="10"/>
      <c r="BM706" s="10"/>
      <c r="BN706" s="10"/>
      <c r="BO706" s="10"/>
      <c r="BP706" s="10"/>
      <c r="BQ706" s="10"/>
      <c r="BR706" s="10"/>
      <c r="BS706" s="10"/>
      <c r="BT706" s="10"/>
    </row>
    <row r="707" spans="53:72" ht="18" x14ac:dyDescent="0.2">
      <c r="BA707" s="10"/>
      <c r="BB707" s="10"/>
      <c r="BC707" s="10"/>
      <c r="BD707" s="10"/>
      <c r="BE707" s="10"/>
      <c r="BF707" s="10"/>
      <c r="BG707" s="10"/>
      <c r="BH707" s="10"/>
      <c r="BI707" s="10"/>
      <c r="BJ707" s="10"/>
      <c r="BK707" s="10"/>
      <c r="BL707" s="10"/>
      <c r="BM707" s="10"/>
      <c r="BN707" s="10"/>
      <c r="BO707" s="10"/>
      <c r="BP707" s="10"/>
      <c r="BQ707" s="10"/>
      <c r="BR707" s="10"/>
      <c r="BS707" s="10"/>
      <c r="BT707" s="10"/>
    </row>
    <row r="708" spans="53:72" ht="18" x14ac:dyDescent="0.2">
      <c r="BA708" s="10"/>
      <c r="BB708" s="10"/>
      <c r="BC708" s="10"/>
      <c r="BD708" s="10"/>
      <c r="BE708" s="10"/>
      <c r="BF708" s="10"/>
      <c r="BG708" s="10"/>
      <c r="BH708" s="10"/>
      <c r="BI708" s="10"/>
      <c r="BJ708" s="10"/>
      <c r="BK708" s="10"/>
      <c r="BL708" s="10"/>
      <c r="BM708" s="10"/>
      <c r="BN708" s="10"/>
      <c r="BO708" s="10"/>
      <c r="BP708" s="10"/>
      <c r="BQ708" s="10"/>
      <c r="BR708" s="10"/>
      <c r="BS708" s="10"/>
      <c r="BT708" s="10"/>
    </row>
    <row r="709" spans="53:72" ht="18" x14ac:dyDescent="0.2">
      <c r="BA709" s="10"/>
      <c r="BB709" s="10"/>
      <c r="BC709" s="10"/>
      <c r="BD709" s="10"/>
      <c r="BE709" s="10"/>
      <c r="BF709" s="10"/>
      <c r="BG709" s="10"/>
      <c r="BH709" s="10"/>
      <c r="BI709" s="10"/>
      <c r="BJ709" s="10"/>
      <c r="BK709" s="10"/>
      <c r="BL709" s="10"/>
      <c r="BM709" s="10"/>
      <c r="BN709" s="10"/>
      <c r="BO709" s="10"/>
      <c r="BP709" s="10"/>
      <c r="BQ709" s="10"/>
      <c r="BR709" s="10"/>
      <c r="BS709" s="10"/>
      <c r="BT709" s="10"/>
    </row>
    <row r="710" spans="53:72" ht="18" x14ac:dyDescent="0.2">
      <c r="BA710" s="10"/>
      <c r="BB710" s="10"/>
      <c r="BC710" s="10"/>
      <c r="BD710" s="10"/>
      <c r="BE710" s="10"/>
      <c r="BF710" s="10"/>
      <c r="BG710" s="10"/>
      <c r="BH710" s="10"/>
      <c r="BI710" s="10"/>
      <c r="BJ710" s="10"/>
      <c r="BK710" s="10"/>
      <c r="BL710" s="10"/>
      <c r="BM710" s="10"/>
      <c r="BN710" s="10"/>
      <c r="BO710" s="10"/>
      <c r="BP710" s="10"/>
      <c r="BQ710" s="10"/>
      <c r="BR710" s="10"/>
      <c r="BS710" s="10"/>
      <c r="BT710" s="10"/>
    </row>
    <row r="711" spans="53:72" ht="18" x14ac:dyDescent="0.2">
      <c r="BA711" s="10"/>
      <c r="BB711" s="10"/>
      <c r="BC711" s="10"/>
      <c r="BD711" s="10"/>
      <c r="BE711" s="10"/>
      <c r="BF711" s="10"/>
      <c r="BG711" s="10"/>
      <c r="BH711" s="10"/>
      <c r="BI711" s="10"/>
      <c r="BJ711" s="10"/>
      <c r="BK711" s="10"/>
      <c r="BL711" s="10"/>
      <c r="BM711" s="10"/>
      <c r="BN711" s="10"/>
      <c r="BO711" s="10"/>
      <c r="BP711" s="10"/>
      <c r="BQ711" s="10"/>
      <c r="BR711" s="10"/>
      <c r="BS711" s="10"/>
      <c r="BT711" s="10"/>
    </row>
    <row r="712" spans="53:72" ht="18" x14ac:dyDescent="0.2">
      <c r="BA712" s="10"/>
      <c r="BB712" s="10"/>
      <c r="BC712" s="10"/>
      <c r="BD712" s="10"/>
      <c r="BE712" s="10"/>
      <c r="BF712" s="10"/>
      <c r="BG712" s="10"/>
      <c r="BH712" s="10"/>
      <c r="BI712" s="10"/>
      <c r="BJ712" s="10"/>
      <c r="BK712" s="10"/>
      <c r="BL712" s="10"/>
      <c r="BM712" s="10"/>
      <c r="BN712" s="10"/>
      <c r="BO712" s="10"/>
      <c r="BP712" s="10"/>
      <c r="BQ712" s="10"/>
      <c r="BR712" s="10"/>
      <c r="BS712" s="10"/>
      <c r="BT712" s="10"/>
    </row>
    <row r="713" spans="53:72" ht="18" x14ac:dyDescent="0.2">
      <c r="BA713" s="10"/>
      <c r="BB713" s="10"/>
      <c r="BC713" s="10"/>
      <c r="BD713" s="10"/>
      <c r="BE713" s="10"/>
      <c r="BF713" s="10"/>
      <c r="BG713" s="10"/>
      <c r="BH713" s="10"/>
      <c r="BI713" s="10"/>
      <c r="BJ713" s="10"/>
      <c r="BK713" s="10"/>
      <c r="BL713" s="10"/>
      <c r="BM713" s="10"/>
      <c r="BN713" s="10"/>
      <c r="BO713" s="10"/>
      <c r="BP713" s="10"/>
      <c r="BQ713" s="10"/>
      <c r="BR713" s="10"/>
      <c r="BS713" s="10"/>
      <c r="BT713" s="10"/>
    </row>
    <row r="714" spans="53:72" ht="18" x14ac:dyDescent="0.2">
      <c r="BA714" s="10"/>
      <c r="BB714" s="10"/>
      <c r="BC714" s="10"/>
      <c r="BD714" s="10"/>
      <c r="BE714" s="10"/>
      <c r="BF714" s="10"/>
      <c r="BG714" s="10"/>
      <c r="BH714" s="10"/>
      <c r="BI714" s="10"/>
      <c r="BJ714" s="10"/>
      <c r="BK714" s="10"/>
      <c r="BL714" s="10"/>
      <c r="BM714" s="10"/>
      <c r="BN714" s="10"/>
      <c r="BO714" s="10"/>
      <c r="BP714" s="10"/>
      <c r="BQ714" s="10"/>
      <c r="BR714" s="10"/>
      <c r="BS714" s="10"/>
      <c r="BT714" s="10"/>
    </row>
    <row r="715" spans="53:72" ht="18" x14ac:dyDescent="0.2">
      <c r="BA715" s="10"/>
      <c r="BB715" s="10"/>
      <c r="BC715" s="10"/>
      <c r="BD715" s="10"/>
      <c r="BE715" s="10"/>
      <c r="BF715" s="10"/>
      <c r="BG715" s="10"/>
      <c r="BH715" s="10"/>
      <c r="BI715" s="10"/>
      <c r="BJ715" s="10"/>
      <c r="BK715" s="10"/>
      <c r="BL715" s="10"/>
      <c r="BM715" s="10"/>
      <c r="BN715" s="10"/>
      <c r="BO715" s="10"/>
      <c r="BP715" s="10"/>
      <c r="BQ715" s="10"/>
      <c r="BR715" s="10"/>
      <c r="BS715" s="10"/>
      <c r="BT715" s="10"/>
    </row>
    <row r="716" spans="53:72" ht="18" x14ac:dyDescent="0.2">
      <c r="BA716" s="10"/>
      <c r="BB716" s="10"/>
      <c r="BC716" s="10"/>
      <c r="BD716" s="10"/>
      <c r="BE716" s="10"/>
      <c r="BF716" s="10"/>
      <c r="BG716" s="10"/>
      <c r="BH716" s="10"/>
      <c r="BI716" s="10"/>
      <c r="BJ716" s="10"/>
      <c r="BK716" s="10"/>
      <c r="BL716" s="10"/>
      <c r="BM716" s="10"/>
      <c r="BN716" s="10"/>
      <c r="BO716" s="10"/>
      <c r="BP716" s="10"/>
      <c r="BQ716" s="10"/>
      <c r="BR716" s="10"/>
      <c r="BS716" s="10"/>
      <c r="BT716" s="10"/>
    </row>
    <row r="717" spans="53:72" ht="18" x14ac:dyDescent="0.2">
      <c r="BA717" s="10"/>
      <c r="BB717" s="10"/>
      <c r="BC717" s="10"/>
      <c r="BD717" s="10"/>
      <c r="BE717" s="10"/>
      <c r="BF717" s="10"/>
      <c r="BG717" s="10"/>
      <c r="BH717" s="10"/>
      <c r="BI717" s="10"/>
      <c r="BJ717" s="10"/>
      <c r="BK717" s="10"/>
      <c r="BL717" s="10"/>
      <c r="BM717" s="10"/>
      <c r="BN717" s="10"/>
      <c r="BO717" s="10"/>
      <c r="BP717" s="10"/>
      <c r="BQ717" s="10"/>
      <c r="BR717" s="10"/>
      <c r="BS717" s="10"/>
      <c r="BT717" s="10"/>
    </row>
    <row r="718" spans="53:72" ht="18" x14ac:dyDescent="0.2">
      <c r="BA718" s="10"/>
      <c r="BB718" s="10"/>
      <c r="BC718" s="10"/>
      <c r="BD718" s="10"/>
      <c r="BE718" s="10"/>
      <c r="BF718" s="10"/>
      <c r="BG718" s="10"/>
      <c r="BH718" s="10"/>
      <c r="BI718" s="10"/>
      <c r="BJ718" s="10"/>
      <c r="BK718" s="10"/>
      <c r="BL718" s="10"/>
      <c r="BM718" s="10"/>
      <c r="BN718" s="10"/>
      <c r="BO718" s="10"/>
      <c r="BP718" s="10"/>
      <c r="BQ718" s="10"/>
      <c r="BR718" s="10"/>
      <c r="BS718" s="10"/>
      <c r="BT718" s="10"/>
    </row>
    <row r="719" spans="53:72" ht="18" x14ac:dyDescent="0.2">
      <c r="BA719" s="10"/>
      <c r="BB719" s="10"/>
      <c r="BC719" s="10"/>
      <c r="BD719" s="10"/>
      <c r="BE719" s="10"/>
      <c r="BF719" s="10"/>
      <c r="BG719" s="10"/>
      <c r="BH719" s="10"/>
      <c r="BI719" s="10"/>
      <c r="BJ719" s="10"/>
      <c r="BK719" s="10"/>
      <c r="BL719" s="10"/>
      <c r="BM719" s="10"/>
      <c r="BN719" s="10"/>
      <c r="BO719" s="10"/>
      <c r="BP719" s="10"/>
      <c r="BQ719" s="10"/>
      <c r="BR719" s="10"/>
      <c r="BS719" s="10"/>
      <c r="BT719" s="10"/>
    </row>
    <row r="720" spans="53:72" ht="18" x14ac:dyDescent="0.2">
      <c r="BA720" s="10"/>
      <c r="BB720" s="10"/>
      <c r="BC720" s="10"/>
      <c r="BD720" s="10"/>
      <c r="BE720" s="10"/>
      <c r="BF720" s="10"/>
      <c r="BG720" s="10"/>
      <c r="BH720" s="10"/>
      <c r="BI720" s="10"/>
      <c r="BJ720" s="10"/>
      <c r="BK720" s="10"/>
      <c r="BL720" s="10"/>
      <c r="BM720" s="10"/>
      <c r="BN720" s="10"/>
      <c r="BO720" s="10"/>
      <c r="BP720" s="10"/>
      <c r="BQ720" s="10"/>
      <c r="BR720" s="10"/>
      <c r="BS720" s="10"/>
      <c r="BT720" s="10"/>
    </row>
    <row r="721" spans="53:72" ht="18" x14ac:dyDescent="0.2">
      <c r="BA721" s="10"/>
      <c r="BB721" s="10"/>
      <c r="BC721" s="10"/>
      <c r="BD721" s="10"/>
      <c r="BE721" s="10"/>
      <c r="BF721" s="10"/>
      <c r="BG721" s="10"/>
      <c r="BH721" s="10"/>
      <c r="BI721" s="10"/>
      <c r="BJ721" s="10"/>
      <c r="BK721" s="10"/>
      <c r="BL721" s="10"/>
      <c r="BM721" s="10"/>
      <c r="BN721" s="10"/>
      <c r="BO721" s="10"/>
      <c r="BP721" s="10"/>
      <c r="BQ721" s="10"/>
      <c r="BR721" s="10"/>
      <c r="BS721" s="10"/>
      <c r="BT721" s="10"/>
    </row>
    <row r="722" spans="53:72" ht="18" x14ac:dyDescent="0.2">
      <c r="BA722" s="10"/>
      <c r="BB722" s="10"/>
      <c r="BC722" s="10"/>
      <c r="BD722" s="10"/>
      <c r="BE722" s="10"/>
      <c r="BF722" s="10"/>
      <c r="BG722" s="10"/>
      <c r="BH722" s="10"/>
      <c r="BI722" s="10"/>
      <c r="BJ722" s="10"/>
      <c r="BK722" s="10"/>
      <c r="BL722" s="10"/>
      <c r="BM722" s="10"/>
      <c r="BN722" s="10"/>
      <c r="BO722" s="10"/>
      <c r="BP722" s="10"/>
      <c r="BQ722" s="10"/>
      <c r="BR722" s="10"/>
      <c r="BS722" s="10"/>
      <c r="BT722" s="10"/>
    </row>
    <row r="723" spans="53:72" ht="18" x14ac:dyDescent="0.2">
      <c r="BA723" s="10"/>
      <c r="BB723" s="10"/>
      <c r="BC723" s="10"/>
      <c r="BD723" s="10"/>
      <c r="BE723" s="10"/>
      <c r="BF723" s="10"/>
      <c r="BG723" s="10"/>
      <c r="BH723" s="10"/>
      <c r="BI723" s="10"/>
      <c r="BJ723" s="10"/>
      <c r="BK723" s="10"/>
      <c r="BL723" s="10"/>
      <c r="BM723" s="10"/>
      <c r="BN723" s="10"/>
      <c r="BO723" s="10"/>
      <c r="BP723" s="10"/>
      <c r="BQ723" s="10"/>
      <c r="BR723" s="10"/>
      <c r="BS723" s="10"/>
      <c r="BT723" s="10"/>
    </row>
    <row r="724" spans="53:72" ht="18" x14ac:dyDescent="0.2">
      <c r="BA724" s="10"/>
      <c r="BB724" s="10"/>
      <c r="BC724" s="10"/>
      <c r="BD724" s="10"/>
      <c r="BE724" s="10"/>
      <c r="BF724" s="10"/>
      <c r="BG724" s="10"/>
      <c r="BH724" s="10"/>
      <c r="BI724" s="10"/>
      <c r="BJ724" s="10"/>
      <c r="BK724" s="10"/>
      <c r="BL724" s="10"/>
      <c r="BM724" s="10"/>
      <c r="BN724" s="10"/>
      <c r="BO724" s="10"/>
      <c r="BP724" s="10"/>
      <c r="BQ724" s="10"/>
      <c r="BR724" s="10"/>
      <c r="BS724" s="10"/>
      <c r="BT724" s="10"/>
    </row>
    <row r="725" spans="53:72" ht="18" x14ac:dyDescent="0.2">
      <c r="BA725" s="10"/>
      <c r="BB725" s="10"/>
      <c r="BC725" s="10"/>
      <c r="BD725" s="10"/>
      <c r="BE725" s="10"/>
      <c r="BF725" s="10"/>
      <c r="BG725" s="10"/>
      <c r="BH725" s="10"/>
      <c r="BI725" s="10"/>
      <c r="BJ725" s="10"/>
      <c r="BK725" s="10"/>
      <c r="BL725" s="10"/>
      <c r="BM725" s="10"/>
      <c r="BN725" s="10"/>
      <c r="BO725" s="10"/>
      <c r="BP725" s="10"/>
      <c r="BQ725" s="10"/>
      <c r="BR725" s="10"/>
      <c r="BS725" s="10"/>
      <c r="BT725" s="10"/>
    </row>
    <row r="726" spans="53:72" ht="18" x14ac:dyDescent="0.2">
      <c r="BA726" s="10"/>
      <c r="BB726" s="10"/>
      <c r="BC726" s="10"/>
      <c r="BD726" s="10"/>
      <c r="BE726" s="10"/>
      <c r="BF726" s="10"/>
      <c r="BG726" s="10"/>
      <c r="BH726" s="10"/>
      <c r="BI726" s="10"/>
      <c r="BJ726" s="10"/>
      <c r="BK726" s="10"/>
      <c r="BL726" s="10"/>
      <c r="BM726" s="10"/>
      <c r="BN726" s="10"/>
      <c r="BO726" s="10"/>
      <c r="BP726" s="10"/>
      <c r="BQ726" s="10"/>
      <c r="BR726" s="10"/>
      <c r="BS726" s="10"/>
      <c r="BT726" s="10"/>
    </row>
    <row r="727" spans="53:72" ht="18" x14ac:dyDescent="0.2">
      <c r="BA727" s="10"/>
      <c r="BB727" s="10"/>
      <c r="BC727" s="10"/>
      <c r="BD727" s="10"/>
      <c r="BE727" s="10"/>
      <c r="BF727" s="10"/>
      <c r="BG727" s="10"/>
      <c r="BH727" s="10"/>
      <c r="BI727" s="10"/>
      <c r="BJ727" s="10"/>
      <c r="BK727" s="10"/>
      <c r="BL727" s="10"/>
      <c r="BM727" s="10"/>
      <c r="BN727" s="10"/>
      <c r="BO727" s="10"/>
      <c r="BP727" s="10"/>
      <c r="BQ727" s="10"/>
      <c r="BR727" s="10"/>
      <c r="BS727" s="10"/>
      <c r="BT727" s="10"/>
    </row>
    <row r="728" spans="53:72" ht="18" x14ac:dyDescent="0.2">
      <c r="BA728" s="10"/>
      <c r="BB728" s="10"/>
      <c r="BC728" s="10"/>
      <c r="BD728" s="10"/>
      <c r="BE728" s="10"/>
      <c r="BF728" s="10"/>
      <c r="BG728" s="10"/>
      <c r="BH728" s="10"/>
      <c r="BI728" s="10"/>
      <c r="BJ728" s="10"/>
      <c r="BK728" s="10"/>
      <c r="BL728" s="10"/>
      <c r="BM728" s="10"/>
      <c r="BN728" s="10"/>
      <c r="BO728" s="10"/>
      <c r="BP728" s="10"/>
      <c r="BQ728" s="10"/>
      <c r="BR728" s="10"/>
      <c r="BS728" s="10"/>
      <c r="BT728" s="10"/>
    </row>
    <row r="729" spans="53:72" ht="18" x14ac:dyDescent="0.2">
      <c r="BA729" s="10"/>
      <c r="BB729" s="10"/>
      <c r="BC729" s="10"/>
      <c r="BD729" s="10"/>
      <c r="BE729" s="10"/>
      <c r="BF729" s="10"/>
      <c r="BG729" s="10"/>
      <c r="BH729" s="10"/>
      <c r="BI729" s="10"/>
      <c r="BJ729" s="10"/>
      <c r="BK729" s="10"/>
      <c r="BL729" s="10"/>
      <c r="BM729" s="10"/>
      <c r="BN729" s="10"/>
      <c r="BO729" s="10"/>
      <c r="BP729" s="10"/>
      <c r="BQ729" s="10"/>
      <c r="BR729" s="10"/>
      <c r="BS729" s="10"/>
      <c r="BT729" s="10"/>
    </row>
    <row r="730" spans="53:72" ht="18" x14ac:dyDescent="0.2">
      <c r="BA730" s="10"/>
      <c r="BB730" s="10"/>
      <c r="BC730" s="10"/>
      <c r="BD730" s="10"/>
      <c r="BE730" s="10"/>
      <c r="BF730" s="10"/>
      <c r="BG730" s="10"/>
      <c r="BH730" s="10"/>
      <c r="BI730" s="10"/>
      <c r="BJ730" s="10"/>
      <c r="BK730" s="10"/>
      <c r="BL730" s="10"/>
      <c r="BM730" s="10"/>
      <c r="BN730" s="10"/>
      <c r="BO730" s="10"/>
      <c r="BP730" s="10"/>
      <c r="BQ730" s="10"/>
      <c r="BR730" s="10"/>
      <c r="BS730" s="10"/>
      <c r="BT730" s="10"/>
    </row>
    <row r="731" spans="53:72" ht="18" x14ac:dyDescent="0.2">
      <c r="BA731" s="10"/>
      <c r="BB731" s="10"/>
      <c r="BC731" s="10"/>
      <c r="BD731" s="10"/>
      <c r="BE731" s="10"/>
      <c r="BF731" s="10"/>
      <c r="BG731" s="10"/>
      <c r="BH731" s="10"/>
      <c r="BI731" s="10"/>
      <c r="BJ731" s="10"/>
      <c r="BK731" s="10"/>
      <c r="BL731" s="10"/>
      <c r="BM731" s="10"/>
      <c r="BN731" s="10"/>
      <c r="BO731" s="10"/>
      <c r="BP731" s="10"/>
      <c r="BQ731" s="10"/>
      <c r="BR731" s="10"/>
      <c r="BS731" s="10"/>
      <c r="BT731" s="10"/>
    </row>
    <row r="732" spans="53:72" ht="18" x14ac:dyDescent="0.2">
      <c r="BA732" s="10"/>
      <c r="BB732" s="10"/>
      <c r="BC732" s="10"/>
      <c r="BD732" s="10"/>
      <c r="BE732" s="10"/>
      <c r="BF732" s="10"/>
      <c r="BG732" s="10"/>
      <c r="BH732" s="10"/>
      <c r="BI732" s="10"/>
      <c r="BJ732" s="10"/>
      <c r="BK732" s="10"/>
      <c r="BL732" s="10"/>
      <c r="BM732" s="10"/>
      <c r="BN732" s="10"/>
      <c r="BO732" s="10"/>
      <c r="BP732" s="10"/>
      <c r="BQ732" s="10"/>
      <c r="BR732" s="10"/>
      <c r="BS732" s="10"/>
      <c r="BT732" s="10"/>
    </row>
    <row r="733" spans="53:72" ht="18" x14ac:dyDescent="0.2">
      <c r="BA733" s="10"/>
      <c r="BB733" s="10"/>
      <c r="BC733" s="10"/>
      <c r="BD733" s="10"/>
      <c r="BE733" s="10"/>
      <c r="BF733" s="10"/>
      <c r="BG733" s="10"/>
      <c r="BH733" s="10"/>
      <c r="BI733" s="10"/>
      <c r="BJ733" s="10"/>
      <c r="BK733" s="10"/>
      <c r="BL733" s="10"/>
      <c r="BM733" s="10"/>
      <c r="BN733" s="10"/>
      <c r="BO733" s="10"/>
      <c r="BP733" s="10"/>
      <c r="BQ733" s="10"/>
      <c r="BR733" s="10"/>
      <c r="BS733" s="10"/>
      <c r="BT733" s="10"/>
    </row>
    <row r="734" spans="53:72" ht="18" x14ac:dyDescent="0.2">
      <c r="BA734" s="10"/>
      <c r="BB734" s="10"/>
      <c r="BC734" s="10"/>
      <c r="BD734" s="10"/>
      <c r="BE734" s="10"/>
      <c r="BF734" s="10"/>
      <c r="BG734" s="10"/>
      <c r="BH734" s="10"/>
      <c r="BI734" s="10"/>
      <c r="BJ734" s="10"/>
      <c r="BK734" s="10"/>
      <c r="BL734" s="10"/>
      <c r="BM734" s="10"/>
      <c r="BN734" s="10"/>
      <c r="BO734" s="10"/>
      <c r="BP734" s="10"/>
      <c r="BQ734" s="10"/>
      <c r="BR734" s="10"/>
      <c r="BS734" s="10"/>
      <c r="BT734" s="10"/>
    </row>
    <row r="735" spans="53:72" ht="18" x14ac:dyDescent="0.2">
      <c r="BA735" s="10"/>
      <c r="BB735" s="10"/>
      <c r="BC735" s="10"/>
      <c r="BD735" s="10"/>
      <c r="BE735" s="10"/>
      <c r="BF735" s="10"/>
      <c r="BG735" s="10"/>
      <c r="BH735" s="10"/>
      <c r="BI735" s="10"/>
      <c r="BJ735" s="10"/>
      <c r="BK735" s="10"/>
      <c r="BL735" s="10"/>
      <c r="BM735" s="10"/>
      <c r="BN735" s="10"/>
      <c r="BO735" s="10"/>
      <c r="BP735" s="10"/>
      <c r="BQ735" s="10"/>
      <c r="BR735" s="10"/>
      <c r="BS735" s="10"/>
      <c r="BT735" s="10"/>
    </row>
    <row r="736" spans="53:72" ht="18" x14ac:dyDescent="0.2">
      <c r="BA736" s="10"/>
      <c r="BB736" s="10"/>
      <c r="BC736" s="10"/>
      <c r="BD736" s="10"/>
      <c r="BE736" s="10"/>
      <c r="BF736" s="10"/>
      <c r="BG736" s="10"/>
      <c r="BH736" s="10"/>
      <c r="BI736" s="10"/>
      <c r="BJ736" s="10"/>
      <c r="BK736" s="10"/>
      <c r="BL736" s="10"/>
      <c r="BM736" s="10"/>
      <c r="BN736" s="10"/>
      <c r="BO736" s="10"/>
      <c r="BP736" s="10"/>
      <c r="BQ736" s="10"/>
      <c r="BR736" s="10"/>
      <c r="BS736" s="10"/>
      <c r="BT736" s="10"/>
    </row>
    <row r="737" spans="53:72" ht="18" x14ac:dyDescent="0.2">
      <c r="BA737" s="10"/>
      <c r="BB737" s="10"/>
      <c r="BC737" s="10"/>
      <c r="BD737" s="10"/>
      <c r="BE737" s="10"/>
      <c r="BF737" s="10"/>
      <c r="BG737" s="10"/>
      <c r="BH737" s="10"/>
      <c r="BI737" s="10"/>
      <c r="BJ737" s="10"/>
      <c r="BK737" s="10"/>
      <c r="BL737" s="10"/>
      <c r="BM737" s="10"/>
      <c r="BN737" s="10"/>
      <c r="BO737" s="10"/>
      <c r="BP737" s="10"/>
      <c r="BQ737" s="10"/>
      <c r="BR737" s="10"/>
      <c r="BS737" s="10"/>
      <c r="BT737" s="10"/>
    </row>
    <row r="738" spans="53:72" ht="18" x14ac:dyDescent="0.2">
      <c r="BA738" s="10"/>
      <c r="BB738" s="10"/>
      <c r="BC738" s="10"/>
      <c r="BD738" s="10"/>
      <c r="BE738" s="10"/>
      <c r="BF738" s="10"/>
      <c r="BG738" s="10"/>
      <c r="BH738" s="10"/>
      <c r="BI738" s="10"/>
      <c r="BJ738" s="10"/>
      <c r="BK738" s="10"/>
      <c r="BL738" s="10"/>
      <c r="BM738" s="10"/>
      <c r="BN738" s="10"/>
      <c r="BO738" s="10"/>
      <c r="BP738" s="10"/>
      <c r="BQ738" s="10"/>
      <c r="BR738" s="10"/>
      <c r="BS738" s="10"/>
      <c r="BT738" s="10"/>
    </row>
    <row r="739" spans="53:72" ht="18" x14ac:dyDescent="0.2">
      <c r="BA739" s="10"/>
      <c r="BB739" s="10"/>
      <c r="BC739" s="10"/>
      <c r="BD739" s="10"/>
      <c r="BE739" s="10"/>
      <c r="BF739" s="10"/>
      <c r="BG739" s="10"/>
      <c r="BH739" s="10"/>
      <c r="BI739" s="10"/>
      <c r="BJ739" s="10"/>
      <c r="BK739" s="10"/>
      <c r="BL739" s="10"/>
      <c r="BM739" s="10"/>
      <c r="BN739" s="10"/>
      <c r="BO739" s="10"/>
      <c r="BP739" s="10"/>
      <c r="BQ739" s="10"/>
      <c r="BR739" s="10"/>
      <c r="BS739" s="10"/>
      <c r="BT739" s="10"/>
    </row>
    <row r="740" spans="53:72" ht="18" x14ac:dyDescent="0.2">
      <c r="BA740" s="10"/>
      <c r="BB740" s="10"/>
      <c r="BC740" s="10"/>
      <c r="BD740" s="10"/>
      <c r="BE740" s="10"/>
      <c r="BF740" s="10"/>
      <c r="BG740" s="10"/>
      <c r="BH740" s="10"/>
      <c r="BI740" s="10"/>
      <c r="BJ740" s="10"/>
      <c r="BK740" s="10"/>
      <c r="BL740" s="10"/>
      <c r="BM740" s="10"/>
      <c r="BN740" s="10"/>
      <c r="BO740" s="10"/>
      <c r="BP740" s="10"/>
      <c r="BQ740" s="10"/>
      <c r="BR740" s="10"/>
      <c r="BS740" s="10"/>
      <c r="BT740" s="10"/>
    </row>
    <row r="741" spans="53:72" ht="18" x14ac:dyDescent="0.2">
      <c r="BA741" s="10"/>
      <c r="BB741" s="10"/>
      <c r="BC741" s="10"/>
      <c r="BD741" s="10"/>
      <c r="BE741" s="10"/>
      <c r="BF741" s="10"/>
      <c r="BG741" s="10"/>
      <c r="BH741" s="10"/>
      <c r="BI741" s="10"/>
      <c r="BJ741" s="10"/>
      <c r="BK741" s="10"/>
      <c r="BL741" s="10"/>
      <c r="BM741" s="10"/>
      <c r="BN741" s="10"/>
      <c r="BO741" s="10"/>
      <c r="BP741" s="10"/>
      <c r="BQ741" s="10"/>
      <c r="BR741" s="10"/>
      <c r="BS741" s="10"/>
      <c r="BT741" s="10"/>
    </row>
    <row r="742" spans="53:72" ht="18" x14ac:dyDescent="0.2">
      <c r="BA742" s="10"/>
      <c r="BB742" s="10"/>
      <c r="BC742" s="10"/>
      <c r="BD742" s="10"/>
      <c r="BE742" s="10"/>
      <c r="BF742" s="10"/>
      <c r="BG742" s="10"/>
      <c r="BH742" s="10"/>
      <c r="BI742" s="10"/>
      <c r="BJ742" s="10"/>
      <c r="BK742" s="10"/>
      <c r="BL742" s="10"/>
      <c r="BM742" s="10"/>
      <c r="BN742" s="10"/>
      <c r="BO742" s="10"/>
      <c r="BP742" s="10"/>
      <c r="BQ742" s="10"/>
      <c r="BR742" s="10"/>
      <c r="BS742" s="10"/>
      <c r="BT742" s="10"/>
    </row>
    <row r="743" spans="53:72" ht="18" x14ac:dyDescent="0.2">
      <c r="BA743" s="10"/>
      <c r="BB743" s="10"/>
      <c r="BC743" s="10"/>
      <c r="BD743" s="10"/>
      <c r="BE743" s="10"/>
      <c r="BF743" s="10"/>
      <c r="BG743" s="10"/>
      <c r="BH743" s="10"/>
      <c r="BI743" s="10"/>
      <c r="BJ743" s="10"/>
      <c r="BK743" s="10"/>
      <c r="BL743" s="10"/>
      <c r="BM743" s="10"/>
      <c r="BN743" s="10"/>
      <c r="BO743" s="10"/>
      <c r="BP743" s="10"/>
      <c r="BQ743" s="10"/>
      <c r="BR743" s="10"/>
      <c r="BS743" s="10"/>
      <c r="BT743" s="10"/>
    </row>
    <row r="744" spans="53:72" ht="18" x14ac:dyDescent="0.2">
      <c r="BA744" s="10"/>
      <c r="BB744" s="10"/>
      <c r="BC744" s="10"/>
      <c r="BD744" s="10"/>
      <c r="BE744" s="10"/>
      <c r="BF744" s="10"/>
      <c r="BG744" s="10"/>
      <c r="BH744" s="10"/>
      <c r="BI744" s="10"/>
      <c r="BJ744" s="10"/>
      <c r="BK744" s="10"/>
      <c r="BL744" s="10"/>
      <c r="BM744" s="10"/>
      <c r="BN744" s="10"/>
      <c r="BO744" s="10"/>
      <c r="BP744" s="10"/>
      <c r="BQ744" s="10"/>
      <c r="BR744" s="10"/>
      <c r="BS744" s="10"/>
      <c r="BT744" s="10"/>
    </row>
    <row r="745" spans="53:72" ht="18" x14ac:dyDescent="0.2">
      <c r="BA745" s="10"/>
      <c r="BB745" s="10"/>
      <c r="BC745" s="10"/>
      <c r="BD745" s="10"/>
      <c r="BE745" s="10"/>
      <c r="BF745" s="10"/>
      <c r="BG745" s="10"/>
      <c r="BH745" s="10"/>
      <c r="BI745" s="10"/>
      <c r="BJ745" s="10"/>
      <c r="BK745" s="10"/>
      <c r="BL745" s="10"/>
      <c r="BM745" s="10"/>
      <c r="BN745" s="10"/>
      <c r="BO745" s="10"/>
      <c r="BP745" s="10"/>
      <c r="BQ745" s="10"/>
      <c r="BR745" s="10"/>
      <c r="BS745" s="10"/>
      <c r="BT745" s="10"/>
    </row>
    <row r="746" spans="53:72" ht="18" x14ac:dyDescent="0.2">
      <c r="BA746" s="10"/>
      <c r="BB746" s="10"/>
      <c r="BC746" s="10"/>
      <c r="BD746" s="10"/>
      <c r="BE746" s="10"/>
      <c r="BF746" s="10"/>
      <c r="BG746" s="10"/>
      <c r="BH746" s="10"/>
      <c r="BI746" s="10"/>
      <c r="BJ746" s="10"/>
      <c r="BK746" s="10"/>
      <c r="BL746" s="10"/>
      <c r="BM746" s="10"/>
      <c r="BN746" s="10"/>
      <c r="BO746" s="10"/>
      <c r="BP746" s="10"/>
      <c r="BQ746" s="10"/>
      <c r="BR746" s="10"/>
      <c r="BS746" s="10"/>
      <c r="BT746" s="10"/>
    </row>
    <row r="747" spans="53:72" ht="18" x14ac:dyDescent="0.2">
      <c r="BA747" s="10"/>
      <c r="BB747" s="10"/>
      <c r="BC747" s="10"/>
      <c r="BD747" s="10"/>
      <c r="BE747" s="10"/>
      <c r="BF747" s="10"/>
      <c r="BG747" s="10"/>
      <c r="BH747" s="10"/>
      <c r="BI747" s="10"/>
      <c r="BJ747" s="10"/>
      <c r="BK747" s="10"/>
      <c r="BL747" s="10"/>
      <c r="BM747" s="10"/>
      <c r="BN747" s="10"/>
      <c r="BO747" s="10"/>
      <c r="BP747" s="10"/>
      <c r="BQ747" s="10"/>
      <c r="BR747" s="10"/>
      <c r="BS747" s="10"/>
      <c r="BT747" s="10"/>
    </row>
    <row r="748" spans="53:72" ht="18" x14ac:dyDescent="0.2">
      <c r="BA748" s="10"/>
      <c r="BB748" s="10"/>
      <c r="BC748" s="10"/>
      <c r="BD748" s="10"/>
      <c r="BE748" s="10"/>
      <c r="BF748" s="10"/>
      <c r="BG748" s="10"/>
      <c r="BH748" s="10"/>
      <c r="BI748" s="10"/>
      <c r="BJ748" s="10"/>
      <c r="BK748" s="10"/>
      <c r="BL748" s="10"/>
      <c r="BM748" s="10"/>
      <c r="BN748" s="10"/>
      <c r="BO748" s="10"/>
      <c r="BP748" s="10"/>
      <c r="BQ748" s="10"/>
      <c r="BR748" s="10"/>
      <c r="BS748" s="10"/>
      <c r="BT748" s="10"/>
    </row>
    <row r="749" spans="53:72" ht="18" x14ac:dyDescent="0.2">
      <c r="BA749" s="10"/>
      <c r="BB749" s="10"/>
      <c r="BC749" s="10"/>
      <c r="BD749" s="10"/>
      <c r="BE749" s="10"/>
      <c r="BF749" s="10"/>
      <c r="BG749" s="10"/>
      <c r="BH749" s="10"/>
      <c r="BI749" s="10"/>
      <c r="BJ749" s="10"/>
      <c r="BK749" s="10"/>
      <c r="BL749" s="10"/>
      <c r="BM749" s="10"/>
      <c r="BN749" s="10"/>
      <c r="BO749" s="10"/>
      <c r="BP749" s="10"/>
      <c r="BQ749" s="10"/>
      <c r="BR749" s="10"/>
      <c r="BS749" s="10"/>
      <c r="BT749" s="10"/>
    </row>
    <row r="750" spans="53:72" ht="18" x14ac:dyDescent="0.2">
      <c r="BA750" s="10"/>
      <c r="BB750" s="10"/>
      <c r="BC750" s="10"/>
      <c r="BD750" s="10"/>
      <c r="BE750" s="10"/>
      <c r="BF750" s="10"/>
      <c r="BG750" s="10"/>
      <c r="BH750" s="10"/>
      <c r="BI750" s="10"/>
      <c r="BJ750" s="10"/>
      <c r="BK750" s="10"/>
      <c r="BL750" s="10"/>
      <c r="BM750" s="10"/>
      <c r="BN750" s="10"/>
      <c r="BO750" s="10"/>
      <c r="BP750" s="10"/>
      <c r="BQ750" s="10"/>
      <c r="BR750" s="10"/>
      <c r="BS750" s="10"/>
      <c r="BT750" s="10"/>
    </row>
    <row r="751" spans="53:72" ht="18" x14ac:dyDescent="0.2">
      <c r="BA751" s="10"/>
      <c r="BB751" s="10"/>
      <c r="BC751" s="10"/>
      <c r="BD751" s="10"/>
      <c r="BE751" s="10"/>
      <c r="BF751" s="10"/>
      <c r="BG751" s="10"/>
      <c r="BH751" s="10"/>
      <c r="BI751" s="10"/>
      <c r="BJ751" s="10"/>
      <c r="BK751" s="10"/>
      <c r="BL751" s="10"/>
      <c r="BM751" s="10"/>
      <c r="BN751" s="10"/>
      <c r="BO751" s="10"/>
      <c r="BP751" s="10"/>
      <c r="BQ751" s="10"/>
      <c r="BR751" s="10"/>
      <c r="BS751" s="10"/>
      <c r="BT751" s="10"/>
    </row>
    <row r="752" spans="53:72" ht="18" x14ac:dyDescent="0.2">
      <c r="BA752" s="10"/>
      <c r="BB752" s="10"/>
      <c r="BC752" s="10"/>
      <c r="BD752" s="10"/>
      <c r="BE752" s="10"/>
      <c r="BF752" s="10"/>
      <c r="BG752" s="10"/>
      <c r="BH752" s="10"/>
      <c r="BI752" s="10"/>
      <c r="BJ752" s="10"/>
      <c r="BK752" s="10"/>
      <c r="BL752" s="10"/>
      <c r="BM752" s="10"/>
      <c r="BN752" s="10"/>
      <c r="BO752" s="10"/>
      <c r="BP752" s="10"/>
      <c r="BQ752" s="10"/>
      <c r="BR752" s="10"/>
      <c r="BS752" s="10"/>
      <c r="BT752" s="10"/>
    </row>
    <row r="753" spans="53:72" ht="18" x14ac:dyDescent="0.2">
      <c r="BA753" s="10"/>
      <c r="BB753" s="10"/>
      <c r="BC753" s="10"/>
      <c r="BD753" s="10"/>
      <c r="BE753" s="10"/>
      <c r="BF753" s="10"/>
      <c r="BG753" s="10"/>
      <c r="BH753" s="10"/>
      <c r="BI753" s="10"/>
      <c r="BJ753" s="10"/>
      <c r="BK753" s="10"/>
      <c r="BL753" s="10"/>
      <c r="BM753" s="10"/>
      <c r="BN753" s="10"/>
      <c r="BO753" s="10"/>
      <c r="BP753" s="10"/>
      <c r="BQ753" s="10"/>
      <c r="BR753" s="10"/>
      <c r="BS753" s="10"/>
      <c r="BT753" s="10"/>
    </row>
    <row r="754" spans="53:72" ht="18" x14ac:dyDescent="0.2">
      <c r="BA754" s="10"/>
      <c r="BB754" s="10"/>
      <c r="BC754" s="10"/>
      <c r="BD754" s="10"/>
      <c r="BE754" s="10"/>
      <c r="BF754" s="10"/>
      <c r="BG754" s="10"/>
      <c r="BH754" s="10"/>
      <c r="BI754" s="10"/>
      <c r="BJ754" s="10"/>
      <c r="BK754" s="10"/>
      <c r="BL754" s="10"/>
      <c r="BM754" s="10"/>
      <c r="BN754" s="10"/>
      <c r="BO754" s="10"/>
      <c r="BP754" s="10"/>
      <c r="BQ754" s="10"/>
      <c r="BR754" s="10"/>
      <c r="BS754" s="10"/>
      <c r="BT754" s="10"/>
    </row>
    <row r="755" spans="53:72" ht="18" x14ac:dyDescent="0.2">
      <c r="BA755" s="10"/>
      <c r="BB755" s="10"/>
      <c r="BC755" s="10"/>
      <c r="BD755" s="10"/>
      <c r="BE755" s="10"/>
      <c r="BF755" s="10"/>
      <c r="BG755" s="10"/>
      <c r="BH755" s="10"/>
      <c r="BI755" s="10"/>
      <c r="BJ755" s="10"/>
      <c r="BK755" s="10"/>
      <c r="BL755" s="10"/>
      <c r="BM755" s="10"/>
      <c r="BN755" s="10"/>
      <c r="BO755" s="10"/>
      <c r="BP755" s="10"/>
      <c r="BQ755" s="10"/>
      <c r="BR755" s="10"/>
      <c r="BS755" s="10"/>
      <c r="BT755" s="10"/>
    </row>
    <row r="756" spans="53:72" ht="18" x14ac:dyDescent="0.2">
      <c r="BA756" s="10"/>
      <c r="BB756" s="10"/>
      <c r="BC756" s="10"/>
      <c r="BD756" s="10"/>
      <c r="BE756" s="10"/>
      <c r="BF756" s="10"/>
      <c r="BG756" s="10"/>
      <c r="BH756" s="10"/>
      <c r="BI756" s="10"/>
      <c r="BJ756" s="10"/>
      <c r="BK756" s="10"/>
      <c r="BL756" s="10"/>
      <c r="BM756" s="10"/>
      <c r="BN756" s="10"/>
      <c r="BO756" s="10"/>
      <c r="BP756" s="10"/>
      <c r="BQ756" s="10"/>
      <c r="BR756" s="10"/>
      <c r="BS756" s="10"/>
      <c r="BT756" s="10"/>
    </row>
    <row r="757" spans="53:72" ht="18" x14ac:dyDescent="0.2">
      <c r="BA757" s="10"/>
      <c r="BB757" s="10"/>
      <c r="BC757" s="10"/>
      <c r="BD757" s="10"/>
      <c r="BE757" s="10"/>
      <c r="BF757" s="10"/>
      <c r="BG757" s="10"/>
      <c r="BH757" s="10"/>
      <c r="BI757" s="10"/>
      <c r="BJ757" s="10"/>
      <c r="BK757" s="10"/>
      <c r="BL757" s="10"/>
      <c r="BM757" s="10"/>
      <c r="BN757" s="10"/>
      <c r="BO757" s="10"/>
      <c r="BP757" s="10"/>
      <c r="BQ757" s="10"/>
      <c r="BR757" s="10"/>
      <c r="BS757" s="10"/>
      <c r="BT757" s="10"/>
    </row>
    <row r="758" spans="53:72" ht="18" x14ac:dyDescent="0.2">
      <c r="BA758" s="10"/>
      <c r="BB758" s="10"/>
      <c r="BC758" s="10"/>
      <c r="BD758" s="10"/>
      <c r="BE758" s="10"/>
      <c r="BF758" s="10"/>
      <c r="BG758" s="10"/>
      <c r="BH758" s="10"/>
      <c r="BI758" s="10"/>
      <c r="BJ758" s="10"/>
      <c r="BK758" s="10"/>
      <c r="BL758" s="10"/>
      <c r="BM758" s="10"/>
      <c r="BN758" s="10"/>
      <c r="BO758" s="10"/>
      <c r="BP758" s="10"/>
      <c r="BQ758" s="10"/>
      <c r="BR758" s="10"/>
      <c r="BS758" s="10"/>
      <c r="BT758" s="10"/>
    </row>
    <row r="759" spans="53:72" ht="18" x14ac:dyDescent="0.2">
      <c r="BA759" s="10"/>
      <c r="BB759" s="10"/>
      <c r="BC759" s="10"/>
      <c r="BD759" s="10"/>
      <c r="BE759" s="10"/>
      <c r="BF759" s="10"/>
      <c r="BG759" s="10"/>
      <c r="BH759" s="10"/>
      <c r="BI759" s="10"/>
      <c r="BJ759" s="10"/>
      <c r="BK759" s="10"/>
      <c r="BL759" s="10"/>
      <c r="BM759" s="10"/>
      <c r="BN759" s="10"/>
      <c r="BO759" s="10"/>
      <c r="BP759" s="10"/>
      <c r="BQ759" s="10"/>
      <c r="BR759" s="10"/>
      <c r="BS759" s="10"/>
      <c r="BT759" s="10"/>
    </row>
    <row r="760" spans="53:72" ht="18" x14ac:dyDescent="0.2">
      <c r="BA760" s="10"/>
      <c r="BB760" s="10"/>
      <c r="BC760" s="10"/>
      <c r="BD760" s="10"/>
      <c r="BE760" s="10"/>
      <c r="BF760" s="10"/>
      <c r="BG760" s="10"/>
      <c r="BH760" s="10"/>
      <c r="BI760" s="10"/>
      <c r="BJ760" s="10"/>
      <c r="BK760" s="10"/>
      <c r="BL760" s="10"/>
      <c r="BM760" s="10"/>
      <c r="BN760" s="10"/>
      <c r="BO760" s="10"/>
      <c r="BP760" s="10"/>
      <c r="BQ760" s="10"/>
      <c r="BR760" s="10"/>
      <c r="BS760" s="10"/>
      <c r="BT760" s="10"/>
    </row>
    <row r="761" spans="53:72" ht="18" x14ac:dyDescent="0.2">
      <c r="BA761" s="10"/>
      <c r="BB761" s="10"/>
      <c r="BC761" s="10"/>
      <c r="BD761" s="10"/>
      <c r="BE761" s="10"/>
      <c r="BF761" s="10"/>
      <c r="BG761" s="10"/>
      <c r="BH761" s="10"/>
      <c r="BI761" s="10"/>
      <c r="BJ761" s="10"/>
      <c r="BK761" s="10"/>
      <c r="BL761" s="10"/>
      <c r="BM761" s="10"/>
      <c r="BN761" s="10"/>
      <c r="BO761" s="10"/>
      <c r="BP761" s="10"/>
      <c r="BQ761" s="10"/>
      <c r="BR761" s="10"/>
      <c r="BS761" s="10"/>
      <c r="BT761" s="10"/>
    </row>
    <row r="762" spans="53:72" ht="18" x14ac:dyDescent="0.2">
      <c r="BA762" s="10"/>
      <c r="BB762" s="10"/>
      <c r="BC762" s="10"/>
      <c r="BD762" s="10"/>
      <c r="BE762" s="10"/>
      <c r="BF762" s="10"/>
      <c r="BG762" s="10"/>
      <c r="BH762" s="10"/>
      <c r="BI762" s="10"/>
      <c r="BJ762" s="10"/>
      <c r="BK762" s="10"/>
      <c r="BL762" s="10"/>
      <c r="BM762" s="10"/>
      <c r="BN762" s="10"/>
      <c r="BO762" s="10"/>
      <c r="BP762" s="10"/>
      <c r="BQ762" s="10"/>
      <c r="BR762" s="10"/>
      <c r="BS762" s="10"/>
      <c r="BT762" s="10"/>
    </row>
    <row r="763" spans="53:72" ht="18" x14ac:dyDescent="0.2">
      <c r="BA763" s="10"/>
      <c r="BB763" s="10"/>
      <c r="BC763" s="10"/>
      <c r="BD763" s="10"/>
      <c r="BE763" s="10"/>
      <c r="BF763" s="10"/>
      <c r="BG763" s="10"/>
      <c r="BH763" s="10"/>
      <c r="BI763" s="10"/>
      <c r="BJ763" s="10"/>
      <c r="BK763" s="10"/>
      <c r="BL763" s="10"/>
      <c r="BM763" s="10"/>
      <c r="BN763" s="10"/>
      <c r="BO763" s="10"/>
      <c r="BP763" s="10"/>
      <c r="BQ763" s="10"/>
      <c r="BR763" s="10"/>
      <c r="BS763" s="10"/>
      <c r="BT763" s="10"/>
    </row>
    <row r="764" spans="53:72" ht="18" x14ac:dyDescent="0.2">
      <c r="BA764" s="10"/>
      <c r="BB764" s="10"/>
      <c r="BC764" s="10"/>
      <c r="BD764" s="10"/>
      <c r="BE764" s="10"/>
      <c r="BF764" s="10"/>
      <c r="BG764" s="10"/>
      <c r="BH764" s="10"/>
      <c r="BI764" s="10"/>
      <c r="BJ764" s="10"/>
      <c r="BK764" s="10"/>
      <c r="BL764" s="10"/>
      <c r="BM764" s="10"/>
      <c r="BN764" s="10"/>
      <c r="BO764" s="10"/>
      <c r="BP764" s="10"/>
      <c r="BQ764" s="10"/>
      <c r="BR764" s="10"/>
      <c r="BS764" s="10"/>
      <c r="BT764" s="10"/>
    </row>
    <row r="765" spans="53:72" ht="18" x14ac:dyDescent="0.2">
      <c r="BA765" s="10"/>
      <c r="BB765" s="10"/>
      <c r="BC765" s="10"/>
      <c r="BD765" s="10"/>
      <c r="BE765" s="10"/>
      <c r="BF765" s="10"/>
      <c r="BG765" s="10"/>
      <c r="BH765" s="10"/>
      <c r="BI765" s="10"/>
      <c r="BJ765" s="10"/>
      <c r="BK765" s="10"/>
      <c r="BL765" s="10"/>
      <c r="BM765" s="10"/>
      <c r="BN765" s="10"/>
      <c r="BO765" s="10"/>
      <c r="BP765" s="10"/>
      <c r="BQ765" s="10"/>
      <c r="BR765" s="10"/>
      <c r="BS765" s="10"/>
      <c r="BT765" s="10"/>
    </row>
    <row r="766" spans="53:72" ht="18" x14ac:dyDescent="0.2">
      <c r="BA766" s="10"/>
      <c r="BB766" s="10"/>
      <c r="BC766" s="10"/>
      <c r="BD766" s="10"/>
      <c r="BE766" s="10"/>
      <c r="BF766" s="10"/>
      <c r="BG766" s="10"/>
      <c r="BH766" s="10"/>
      <c r="BI766" s="10"/>
      <c r="BJ766" s="10"/>
      <c r="BK766" s="10"/>
      <c r="BL766" s="10"/>
      <c r="BM766" s="10"/>
      <c r="BN766" s="10"/>
      <c r="BO766" s="10"/>
      <c r="BP766" s="10"/>
      <c r="BQ766" s="10"/>
      <c r="BR766" s="10"/>
      <c r="BS766" s="10"/>
      <c r="BT766" s="10"/>
    </row>
    <row r="767" spans="53:72" ht="18" x14ac:dyDescent="0.2">
      <c r="BA767" s="10"/>
      <c r="BB767" s="10"/>
      <c r="BC767" s="10"/>
      <c r="BD767" s="10"/>
      <c r="BE767" s="10"/>
      <c r="BF767" s="10"/>
      <c r="BG767" s="10"/>
      <c r="BH767" s="10"/>
      <c r="BI767" s="10"/>
      <c r="BJ767" s="10"/>
      <c r="BK767" s="10"/>
      <c r="BL767" s="10"/>
      <c r="BM767" s="10"/>
      <c r="BN767" s="10"/>
      <c r="BO767" s="10"/>
      <c r="BP767" s="10"/>
      <c r="BQ767" s="10"/>
      <c r="BR767" s="10"/>
      <c r="BS767" s="10"/>
      <c r="BT767" s="10"/>
    </row>
    <row r="768" spans="53:72" ht="18" x14ac:dyDescent="0.2">
      <c r="BA768" s="10"/>
      <c r="BB768" s="10"/>
      <c r="BC768" s="10"/>
      <c r="BD768" s="10"/>
      <c r="BE768" s="10"/>
      <c r="BF768" s="10"/>
      <c r="BG768" s="10"/>
      <c r="BH768" s="10"/>
      <c r="BI768" s="10"/>
      <c r="BJ768" s="10"/>
      <c r="BK768" s="10"/>
      <c r="BL768" s="10"/>
      <c r="BM768" s="10"/>
      <c r="BN768" s="10"/>
      <c r="BO768" s="10"/>
      <c r="BP768" s="10"/>
      <c r="BQ768" s="10"/>
      <c r="BR768" s="10"/>
      <c r="BS768" s="10"/>
      <c r="BT768" s="10"/>
    </row>
    <row r="769" spans="53:72" ht="18" x14ac:dyDescent="0.2">
      <c r="BA769" s="10"/>
      <c r="BB769" s="10"/>
      <c r="BC769" s="10"/>
      <c r="BD769" s="10"/>
      <c r="BE769" s="10"/>
      <c r="BF769" s="10"/>
      <c r="BG769" s="10"/>
      <c r="BH769" s="10"/>
      <c r="BI769" s="10"/>
      <c r="BJ769" s="10"/>
      <c r="BK769" s="10"/>
      <c r="BL769" s="10"/>
      <c r="BM769" s="10"/>
      <c r="BN769" s="10"/>
      <c r="BO769" s="10"/>
      <c r="BP769" s="10"/>
      <c r="BQ769" s="10"/>
      <c r="BR769" s="10"/>
      <c r="BS769" s="10"/>
      <c r="BT769" s="10"/>
    </row>
    <row r="770" spans="53:72" ht="18" x14ac:dyDescent="0.2">
      <c r="BA770" s="10"/>
      <c r="BB770" s="10"/>
      <c r="BC770" s="10"/>
      <c r="BD770" s="10"/>
      <c r="BE770" s="10"/>
      <c r="BF770" s="10"/>
      <c r="BG770" s="10"/>
      <c r="BH770" s="10"/>
      <c r="BI770" s="10"/>
      <c r="BJ770" s="10"/>
      <c r="BK770" s="10"/>
      <c r="BL770" s="10"/>
      <c r="BM770" s="10"/>
      <c r="BN770" s="10"/>
      <c r="BO770" s="10"/>
      <c r="BP770" s="10"/>
      <c r="BQ770" s="10"/>
      <c r="BR770" s="10"/>
      <c r="BS770" s="10"/>
      <c r="BT770" s="10"/>
    </row>
    <row r="771" spans="53:72" ht="18" x14ac:dyDescent="0.2">
      <c r="BA771" s="10"/>
      <c r="BB771" s="10"/>
      <c r="BC771" s="10"/>
      <c r="BD771" s="10"/>
      <c r="BE771" s="10"/>
      <c r="BF771" s="10"/>
      <c r="BG771" s="10"/>
      <c r="BH771" s="10"/>
      <c r="BI771" s="10"/>
      <c r="BJ771" s="10"/>
      <c r="BK771" s="10"/>
      <c r="BL771" s="10"/>
      <c r="BM771" s="10"/>
      <c r="BN771" s="10"/>
      <c r="BO771" s="10"/>
      <c r="BP771" s="10"/>
      <c r="BQ771" s="10"/>
      <c r="BR771" s="10"/>
      <c r="BS771" s="10"/>
      <c r="BT771" s="10"/>
    </row>
    <row r="772" spans="53:72" ht="18" x14ac:dyDescent="0.2">
      <c r="BA772" s="10"/>
      <c r="BB772" s="10"/>
      <c r="BC772" s="10"/>
      <c r="BD772" s="10"/>
      <c r="BE772" s="10"/>
      <c r="BF772" s="10"/>
      <c r="BG772" s="10"/>
      <c r="BH772" s="10"/>
      <c r="BI772" s="10"/>
      <c r="BJ772" s="10"/>
      <c r="BK772" s="10"/>
      <c r="BL772" s="10"/>
      <c r="BM772" s="10"/>
      <c r="BN772" s="10"/>
      <c r="BO772" s="10"/>
      <c r="BP772" s="10"/>
      <c r="BQ772" s="10"/>
      <c r="BR772" s="10"/>
      <c r="BS772" s="10"/>
      <c r="BT772" s="10"/>
    </row>
    <row r="773" spans="53:72" ht="18" x14ac:dyDescent="0.2">
      <c r="BA773" s="10"/>
      <c r="BB773" s="10"/>
      <c r="BC773" s="10"/>
      <c r="BD773" s="10"/>
      <c r="BE773" s="10"/>
      <c r="BF773" s="10"/>
      <c r="BG773" s="10"/>
      <c r="BH773" s="10"/>
      <c r="BI773" s="10"/>
      <c r="BJ773" s="10"/>
      <c r="BK773" s="10"/>
      <c r="BL773" s="10"/>
      <c r="BM773" s="10"/>
      <c r="BN773" s="10"/>
      <c r="BO773" s="10"/>
      <c r="BP773" s="10"/>
      <c r="BQ773" s="10"/>
      <c r="BR773" s="10"/>
      <c r="BS773" s="10"/>
      <c r="BT773" s="10"/>
    </row>
    <row r="774" spans="53:72" ht="18" x14ac:dyDescent="0.2">
      <c r="BA774" s="10"/>
      <c r="BB774" s="10"/>
      <c r="BC774" s="10"/>
      <c r="BD774" s="10"/>
      <c r="BE774" s="10"/>
      <c r="BF774" s="10"/>
      <c r="BG774" s="10"/>
      <c r="BH774" s="10"/>
      <c r="BI774" s="10"/>
      <c r="BJ774" s="10"/>
      <c r="BK774" s="10"/>
      <c r="BL774" s="10"/>
      <c r="BM774" s="10"/>
      <c r="BN774" s="10"/>
      <c r="BO774" s="10"/>
      <c r="BP774" s="10"/>
      <c r="BQ774" s="10"/>
      <c r="BR774" s="10"/>
      <c r="BS774" s="10"/>
      <c r="BT774" s="10"/>
    </row>
    <row r="775" spans="53:72" ht="18" x14ac:dyDescent="0.2">
      <c r="BA775" s="10"/>
      <c r="BB775" s="10"/>
      <c r="BC775" s="10"/>
      <c r="BD775" s="10"/>
      <c r="BE775" s="10"/>
      <c r="BF775" s="10"/>
      <c r="BG775" s="10"/>
      <c r="BH775" s="10"/>
      <c r="BI775" s="10"/>
      <c r="BJ775" s="10"/>
      <c r="BK775" s="10"/>
      <c r="BL775" s="10"/>
      <c r="BM775" s="10"/>
      <c r="BN775" s="10"/>
      <c r="BO775" s="10"/>
      <c r="BP775" s="10"/>
      <c r="BQ775" s="10"/>
      <c r="BR775" s="10"/>
      <c r="BS775" s="10"/>
      <c r="BT775" s="10"/>
    </row>
    <row r="776" spans="53:72" ht="18" x14ac:dyDescent="0.2">
      <c r="BA776" s="10"/>
      <c r="BB776" s="10"/>
      <c r="BC776" s="10"/>
      <c r="BD776" s="10"/>
      <c r="BE776" s="10"/>
      <c r="BF776" s="10"/>
      <c r="BG776" s="10"/>
      <c r="BH776" s="10"/>
      <c r="BI776" s="10"/>
      <c r="BJ776" s="10"/>
      <c r="BK776" s="10"/>
      <c r="BL776" s="10"/>
      <c r="BM776" s="10"/>
      <c r="BN776" s="10"/>
      <c r="BO776" s="10"/>
      <c r="BP776" s="10"/>
      <c r="BQ776" s="10"/>
      <c r="BR776" s="10"/>
      <c r="BS776" s="10"/>
      <c r="BT776" s="10"/>
    </row>
    <row r="777" spans="53:72" ht="18" x14ac:dyDescent="0.2">
      <c r="BA777" s="10"/>
      <c r="BB777" s="10"/>
      <c r="BC777" s="10"/>
      <c r="BD777" s="10"/>
      <c r="BE777" s="10"/>
      <c r="BF777" s="10"/>
      <c r="BG777" s="10"/>
      <c r="BH777" s="10"/>
      <c r="BI777" s="10"/>
      <c r="BJ777" s="10"/>
      <c r="BK777" s="10"/>
      <c r="BL777" s="10"/>
      <c r="BM777" s="10"/>
      <c r="BN777" s="10"/>
      <c r="BO777" s="10"/>
      <c r="BP777" s="10"/>
      <c r="BQ777" s="10"/>
      <c r="BR777" s="10"/>
      <c r="BS777" s="10"/>
      <c r="BT777" s="10"/>
    </row>
    <row r="778" spans="53:72" ht="18" x14ac:dyDescent="0.2">
      <c r="BA778" s="10"/>
      <c r="BB778" s="10"/>
      <c r="BC778" s="10"/>
      <c r="BD778" s="10"/>
      <c r="BE778" s="10"/>
      <c r="BF778" s="10"/>
      <c r="BG778" s="10"/>
      <c r="BH778" s="10"/>
      <c r="BI778" s="10"/>
      <c r="BJ778" s="10"/>
      <c r="BK778" s="10"/>
      <c r="BL778" s="10"/>
      <c r="BM778" s="10"/>
      <c r="BN778" s="10"/>
      <c r="BO778" s="10"/>
      <c r="BP778" s="10"/>
      <c r="BQ778" s="10"/>
      <c r="BR778" s="10"/>
      <c r="BS778" s="10"/>
      <c r="BT778" s="10"/>
    </row>
    <row r="779" spans="53:72" ht="18" x14ac:dyDescent="0.2">
      <c r="BA779" s="10"/>
      <c r="BB779" s="10"/>
      <c r="BC779" s="10"/>
      <c r="BD779" s="10"/>
      <c r="BE779" s="10"/>
      <c r="BF779" s="10"/>
      <c r="BG779" s="10"/>
      <c r="BH779" s="10"/>
      <c r="BI779" s="10"/>
      <c r="BJ779" s="10"/>
      <c r="BK779" s="10"/>
      <c r="BL779" s="10"/>
      <c r="BM779" s="10"/>
      <c r="BN779" s="10"/>
      <c r="BO779" s="10"/>
      <c r="BP779" s="10"/>
      <c r="BQ779" s="10"/>
      <c r="BR779" s="10"/>
      <c r="BS779" s="10"/>
      <c r="BT779" s="10"/>
    </row>
    <row r="780" spans="53:72" ht="18" x14ac:dyDescent="0.2">
      <c r="BA780" s="10"/>
      <c r="BB780" s="10"/>
      <c r="BC780" s="10"/>
      <c r="BD780" s="10"/>
      <c r="BE780" s="10"/>
      <c r="BF780" s="10"/>
      <c r="BG780" s="10"/>
      <c r="BH780" s="10"/>
      <c r="BI780" s="10"/>
      <c r="BJ780" s="10"/>
      <c r="BK780" s="10"/>
      <c r="BL780" s="10"/>
      <c r="BM780" s="10"/>
      <c r="BN780" s="10"/>
      <c r="BO780" s="10"/>
      <c r="BP780" s="10"/>
      <c r="BQ780" s="10"/>
      <c r="BR780" s="10"/>
      <c r="BS780" s="10"/>
      <c r="BT780" s="10"/>
    </row>
    <row r="781" spans="53:72" ht="18" x14ac:dyDescent="0.2">
      <c r="BA781" s="10"/>
      <c r="BB781" s="10"/>
      <c r="BC781" s="10"/>
      <c r="BD781" s="10"/>
      <c r="BE781" s="10"/>
      <c r="BF781" s="10"/>
      <c r="BG781" s="10"/>
      <c r="BH781" s="10"/>
      <c r="BI781" s="10"/>
      <c r="BJ781" s="10"/>
      <c r="BK781" s="10"/>
      <c r="BL781" s="10"/>
      <c r="BM781" s="10"/>
      <c r="BN781" s="10"/>
      <c r="BO781" s="10"/>
      <c r="BP781" s="10"/>
      <c r="BQ781" s="10"/>
      <c r="BR781" s="10"/>
      <c r="BS781" s="10"/>
      <c r="BT781" s="10"/>
    </row>
    <row r="782" spans="53:72" ht="18" x14ac:dyDescent="0.2">
      <c r="BA782" s="10"/>
      <c r="BB782" s="10"/>
      <c r="BC782" s="10"/>
      <c r="BD782" s="10"/>
      <c r="BE782" s="10"/>
      <c r="BF782" s="10"/>
      <c r="BG782" s="10"/>
      <c r="BH782" s="10"/>
      <c r="BI782" s="10"/>
      <c r="BJ782" s="10"/>
      <c r="BK782" s="10"/>
      <c r="BL782" s="10"/>
      <c r="BM782" s="10"/>
      <c r="BN782" s="10"/>
      <c r="BO782" s="10"/>
      <c r="BP782" s="10"/>
      <c r="BQ782" s="10"/>
      <c r="BR782" s="10"/>
      <c r="BS782" s="10"/>
      <c r="BT782" s="10"/>
    </row>
    <row r="783" spans="53:72" ht="18" x14ac:dyDescent="0.2">
      <c r="BA783" s="10"/>
      <c r="BB783" s="10"/>
      <c r="BC783" s="10"/>
      <c r="BD783" s="10"/>
      <c r="BE783" s="10"/>
      <c r="BF783" s="10"/>
      <c r="BG783" s="10"/>
      <c r="BH783" s="10"/>
      <c r="BI783" s="10"/>
      <c r="BJ783" s="10"/>
      <c r="BK783" s="10"/>
      <c r="BL783" s="10"/>
      <c r="BM783" s="10"/>
      <c r="BN783" s="10"/>
      <c r="BO783" s="10"/>
      <c r="BP783" s="10"/>
      <c r="BQ783" s="10"/>
      <c r="BR783" s="10"/>
      <c r="BS783" s="10"/>
      <c r="BT783" s="10"/>
    </row>
    <row r="784" spans="53:72" ht="18" x14ac:dyDescent="0.2">
      <c r="BA784" s="10"/>
      <c r="BB784" s="10"/>
      <c r="BC784" s="10"/>
      <c r="BD784" s="10"/>
      <c r="BE784" s="10"/>
      <c r="BF784" s="10"/>
      <c r="BG784" s="10"/>
      <c r="BH784" s="10"/>
      <c r="BI784" s="10"/>
      <c r="BJ784" s="10"/>
      <c r="BK784" s="10"/>
      <c r="BL784" s="10"/>
      <c r="BM784" s="10"/>
      <c r="BN784" s="10"/>
      <c r="BO784" s="10"/>
      <c r="BP784" s="10"/>
      <c r="BQ784" s="10"/>
      <c r="BR784" s="10"/>
      <c r="BS784" s="10"/>
      <c r="BT784" s="10"/>
    </row>
    <row r="785" spans="53:72" ht="18" x14ac:dyDescent="0.2">
      <c r="BA785" s="10"/>
      <c r="BB785" s="10"/>
      <c r="BC785" s="10"/>
      <c r="BD785" s="10"/>
      <c r="BE785" s="10"/>
      <c r="BF785" s="10"/>
      <c r="BG785" s="10"/>
      <c r="BH785" s="10"/>
      <c r="BI785" s="10"/>
      <c r="BJ785" s="10"/>
      <c r="BK785" s="10"/>
      <c r="BL785" s="10"/>
      <c r="BM785" s="10"/>
      <c r="BN785" s="10"/>
      <c r="BO785" s="10"/>
      <c r="BP785" s="10"/>
      <c r="BQ785" s="10"/>
      <c r="BR785" s="10"/>
      <c r="BS785" s="10"/>
      <c r="BT785" s="10"/>
    </row>
    <row r="786" spans="53:72" ht="18" x14ac:dyDescent="0.2">
      <c r="BA786" s="10"/>
      <c r="BB786" s="10"/>
      <c r="BC786" s="10"/>
      <c r="BD786" s="10"/>
      <c r="BE786" s="10"/>
      <c r="BF786" s="10"/>
      <c r="BG786" s="10"/>
      <c r="BH786" s="10"/>
      <c r="BI786" s="10"/>
      <c r="BJ786" s="10"/>
      <c r="BK786" s="10"/>
      <c r="BL786" s="10"/>
      <c r="BM786" s="10"/>
      <c r="BN786" s="10"/>
      <c r="BO786" s="10"/>
      <c r="BP786" s="10"/>
      <c r="BQ786" s="10"/>
      <c r="BR786" s="10"/>
      <c r="BS786" s="10"/>
      <c r="BT786" s="10"/>
    </row>
    <row r="787" spans="53:72" ht="18" x14ac:dyDescent="0.2">
      <c r="BA787" s="10"/>
      <c r="BB787" s="10"/>
      <c r="BC787" s="10"/>
      <c r="BD787" s="10"/>
      <c r="BE787" s="10"/>
      <c r="BF787" s="10"/>
      <c r="BG787" s="10"/>
      <c r="BH787" s="10"/>
      <c r="BI787" s="10"/>
      <c r="BJ787" s="10"/>
      <c r="BK787" s="10"/>
      <c r="BL787" s="10"/>
      <c r="BM787" s="10"/>
      <c r="BN787" s="10"/>
      <c r="BO787" s="10"/>
      <c r="BP787" s="10"/>
      <c r="BQ787" s="10"/>
      <c r="BR787" s="10"/>
      <c r="BS787" s="10"/>
      <c r="BT787" s="10"/>
    </row>
    <row r="788" spans="53:72" ht="18" x14ac:dyDescent="0.2">
      <c r="BA788" s="10"/>
      <c r="BB788" s="10"/>
      <c r="BC788" s="10"/>
      <c r="BD788" s="10"/>
      <c r="BE788" s="10"/>
      <c r="BF788" s="10"/>
      <c r="BG788" s="10"/>
      <c r="BH788" s="10"/>
      <c r="BI788" s="10"/>
      <c r="BJ788" s="10"/>
      <c r="BK788" s="10"/>
      <c r="BL788" s="10"/>
      <c r="BM788" s="10"/>
      <c r="BN788" s="10"/>
      <c r="BO788" s="10"/>
      <c r="BP788" s="10"/>
      <c r="BQ788" s="10"/>
      <c r="BR788" s="10"/>
      <c r="BS788" s="10"/>
      <c r="BT788" s="10"/>
    </row>
    <row r="789" spans="53:72" ht="18" x14ac:dyDescent="0.2">
      <c r="BA789" s="10"/>
      <c r="BB789" s="10"/>
      <c r="BC789" s="10"/>
      <c r="BD789" s="10"/>
      <c r="BE789" s="10"/>
      <c r="BF789" s="10"/>
      <c r="BG789" s="10"/>
      <c r="BH789" s="10"/>
      <c r="BI789" s="10"/>
      <c r="BJ789" s="10"/>
      <c r="BK789" s="10"/>
      <c r="BL789" s="10"/>
      <c r="BM789" s="10"/>
      <c r="BN789" s="10"/>
      <c r="BO789" s="10"/>
      <c r="BP789" s="10"/>
      <c r="BQ789" s="10"/>
      <c r="BR789" s="10"/>
      <c r="BS789" s="10"/>
      <c r="BT789" s="10"/>
    </row>
    <row r="790" spans="53:72" ht="18" x14ac:dyDescent="0.2">
      <c r="BA790" s="10"/>
      <c r="BB790" s="10"/>
      <c r="BC790" s="10"/>
      <c r="BD790" s="10"/>
      <c r="BE790" s="10"/>
      <c r="BF790" s="10"/>
      <c r="BG790" s="10"/>
      <c r="BH790" s="10"/>
      <c r="BI790" s="10"/>
      <c r="BJ790" s="10"/>
      <c r="BK790" s="10"/>
      <c r="BL790" s="10"/>
      <c r="BM790" s="10"/>
      <c r="BN790" s="10"/>
      <c r="BO790" s="10"/>
      <c r="BP790" s="10"/>
      <c r="BQ790" s="10"/>
      <c r="BR790" s="10"/>
      <c r="BS790" s="10"/>
      <c r="BT790" s="10"/>
    </row>
    <row r="791" spans="53:72" ht="18" x14ac:dyDescent="0.2">
      <c r="BA791" s="10"/>
      <c r="BB791" s="10"/>
      <c r="BC791" s="10"/>
      <c r="BD791" s="10"/>
      <c r="BE791" s="10"/>
      <c r="BF791" s="10"/>
      <c r="BG791" s="10"/>
      <c r="BH791" s="10"/>
      <c r="BI791" s="10"/>
      <c r="BJ791" s="10"/>
      <c r="BK791" s="10"/>
      <c r="BL791" s="10"/>
      <c r="BM791" s="10"/>
      <c r="BN791" s="10"/>
      <c r="BO791" s="10"/>
      <c r="BP791" s="10"/>
      <c r="BQ791" s="10"/>
      <c r="BR791" s="10"/>
      <c r="BS791" s="10"/>
      <c r="BT791" s="10"/>
    </row>
    <row r="792" spans="53:72" ht="18" x14ac:dyDescent="0.2">
      <c r="BA792" s="10"/>
      <c r="BB792" s="10"/>
      <c r="BC792" s="10"/>
      <c r="BD792" s="10"/>
      <c r="BE792" s="10"/>
      <c r="BF792" s="10"/>
      <c r="BG792" s="10"/>
      <c r="BH792" s="10"/>
      <c r="BI792" s="10"/>
      <c r="BJ792" s="10"/>
      <c r="BK792" s="10"/>
      <c r="BL792" s="10"/>
      <c r="BM792" s="10"/>
      <c r="BN792" s="10"/>
      <c r="BO792" s="10"/>
      <c r="BP792" s="10"/>
      <c r="BQ792" s="10"/>
      <c r="BR792" s="10"/>
      <c r="BS792" s="10"/>
      <c r="BT792" s="10"/>
    </row>
    <row r="793" spans="53:72" ht="18" x14ac:dyDescent="0.2">
      <c r="BA793" s="10"/>
      <c r="BB793" s="10"/>
      <c r="BC793" s="10"/>
      <c r="BD793" s="10"/>
      <c r="BE793" s="10"/>
      <c r="BF793" s="10"/>
      <c r="BG793" s="10"/>
      <c r="BH793" s="10"/>
      <c r="BI793" s="10"/>
      <c r="BJ793" s="10"/>
      <c r="BK793" s="10"/>
      <c r="BL793" s="10"/>
      <c r="BM793" s="10"/>
      <c r="BN793" s="10"/>
      <c r="BO793" s="10"/>
      <c r="BP793" s="10"/>
      <c r="BQ793" s="10"/>
      <c r="BR793" s="10"/>
      <c r="BS793" s="10"/>
      <c r="BT793" s="10"/>
    </row>
    <row r="794" spans="53:72" ht="18" x14ac:dyDescent="0.2">
      <c r="BA794" s="10"/>
      <c r="BB794" s="10"/>
      <c r="BC794" s="10"/>
      <c r="BD794" s="10"/>
      <c r="BE794" s="10"/>
      <c r="BF794" s="10"/>
      <c r="BG794" s="10"/>
      <c r="BH794" s="10"/>
      <c r="BI794" s="10"/>
      <c r="BJ794" s="10"/>
      <c r="BK794" s="10"/>
      <c r="BL794" s="10"/>
      <c r="BM794" s="10"/>
      <c r="BN794" s="10"/>
      <c r="BO794" s="10"/>
      <c r="BP794" s="10"/>
      <c r="BQ794" s="10"/>
      <c r="BR794" s="10"/>
      <c r="BS794" s="10"/>
      <c r="BT794" s="10"/>
    </row>
    <row r="795" spans="53:72" ht="18" x14ac:dyDescent="0.2">
      <c r="BA795" s="10"/>
      <c r="BB795" s="10"/>
      <c r="BC795" s="10"/>
      <c r="BD795" s="10"/>
      <c r="BE795" s="10"/>
      <c r="BF795" s="10"/>
      <c r="BG795" s="10"/>
      <c r="BH795" s="10"/>
      <c r="BI795" s="10"/>
      <c r="BJ795" s="10"/>
      <c r="BK795" s="10"/>
      <c r="BL795" s="10"/>
      <c r="BM795" s="10"/>
      <c r="BN795" s="10"/>
      <c r="BO795" s="10"/>
      <c r="BP795" s="10"/>
      <c r="BQ795" s="10"/>
      <c r="BR795" s="10"/>
      <c r="BS795" s="10"/>
      <c r="BT795" s="10"/>
    </row>
    <row r="796" spans="53:72" ht="18" x14ac:dyDescent="0.2">
      <c r="BA796" s="10"/>
      <c r="BB796" s="10"/>
      <c r="BC796" s="10"/>
      <c r="BD796" s="10"/>
      <c r="BE796" s="10"/>
      <c r="BF796" s="10"/>
      <c r="BG796" s="10"/>
      <c r="BH796" s="10"/>
      <c r="BI796" s="10"/>
      <c r="BJ796" s="10"/>
      <c r="BK796" s="10"/>
      <c r="BL796" s="10"/>
      <c r="BM796" s="10"/>
      <c r="BN796" s="10"/>
      <c r="BO796" s="10"/>
      <c r="BP796" s="10"/>
      <c r="BQ796" s="10"/>
      <c r="BR796" s="10"/>
      <c r="BS796" s="10"/>
      <c r="BT796" s="10"/>
    </row>
    <row r="797" spans="53:72" ht="18" x14ac:dyDescent="0.2">
      <c r="BA797" s="10"/>
      <c r="BB797" s="10"/>
      <c r="BC797" s="10"/>
      <c r="BD797" s="10"/>
      <c r="BE797" s="10"/>
      <c r="BF797" s="10"/>
      <c r="BG797" s="10"/>
      <c r="BH797" s="10"/>
      <c r="BI797" s="10"/>
      <c r="BJ797" s="10"/>
      <c r="BK797" s="10"/>
      <c r="BL797" s="10"/>
      <c r="BM797" s="10"/>
      <c r="BN797" s="10"/>
      <c r="BO797" s="10"/>
      <c r="BP797" s="10"/>
      <c r="BQ797" s="10"/>
      <c r="BR797" s="10"/>
      <c r="BS797" s="10"/>
      <c r="BT797" s="10"/>
    </row>
    <row r="798" spans="53:72" ht="18" x14ac:dyDescent="0.2">
      <c r="BA798" s="10"/>
      <c r="BB798" s="10"/>
      <c r="BC798" s="10"/>
      <c r="BD798" s="10"/>
      <c r="BE798" s="10"/>
      <c r="BF798" s="10"/>
      <c r="BG798" s="10"/>
      <c r="BH798" s="10"/>
      <c r="BI798" s="10"/>
      <c r="BJ798" s="10"/>
      <c r="BK798" s="10"/>
      <c r="BL798" s="10"/>
      <c r="BM798" s="10"/>
      <c r="BN798" s="10"/>
      <c r="BO798" s="10"/>
      <c r="BP798" s="10"/>
      <c r="BQ798" s="10"/>
      <c r="BR798" s="10"/>
      <c r="BS798" s="10"/>
      <c r="BT798" s="10"/>
    </row>
    <row r="799" spans="53:72" ht="18" x14ac:dyDescent="0.2">
      <c r="BA799" s="10"/>
      <c r="BB799" s="10"/>
      <c r="BC799" s="10"/>
      <c r="BD799" s="10"/>
      <c r="BE799" s="10"/>
      <c r="BF799" s="10"/>
      <c r="BG799" s="10"/>
      <c r="BH799" s="10"/>
      <c r="BI799" s="10"/>
      <c r="BJ799" s="10"/>
      <c r="BK799" s="10"/>
      <c r="BL799" s="10"/>
      <c r="BM799" s="10"/>
      <c r="BN799" s="10"/>
      <c r="BO799" s="10"/>
      <c r="BP799" s="10"/>
      <c r="BQ799" s="10"/>
      <c r="BR799" s="10"/>
      <c r="BS799" s="10"/>
      <c r="BT799" s="10"/>
    </row>
    <row r="800" spans="53:72" ht="18" x14ac:dyDescent="0.2">
      <c r="BA800" s="10"/>
      <c r="BB800" s="10"/>
      <c r="BC800" s="10"/>
      <c r="BD800" s="10"/>
      <c r="BE800" s="10"/>
      <c r="BF800" s="10"/>
      <c r="BG800" s="10"/>
      <c r="BH800" s="10"/>
      <c r="BI800" s="10"/>
      <c r="BJ800" s="10"/>
      <c r="BK800" s="10"/>
      <c r="BL800" s="10"/>
      <c r="BM800" s="10"/>
      <c r="BN800" s="10"/>
      <c r="BO800" s="10"/>
      <c r="BP800" s="10"/>
      <c r="BQ800" s="10"/>
      <c r="BR800" s="10"/>
      <c r="BS800" s="10"/>
      <c r="BT800" s="10"/>
    </row>
    <row r="801" spans="53:72" ht="18" x14ac:dyDescent="0.2">
      <c r="BA801" s="10"/>
      <c r="BB801" s="10"/>
      <c r="BC801" s="10"/>
      <c r="BD801" s="10"/>
      <c r="BE801" s="10"/>
      <c r="BF801" s="10"/>
      <c r="BG801" s="10"/>
      <c r="BH801" s="10"/>
      <c r="BI801" s="10"/>
      <c r="BJ801" s="10"/>
      <c r="BK801" s="10"/>
      <c r="BL801" s="10"/>
      <c r="BM801" s="10"/>
      <c r="BN801" s="10"/>
      <c r="BO801" s="10"/>
      <c r="BP801" s="10"/>
      <c r="BQ801" s="10"/>
      <c r="BR801" s="10"/>
      <c r="BS801" s="10"/>
      <c r="BT801" s="10"/>
    </row>
    <row r="802" spans="53:72" ht="18" x14ac:dyDescent="0.2">
      <c r="BA802" s="10"/>
      <c r="BB802" s="10"/>
      <c r="BC802" s="10"/>
      <c r="BD802" s="10"/>
      <c r="BE802" s="10"/>
      <c r="BF802" s="10"/>
      <c r="BG802" s="10"/>
      <c r="BH802" s="10"/>
      <c r="BI802" s="10"/>
      <c r="BJ802" s="10"/>
      <c r="BK802" s="10"/>
      <c r="BL802" s="10"/>
      <c r="BM802" s="10"/>
      <c r="BN802" s="10"/>
      <c r="BO802" s="10"/>
      <c r="BP802" s="10"/>
      <c r="BQ802" s="10"/>
      <c r="BR802" s="10"/>
      <c r="BS802" s="10"/>
      <c r="BT802" s="10"/>
    </row>
    <row r="803" spans="53:72" ht="18" x14ac:dyDescent="0.2">
      <c r="BA803" s="10"/>
      <c r="BB803" s="10"/>
      <c r="BC803" s="10"/>
      <c r="BD803" s="10"/>
      <c r="BE803" s="10"/>
      <c r="BF803" s="10"/>
      <c r="BG803" s="10"/>
      <c r="BH803" s="10"/>
      <c r="BI803" s="10"/>
      <c r="BJ803" s="10"/>
      <c r="BK803" s="10"/>
      <c r="BL803" s="10"/>
      <c r="BM803" s="10"/>
      <c r="BN803" s="10"/>
      <c r="BO803" s="10"/>
      <c r="BP803" s="10"/>
      <c r="BQ803" s="10"/>
      <c r="BR803" s="10"/>
      <c r="BS803" s="10"/>
      <c r="BT803" s="10"/>
    </row>
    <row r="804" spans="53:72" ht="18" x14ac:dyDescent="0.2">
      <c r="BA804" s="10"/>
      <c r="BB804" s="10"/>
      <c r="BC804" s="10"/>
      <c r="BD804" s="10"/>
      <c r="BE804" s="10"/>
      <c r="BF804" s="10"/>
      <c r="BG804" s="10"/>
      <c r="BH804" s="10"/>
      <c r="BI804" s="10"/>
      <c r="BJ804" s="10"/>
      <c r="BK804" s="10"/>
      <c r="BL804" s="10"/>
      <c r="BM804" s="10"/>
      <c r="BN804" s="10"/>
      <c r="BO804" s="10"/>
      <c r="BP804" s="10"/>
      <c r="BQ804" s="10"/>
      <c r="BR804" s="10"/>
      <c r="BS804" s="10"/>
      <c r="BT804" s="10"/>
    </row>
    <row r="805" spans="53:72" ht="18" x14ac:dyDescent="0.2">
      <c r="BA805" s="10"/>
      <c r="BB805" s="10"/>
      <c r="BC805" s="10"/>
      <c r="BD805" s="10"/>
      <c r="BE805" s="10"/>
      <c r="BF805" s="10"/>
      <c r="BG805" s="10"/>
      <c r="BH805" s="10"/>
      <c r="BI805" s="10"/>
      <c r="BJ805" s="10"/>
      <c r="BK805" s="10"/>
      <c r="BL805" s="10"/>
      <c r="BM805" s="10"/>
      <c r="BN805" s="10"/>
      <c r="BO805" s="10"/>
      <c r="BP805" s="10"/>
      <c r="BQ805" s="10"/>
      <c r="BR805" s="10"/>
      <c r="BS805" s="10"/>
      <c r="BT805" s="10"/>
    </row>
    <row r="806" spans="53:72" ht="18" x14ac:dyDescent="0.2">
      <c r="BA806" s="10"/>
      <c r="BB806" s="10"/>
      <c r="BC806" s="10"/>
      <c r="BD806" s="10"/>
      <c r="BE806" s="10"/>
      <c r="BF806" s="10"/>
      <c r="BG806" s="10"/>
      <c r="BH806" s="10"/>
      <c r="BI806" s="10"/>
      <c r="BJ806" s="10"/>
      <c r="BK806" s="10"/>
      <c r="BL806" s="10"/>
      <c r="BM806" s="10"/>
      <c r="BN806" s="10"/>
      <c r="BO806" s="10"/>
      <c r="BP806" s="10"/>
      <c r="BQ806" s="10"/>
      <c r="BR806" s="10"/>
      <c r="BS806" s="10"/>
      <c r="BT806" s="10"/>
    </row>
    <row r="807" spans="53:72" ht="18" x14ac:dyDescent="0.2">
      <c r="BA807" s="10"/>
      <c r="BB807" s="10"/>
      <c r="BC807" s="10"/>
      <c r="BD807" s="10"/>
      <c r="BE807" s="10"/>
      <c r="BF807" s="10"/>
      <c r="BG807" s="10"/>
      <c r="BH807" s="10"/>
      <c r="BI807" s="10"/>
      <c r="BJ807" s="10"/>
      <c r="BK807" s="10"/>
      <c r="BL807" s="10"/>
      <c r="BM807" s="10"/>
      <c r="BN807" s="10"/>
      <c r="BO807" s="10"/>
      <c r="BP807" s="10"/>
      <c r="BQ807" s="10"/>
      <c r="BR807" s="10"/>
      <c r="BS807" s="10"/>
      <c r="BT807" s="10"/>
    </row>
    <row r="808" spans="53:72" ht="18" x14ac:dyDescent="0.2">
      <c r="BA808" s="10"/>
      <c r="BB808" s="10"/>
      <c r="BC808" s="10"/>
      <c r="BD808" s="10"/>
      <c r="BE808" s="10"/>
      <c r="BF808" s="10"/>
      <c r="BG808" s="10"/>
      <c r="BH808" s="10"/>
      <c r="BI808" s="10"/>
      <c r="BJ808" s="10"/>
      <c r="BK808" s="10"/>
      <c r="BL808" s="10"/>
      <c r="BM808" s="10"/>
      <c r="BN808" s="10"/>
      <c r="BO808" s="10"/>
      <c r="BP808" s="10"/>
      <c r="BQ808" s="10"/>
      <c r="BR808" s="10"/>
      <c r="BS808" s="10"/>
      <c r="BT808" s="10"/>
    </row>
    <row r="809" spans="53:72" ht="18" x14ac:dyDescent="0.2">
      <c r="BA809" s="10"/>
      <c r="BB809" s="10"/>
      <c r="BC809" s="10"/>
      <c r="BD809" s="10"/>
      <c r="BE809" s="10"/>
      <c r="BF809" s="10"/>
      <c r="BG809" s="10"/>
      <c r="BH809" s="10"/>
      <c r="BI809" s="10"/>
      <c r="BJ809" s="10"/>
      <c r="BK809" s="10"/>
      <c r="BL809" s="10"/>
      <c r="BM809" s="10"/>
      <c r="BN809" s="10"/>
      <c r="BO809" s="10"/>
      <c r="BP809" s="10"/>
      <c r="BQ809" s="10"/>
      <c r="BR809" s="10"/>
      <c r="BS809" s="10"/>
      <c r="BT809" s="10"/>
    </row>
    <row r="810" spans="53:72" ht="18" x14ac:dyDescent="0.2">
      <c r="BA810" s="10"/>
      <c r="BB810" s="10"/>
      <c r="BC810" s="10"/>
      <c r="BD810" s="10"/>
      <c r="BE810" s="10"/>
      <c r="BF810" s="10"/>
      <c r="BG810" s="10"/>
      <c r="BH810" s="10"/>
      <c r="BI810" s="10"/>
      <c r="BJ810" s="10"/>
      <c r="BK810" s="10"/>
      <c r="BL810" s="10"/>
      <c r="BM810" s="10"/>
      <c r="BN810" s="10"/>
      <c r="BO810" s="10"/>
      <c r="BP810" s="10"/>
      <c r="BQ810" s="10"/>
      <c r="BR810" s="10"/>
      <c r="BS810" s="10"/>
      <c r="BT810" s="10"/>
    </row>
    <row r="811" spans="53:72" ht="18" x14ac:dyDescent="0.2">
      <c r="BA811" s="10"/>
      <c r="BB811" s="10"/>
      <c r="BC811" s="10"/>
      <c r="BD811" s="10"/>
      <c r="BE811" s="10"/>
      <c r="BF811" s="10"/>
      <c r="BG811" s="10"/>
      <c r="BH811" s="10"/>
      <c r="BI811" s="10"/>
      <c r="BJ811" s="10"/>
      <c r="BK811" s="10"/>
      <c r="BL811" s="10"/>
      <c r="BM811" s="10"/>
      <c r="BN811" s="10"/>
      <c r="BO811" s="10"/>
      <c r="BP811" s="10"/>
      <c r="BQ811" s="10"/>
      <c r="BR811" s="10"/>
      <c r="BS811" s="10"/>
      <c r="BT811" s="10"/>
    </row>
    <row r="812" spans="53:72" ht="18" x14ac:dyDescent="0.2">
      <c r="BA812" s="10"/>
      <c r="BB812" s="10"/>
      <c r="BC812" s="10"/>
      <c r="BD812" s="10"/>
      <c r="BE812" s="10"/>
      <c r="BF812" s="10"/>
      <c r="BG812" s="10"/>
      <c r="BH812" s="10"/>
      <c r="BI812" s="10"/>
      <c r="BJ812" s="10"/>
      <c r="BK812" s="10"/>
      <c r="BL812" s="10"/>
      <c r="BM812" s="10"/>
      <c r="BN812" s="10"/>
      <c r="BO812" s="10"/>
      <c r="BP812" s="10"/>
      <c r="BQ812" s="10"/>
      <c r="BR812" s="10"/>
      <c r="BS812" s="10"/>
      <c r="BT812" s="10"/>
    </row>
    <row r="813" spans="53:72" ht="18" x14ac:dyDescent="0.2">
      <c r="BA813" s="10"/>
      <c r="BB813" s="10"/>
      <c r="BC813" s="10"/>
      <c r="BD813" s="10"/>
      <c r="BE813" s="10"/>
      <c r="BF813" s="10"/>
      <c r="BG813" s="10"/>
      <c r="BH813" s="10"/>
      <c r="BI813" s="10"/>
      <c r="BJ813" s="10"/>
      <c r="BK813" s="10"/>
      <c r="BL813" s="10"/>
      <c r="BM813" s="10"/>
      <c r="BN813" s="10"/>
      <c r="BO813" s="10"/>
      <c r="BP813" s="10"/>
      <c r="BQ813" s="10"/>
      <c r="BR813" s="10"/>
      <c r="BS813" s="10"/>
      <c r="BT813" s="10"/>
    </row>
    <row r="814" spans="53:72" ht="18" x14ac:dyDescent="0.2">
      <c r="BA814" s="10"/>
      <c r="BB814" s="10"/>
      <c r="BC814" s="10"/>
      <c r="BD814" s="10"/>
      <c r="BE814" s="10"/>
      <c r="BF814" s="10"/>
      <c r="BG814" s="10"/>
      <c r="BH814" s="10"/>
      <c r="BI814" s="10"/>
      <c r="BJ814" s="10"/>
      <c r="BK814" s="10"/>
      <c r="BL814" s="10"/>
      <c r="BM814" s="10"/>
      <c r="BN814" s="10"/>
      <c r="BO814" s="10"/>
      <c r="BP814" s="10"/>
      <c r="BQ814" s="10"/>
      <c r="BR814" s="10"/>
      <c r="BS814" s="10"/>
      <c r="BT814" s="10"/>
    </row>
    <row r="815" spans="53:72" ht="18" x14ac:dyDescent="0.2">
      <c r="BA815" s="10"/>
      <c r="BB815" s="10"/>
      <c r="BC815" s="10"/>
      <c r="BD815" s="10"/>
      <c r="BE815" s="10"/>
      <c r="BF815" s="10"/>
      <c r="BG815" s="10"/>
      <c r="BH815" s="10"/>
      <c r="BI815" s="10"/>
      <c r="BJ815" s="10"/>
      <c r="BK815" s="10"/>
      <c r="BL815" s="10"/>
      <c r="BM815" s="10"/>
      <c r="BN815" s="10"/>
      <c r="BO815" s="10"/>
      <c r="BP815" s="10"/>
      <c r="BQ815" s="10"/>
      <c r="BR815" s="10"/>
      <c r="BS815" s="10"/>
      <c r="BT815" s="10"/>
    </row>
    <row r="816" spans="53:72" ht="18" x14ac:dyDescent="0.2">
      <c r="BA816" s="10"/>
      <c r="BB816" s="10"/>
      <c r="BC816" s="10"/>
      <c r="BD816" s="10"/>
      <c r="BE816" s="10"/>
      <c r="BF816" s="10"/>
      <c r="BG816" s="10"/>
      <c r="BH816" s="10"/>
      <c r="BI816" s="10"/>
      <c r="BJ816" s="10"/>
      <c r="BK816" s="10"/>
      <c r="BL816" s="10"/>
      <c r="BM816" s="10"/>
      <c r="BN816" s="10"/>
      <c r="BO816" s="10"/>
      <c r="BP816" s="10"/>
      <c r="BQ816" s="10"/>
      <c r="BR816" s="10"/>
      <c r="BS816" s="10"/>
      <c r="BT816" s="10"/>
    </row>
    <row r="817" spans="53:72" ht="18" x14ac:dyDescent="0.2">
      <c r="BA817" s="10"/>
      <c r="BB817" s="10"/>
      <c r="BC817" s="10"/>
      <c r="BD817" s="10"/>
      <c r="BE817" s="10"/>
      <c r="BF817" s="10"/>
      <c r="BG817" s="10"/>
      <c r="BH817" s="10"/>
      <c r="BI817" s="10"/>
      <c r="BJ817" s="10"/>
      <c r="BK817" s="10"/>
      <c r="BL817" s="10"/>
      <c r="BM817" s="10"/>
      <c r="BN817" s="10"/>
      <c r="BO817" s="10"/>
      <c r="BP817" s="10"/>
      <c r="BQ817" s="10"/>
      <c r="BR817" s="10"/>
      <c r="BS817" s="10"/>
      <c r="BT817" s="10"/>
    </row>
    <row r="818" spans="53:72" ht="18" x14ac:dyDescent="0.2">
      <c r="BA818" s="10"/>
      <c r="BB818" s="10"/>
      <c r="BC818" s="10"/>
      <c r="BD818" s="10"/>
      <c r="BE818" s="10"/>
      <c r="BF818" s="10"/>
      <c r="BG818" s="10"/>
      <c r="BH818" s="10"/>
      <c r="BI818" s="10"/>
      <c r="BJ818" s="10"/>
      <c r="BK818" s="10"/>
      <c r="BL818" s="10"/>
      <c r="BM818" s="10"/>
      <c r="BN818" s="10"/>
      <c r="BO818" s="10"/>
      <c r="BP818" s="10"/>
      <c r="BQ818" s="10"/>
      <c r="BR818" s="10"/>
      <c r="BS818" s="10"/>
      <c r="BT818" s="10"/>
    </row>
    <row r="819" spans="53:72" ht="18" x14ac:dyDescent="0.2">
      <c r="BA819" s="10"/>
      <c r="BB819" s="10"/>
      <c r="BC819" s="10"/>
      <c r="BD819" s="10"/>
      <c r="BE819" s="10"/>
      <c r="BF819" s="10"/>
      <c r="BG819" s="10"/>
      <c r="BH819" s="10"/>
      <c r="BI819" s="10"/>
      <c r="BJ819" s="10"/>
      <c r="BK819" s="10"/>
      <c r="BL819" s="10"/>
      <c r="BM819" s="10"/>
      <c r="BN819" s="10"/>
      <c r="BO819" s="10"/>
      <c r="BP819" s="10"/>
      <c r="BQ819" s="10"/>
      <c r="BR819" s="10"/>
      <c r="BS819" s="10"/>
      <c r="BT819" s="10"/>
    </row>
    <row r="820" spans="53:72" ht="18" x14ac:dyDescent="0.2">
      <c r="BA820" s="10"/>
      <c r="BB820" s="10"/>
      <c r="BC820" s="10"/>
      <c r="BD820" s="10"/>
      <c r="BE820" s="10"/>
      <c r="BF820" s="10"/>
      <c r="BG820" s="10"/>
      <c r="BH820" s="10"/>
      <c r="BI820" s="10"/>
      <c r="BJ820" s="10"/>
      <c r="BK820" s="10"/>
      <c r="BL820" s="10"/>
      <c r="BM820" s="10"/>
      <c r="BN820" s="10"/>
      <c r="BO820" s="10"/>
      <c r="BP820" s="10"/>
      <c r="BQ820" s="10"/>
      <c r="BR820" s="10"/>
      <c r="BS820" s="10"/>
      <c r="BT820" s="10"/>
    </row>
    <row r="821" spans="53:72" ht="18" x14ac:dyDescent="0.2">
      <c r="BA821" s="10"/>
      <c r="BB821" s="10"/>
      <c r="BC821" s="10"/>
      <c r="BD821" s="10"/>
      <c r="BE821" s="10"/>
      <c r="BF821" s="10"/>
      <c r="BG821" s="10"/>
      <c r="BH821" s="10"/>
      <c r="BI821" s="10"/>
      <c r="BJ821" s="10"/>
      <c r="BK821" s="10"/>
      <c r="BL821" s="10"/>
      <c r="BM821" s="10"/>
      <c r="BN821" s="10"/>
      <c r="BO821" s="10"/>
      <c r="BP821" s="10"/>
      <c r="BQ821" s="10"/>
      <c r="BR821" s="10"/>
      <c r="BS821" s="10"/>
      <c r="BT821" s="10"/>
    </row>
    <row r="822" spans="53:72" ht="18" x14ac:dyDescent="0.2">
      <c r="BA822" s="10"/>
      <c r="BB822" s="10"/>
      <c r="BC822" s="10"/>
      <c r="BD822" s="10"/>
      <c r="BE822" s="10"/>
      <c r="BF822" s="10"/>
      <c r="BG822" s="10"/>
      <c r="BH822" s="10"/>
      <c r="BI822" s="10"/>
      <c r="BJ822" s="10"/>
      <c r="BK822" s="10"/>
      <c r="BL822" s="10"/>
      <c r="BM822" s="10"/>
      <c r="BN822" s="10"/>
      <c r="BO822" s="10"/>
      <c r="BP822" s="10"/>
      <c r="BQ822" s="10"/>
      <c r="BR822" s="10"/>
      <c r="BS822" s="10"/>
      <c r="BT822" s="10"/>
    </row>
    <row r="823" spans="53:72" ht="18" x14ac:dyDescent="0.2">
      <c r="BA823" s="10"/>
      <c r="BB823" s="10"/>
      <c r="BC823" s="10"/>
      <c r="BD823" s="10"/>
      <c r="BE823" s="10"/>
      <c r="BF823" s="10"/>
      <c r="BG823" s="10"/>
      <c r="BH823" s="10"/>
      <c r="BI823" s="10"/>
      <c r="BJ823" s="10"/>
      <c r="BK823" s="10"/>
      <c r="BL823" s="10"/>
      <c r="BM823" s="10"/>
      <c r="BN823" s="10"/>
      <c r="BO823" s="10"/>
      <c r="BP823" s="10"/>
      <c r="BQ823" s="10"/>
      <c r="BR823" s="10"/>
      <c r="BS823" s="10"/>
      <c r="BT823" s="10"/>
    </row>
    <row r="824" spans="53:72" ht="18" x14ac:dyDescent="0.2">
      <c r="BA824" s="10"/>
      <c r="BB824" s="10"/>
      <c r="BC824" s="10"/>
      <c r="BD824" s="10"/>
      <c r="BE824" s="10"/>
      <c r="BF824" s="10"/>
      <c r="BG824" s="10"/>
      <c r="BH824" s="10"/>
      <c r="BI824" s="10"/>
      <c r="BJ824" s="10"/>
      <c r="BK824" s="10"/>
      <c r="BL824" s="10"/>
      <c r="BM824" s="10"/>
      <c r="BN824" s="10"/>
      <c r="BO824" s="10"/>
      <c r="BP824" s="10"/>
      <c r="BQ824" s="10"/>
      <c r="BR824" s="10"/>
      <c r="BS824" s="10"/>
      <c r="BT824" s="10"/>
    </row>
    <row r="825" spans="53:72" ht="18" x14ac:dyDescent="0.2">
      <c r="BA825" s="10"/>
      <c r="BB825" s="10"/>
      <c r="BC825" s="10"/>
      <c r="BD825" s="10"/>
      <c r="BE825" s="10"/>
      <c r="BF825" s="10"/>
      <c r="BG825" s="10"/>
      <c r="BH825" s="10"/>
      <c r="BI825" s="10"/>
      <c r="BJ825" s="10"/>
      <c r="BK825" s="10"/>
      <c r="BL825" s="10"/>
      <c r="BM825" s="10"/>
      <c r="BN825" s="10"/>
      <c r="BO825" s="10"/>
      <c r="BP825" s="10"/>
      <c r="BQ825" s="10"/>
      <c r="BR825" s="10"/>
      <c r="BS825" s="10"/>
      <c r="BT825" s="10"/>
    </row>
    <row r="826" spans="53:72" ht="18" x14ac:dyDescent="0.2">
      <c r="BA826" s="10"/>
      <c r="BB826" s="10"/>
      <c r="BC826" s="10"/>
      <c r="BD826" s="10"/>
      <c r="BE826" s="10"/>
      <c r="BF826" s="10"/>
      <c r="BG826" s="10"/>
      <c r="BH826" s="10"/>
      <c r="BI826" s="10"/>
      <c r="BJ826" s="10"/>
      <c r="BK826" s="10"/>
      <c r="BL826" s="10"/>
      <c r="BM826" s="10"/>
      <c r="BN826" s="10"/>
      <c r="BO826" s="10"/>
      <c r="BP826" s="10"/>
      <c r="BQ826" s="10"/>
      <c r="BR826" s="10"/>
      <c r="BS826" s="10"/>
      <c r="BT826" s="10"/>
    </row>
    <row r="827" spans="53:72" ht="18" x14ac:dyDescent="0.2">
      <c r="BA827" s="10"/>
      <c r="BB827" s="10"/>
      <c r="BC827" s="10"/>
      <c r="BD827" s="10"/>
      <c r="BE827" s="10"/>
      <c r="BF827" s="10"/>
      <c r="BG827" s="10"/>
      <c r="BH827" s="10"/>
      <c r="BI827" s="10"/>
      <c r="BJ827" s="10"/>
      <c r="BK827" s="10"/>
      <c r="BL827" s="10"/>
      <c r="BM827" s="10"/>
      <c r="BN827" s="10"/>
      <c r="BO827" s="10"/>
      <c r="BP827" s="10"/>
      <c r="BQ827" s="10"/>
      <c r="BR827" s="10"/>
      <c r="BS827" s="10"/>
      <c r="BT827" s="10"/>
    </row>
    <row r="828" spans="53:72" ht="18" x14ac:dyDescent="0.2">
      <c r="BA828" s="10"/>
      <c r="BB828" s="10"/>
      <c r="BC828" s="10"/>
      <c r="BD828" s="10"/>
      <c r="BE828" s="10"/>
      <c r="BF828" s="10"/>
      <c r="BG828" s="10"/>
      <c r="BH828" s="10"/>
      <c r="BI828" s="10"/>
      <c r="BJ828" s="10"/>
      <c r="BK828" s="10"/>
      <c r="BL828" s="10"/>
      <c r="BM828" s="10"/>
      <c r="BN828" s="10"/>
      <c r="BO828" s="10"/>
      <c r="BP828" s="10"/>
      <c r="BQ828" s="10"/>
      <c r="BR828" s="10"/>
      <c r="BS828" s="10"/>
      <c r="BT828" s="10"/>
    </row>
    <row r="829" spans="53:72" ht="18" x14ac:dyDescent="0.2">
      <c r="BA829" s="10"/>
      <c r="BB829" s="10"/>
      <c r="BC829" s="10"/>
      <c r="BD829" s="10"/>
      <c r="BE829" s="10"/>
      <c r="BF829" s="10"/>
      <c r="BG829" s="10"/>
      <c r="BH829" s="10"/>
      <c r="BI829" s="10"/>
      <c r="BJ829" s="10"/>
      <c r="BK829" s="10"/>
      <c r="BL829" s="10"/>
      <c r="BM829" s="10"/>
      <c r="BN829" s="10"/>
      <c r="BO829" s="10"/>
      <c r="BP829" s="10"/>
      <c r="BQ829" s="10"/>
      <c r="BR829" s="10"/>
      <c r="BS829" s="10"/>
      <c r="BT829" s="10"/>
    </row>
    <row r="830" spans="53:72" ht="18" x14ac:dyDescent="0.2">
      <c r="BA830" s="10"/>
      <c r="BB830" s="10"/>
      <c r="BC830" s="10"/>
      <c r="BD830" s="10"/>
      <c r="BE830" s="10"/>
      <c r="BF830" s="10"/>
      <c r="BG830" s="10"/>
      <c r="BH830" s="10"/>
      <c r="BI830" s="10"/>
      <c r="BJ830" s="10"/>
      <c r="BK830" s="10"/>
      <c r="BL830" s="10"/>
      <c r="BM830" s="10"/>
      <c r="BN830" s="10"/>
      <c r="BO830" s="10"/>
      <c r="BP830" s="10"/>
      <c r="BQ830" s="10"/>
      <c r="BR830" s="10"/>
      <c r="BS830" s="10"/>
      <c r="BT830" s="10"/>
    </row>
    <row r="831" spans="53:72" ht="18" x14ac:dyDescent="0.2">
      <c r="BA831" s="10"/>
      <c r="BB831" s="10"/>
      <c r="BC831" s="10"/>
      <c r="BD831" s="10"/>
      <c r="BE831" s="10"/>
      <c r="BF831" s="10"/>
      <c r="BG831" s="10"/>
      <c r="BH831" s="10"/>
      <c r="BI831" s="10"/>
      <c r="BJ831" s="10"/>
      <c r="BK831" s="10"/>
      <c r="BL831" s="10"/>
      <c r="BM831" s="10"/>
      <c r="BN831" s="10"/>
      <c r="BO831" s="10"/>
      <c r="BP831" s="10"/>
      <c r="BQ831" s="10"/>
      <c r="BR831" s="10"/>
      <c r="BS831" s="10"/>
      <c r="BT831" s="10"/>
    </row>
    <row r="832" spans="53:72" ht="18" x14ac:dyDescent="0.2">
      <c r="BA832" s="10"/>
      <c r="BB832" s="10"/>
      <c r="BC832" s="10"/>
      <c r="BD832" s="10"/>
      <c r="BE832" s="10"/>
      <c r="BF832" s="10"/>
      <c r="BG832" s="10"/>
      <c r="BH832" s="10"/>
      <c r="BI832" s="10"/>
      <c r="BJ832" s="10"/>
      <c r="BK832" s="10"/>
      <c r="BL832" s="10"/>
      <c r="BM832" s="10"/>
      <c r="BN832" s="10"/>
      <c r="BO832" s="10"/>
      <c r="BP832" s="10"/>
      <c r="BQ832" s="10"/>
      <c r="BR832" s="10"/>
      <c r="BS832" s="10"/>
      <c r="BT832" s="10"/>
    </row>
    <row r="833" spans="53:72" ht="18" x14ac:dyDescent="0.2">
      <c r="BA833" s="10"/>
      <c r="BB833" s="10"/>
      <c r="BC833" s="10"/>
      <c r="BD833" s="10"/>
      <c r="BE833" s="10"/>
      <c r="BF833" s="10"/>
      <c r="BG833" s="10"/>
      <c r="BH833" s="10"/>
      <c r="BI833" s="10"/>
      <c r="BJ833" s="10"/>
      <c r="BK833" s="10"/>
      <c r="BL833" s="10"/>
      <c r="BM833" s="10"/>
      <c r="BN833" s="10"/>
      <c r="BO833" s="10"/>
      <c r="BP833" s="10"/>
      <c r="BQ833" s="10"/>
      <c r="BR833" s="10"/>
      <c r="BS833" s="10"/>
      <c r="BT833" s="10"/>
    </row>
    <row r="834" spans="53:72" ht="18" x14ac:dyDescent="0.2">
      <c r="BA834" s="10"/>
      <c r="BB834" s="10"/>
      <c r="BC834" s="10"/>
      <c r="BD834" s="10"/>
      <c r="BE834" s="10"/>
      <c r="BF834" s="10"/>
      <c r="BG834" s="10"/>
      <c r="BH834" s="10"/>
      <c r="BI834" s="10"/>
      <c r="BJ834" s="10"/>
      <c r="BK834" s="10"/>
      <c r="BL834" s="10"/>
      <c r="BM834" s="10"/>
      <c r="BN834" s="10"/>
      <c r="BO834" s="10"/>
      <c r="BP834" s="10"/>
      <c r="BQ834" s="10"/>
      <c r="BR834" s="10"/>
      <c r="BS834" s="10"/>
      <c r="BT834" s="10"/>
    </row>
    <row r="835" spans="53:72" ht="18" x14ac:dyDescent="0.2">
      <c r="BA835" s="10"/>
      <c r="BB835" s="10"/>
      <c r="BC835" s="10"/>
      <c r="BD835" s="10"/>
      <c r="BE835" s="10"/>
      <c r="BF835" s="10"/>
      <c r="BG835" s="10"/>
      <c r="BH835" s="10"/>
      <c r="BI835" s="10"/>
      <c r="BJ835" s="10"/>
      <c r="BK835" s="10"/>
      <c r="BL835" s="10"/>
      <c r="BM835" s="10"/>
      <c r="BN835" s="10"/>
      <c r="BO835" s="10"/>
      <c r="BP835" s="10"/>
      <c r="BQ835" s="10"/>
      <c r="BR835" s="10"/>
      <c r="BS835" s="10"/>
      <c r="BT835" s="10"/>
    </row>
    <row r="836" spans="53:72" ht="18" x14ac:dyDescent="0.2">
      <c r="BA836" s="10"/>
      <c r="BB836" s="10"/>
      <c r="BC836" s="10"/>
      <c r="BD836" s="10"/>
      <c r="BE836" s="10"/>
      <c r="BF836" s="10"/>
      <c r="BG836" s="10"/>
      <c r="BH836" s="10"/>
      <c r="BI836" s="10"/>
      <c r="BJ836" s="10"/>
      <c r="BK836" s="10"/>
      <c r="BL836" s="10"/>
      <c r="BM836" s="10"/>
      <c r="BN836" s="10"/>
      <c r="BO836" s="10"/>
      <c r="BP836" s="10"/>
      <c r="BQ836" s="10"/>
      <c r="BR836" s="10"/>
      <c r="BS836" s="10"/>
      <c r="BT836" s="10"/>
    </row>
    <row r="837" spans="53:72" ht="18" x14ac:dyDescent="0.2">
      <c r="BA837" s="10"/>
      <c r="BB837" s="10"/>
      <c r="BC837" s="10"/>
      <c r="BD837" s="10"/>
      <c r="BE837" s="10"/>
      <c r="BF837" s="10"/>
      <c r="BG837" s="10"/>
      <c r="BH837" s="10"/>
      <c r="BI837" s="10"/>
      <c r="BJ837" s="10"/>
      <c r="BK837" s="10"/>
      <c r="BL837" s="10"/>
      <c r="BM837" s="10"/>
      <c r="BN837" s="10"/>
      <c r="BO837" s="10"/>
      <c r="BP837" s="10"/>
      <c r="BQ837" s="10"/>
      <c r="BR837" s="10"/>
      <c r="BS837" s="10"/>
      <c r="BT837" s="10"/>
    </row>
    <row r="838" spans="53:72" ht="18" x14ac:dyDescent="0.2">
      <c r="BA838" s="10"/>
      <c r="BB838" s="10"/>
      <c r="BC838" s="10"/>
      <c r="BD838" s="10"/>
      <c r="BE838" s="10"/>
      <c r="BF838" s="10"/>
      <c r="BG838" s="10"/>
      <c r="BH838" s="10"/>
      <c r="BI838" s="10"/>
      <c r="BJ838" s="10"/>
      <c r="BK838" s="10"/>
      <c r="BL838" s="10"/>
      <c r="BM838" s="10"/>
      <c r="BN838" s="10"/>
      <c r="BO838" s="10"/>
      <c r="BP838" s="10"/>
      <c r="BQ838" s="10"/>
      <c r="BR838" s="10"/>
      <c r="BS838" s="10"/>
      <c r="BT838" s="10"/>
    </row>
    <row r="839" spans="53:72" ht="18" x14ac:dyDescent="0.2">
      <c r="BA839" s="10"/>
      <c r="BB839" s="10"/>
      <c r="BC839" s="10"/>
      <c r="BD839" s="10"/>
      <c r="BE839" s="10"/>
      <c r="BF839" s="10"/>
      <c r="BG839" s="10"/>
      <c r="BH839" s="10"/>
      <c r="BI839" s="10"/>
      <c r="BJ839" s="10"/>
      <c r="BK839" s="10"/>
      <c r="BL839" s="10"/>
      <c r="BM839" s="10"/>
      <c r="BN839" s="10"/>
      <c r="BO839" s="10"/>
      <c r="BP839" s="10"/>
      <c r="BQ839" s="10"/>
      <c r="BR839" s="10"/>
      <c r="BS839" s="10"/>
      <c r="BT839" s="10"/>
    </row>
    <row r="840" spans="53:72" ht="18" x14ac:dyDescent="0.2">
      <c r="BA840" s="10"/>
      <c r="BB840" s="10"/>
      <c r="BC840" s="10"/>
      <c r="BD840" s="10"/>
      <c r="BE840" s="10"/>
      <c r="BF840" s="10"/>
      <c r="BG840" s="10"/>
      <c r="BH840" s="10"/>
      <c r="BI840" s="10"/>
      <c r="BJ840" s="10"/>
      <c r="BK840" s="10"/>
      <c r="BL840" s="10"/>
      <c r="BM840" s="10"/>
      <c r="BN840" s="10"/>
      <c r="BO840" s="10"/>
      <c r="BP840" s="10"/>
      <c r="BQ840" s="10"/>
      <c r="BR840" s="10"/>
      <c r="BS840" s="10"/>
      <c r="BT840" s="10"/>
    </row>
    <row r="841" spans="53:72" ht="18" x14ac:dyDescent="0.2">
      <c r="BA841" s="10"/>
      <c r="BB841" s="10"/>
      <c r="BC841" s="10"/>
      <c r="BD841" s="10"/>
      <c r="BE841" s="10"/>
      <c r="BF841" s="10"/>
      <c r="BG841" s="10"/>
      <c r="BH841" s="10"/>
      <c r="BI841" s="10"/>
      <c r="BJ841" s="10"/>
      <c r="BK841" s="10"/>
      <c r="BL841" s="10"/>
      <c r="BM841" s="10"/>
      <c r="BN841" s="10"/>
      <c r="BO841" s="10"/>
      <c r="BP841" s="10"/>
      <c r="BQ841" s="10"/>
      <c r="BR841" s="10"/>
      <c r="BS841" s="10"/>
      <c r="BT841" s="10"/>
    </row>
    <row r="842" spans="53:72" ht="18" x14ac:dyDescent="0.2">
      <c r="BA842" s="10"/>
      <c r="BB842" s="10"/>
      <c r="BC842" s="10"/>
      <c r="BD842" s="10"/>
      <c r="BE842" s="10"/>
      <c r="BF842" s="10"/>
      <c r="BG842" s="10"/>
      <c r="BH842" s="10"/>
      <c r="BI842" s="10"/>
      <c r="BJ842" s="10"/>
      <c r="BK842" s="10"/>
      <c r="BL842" s="10"/>
      <c r="BM842" s="10"/>
      <c r="BN842" s="10"/>
      <c r="BO842" s="10"/>
      <c r="BP842" s="10"/>
      <c r="BQ842" s="10"/>
      <c r="BR842" s="10"/>
      <c r="BS842" s="10"/>
      <c r="BT842" s="10"/>
    </row>
    <row r="843" spans="53:72" ht="18" x14ac:dyDescent="0.2">
      <c r="BA843" s="10"/>
      <c r="BB843" s="10"/>
      <c r="BC843" s="10"/>
      <c r="BD843" s="10"/>
      <c r="BE843" s="10"/>
      <c r="BF843" s="10"/>
      <c r="BG843" s="10"/>
      <c r="BH843" s="10"/>
      <c r="BI843" s="10"/>
      <c r="BJ843" s="10"/>
      <c r="BK843" s="10"/>
      <c r="BL843" s="10"/>
      <c r="BM843" s="10"/>
      <c r="BN843" s="10"/>
      <c r="BO843" s="10"/>
      <c r="BP843" s="10"/>
      <c r="BQ843" s="10"/>
      <c r="BR843" s="10"/>
      <c r="BS843" s="10"/>
      <c r="BT843" s="10"/>
    </row>
    <row r="844" spans="53:72" ht="18" x14ac:dyDescent="0.2">
      <c r="BA844" s="10"/>
      <c r="BB844" s="10"/>
      <c r="BC844" s="10"/>
      <c r="BD844" s="10"/>
      <c r="BE844" s="10"/>
      <c r="BF844" s="10"/>
      <c r="BG844" s="10"/>
      <c r="BH844" s="10"/>
      <c r="BI844" s="10"/>
      <c r="BJ844" s="10"/>
      <c r="BK844" s="10"/>
      <c r="BL844" s="10"/>
      <c r="BM844" s="10"/>
      <c r="BN844" s="10"/>
      <c r="BO844" s="10"/>
      <c r="BP844" s="10"/>
      <c r="BQ844" s="10"/>
      <c r="BR844" s="10"/>
      <c r="BS844" s="10"/>
      <c r="BT844" s="10"/>
    </row>
    <row r="845" spans="53:72" ht="18" x14ac:dyDescent="0.2">
      <c r="BA845" s="10"/>
      <c r="BB845" s="10"/>
      <c r="BC845" s="10"/>
      <c r="BD845" s="10"/>
      <c r="BE845" s="10"/>
      <c r="BF845" s="10"/>
      <c r="BG845" s="10"/>
      <c r="BH845" s="10"/>
      <c r="BI845" s="10"/>
      <c r="BJ845" s="10"/>
      <c r="BK845" s="10"/>
      <c r="BL845" s="10"/>
      <c r="BM845" s="10"/>
      <c r="BN845" s="10"/>
      <c r="BO845" s="10"/>
      <c r="BP845" s="10"/>
      <c r="BQ845" s="10"/>
      <c r="BR845" s="10"/>
      <c r="BS845" s="10"/>
      <c r="BT845" s="10"/>
    </row>
    <row r="846" spans="53:72" ht="18" x14ac:dyDescent="0.2">
      <c r="BA846" s="10"/>
      <c r="BB846" s="10"/>
      <c r="BC846" s="10"/>
      <c r="BD846" s="10"/>
      <c r="BE846" s="10"/>
      <c r="BF846" s="10"/>
      <c r="BG846" s="10"/>
      <c r="BH846" s="10"/>
      <c r="BI846" s="10"/>
      <c r="BJ846" s="10"/>
      <c r="BK846" s="10"/>
      <c r="BL846" s="10"/>
      <c r="BM846" s="10"/>
      <c r="BN846" s="10"/>
      <c r="BO846" s="10"/>
      <c r="BP846" s="10"/>
      <c r="BQ846" s="10"/>
      <c r="BR846" s="10"/>
      <c r="BS846" s="10"/>
      <c r="BT846" s="10"/>
    </row>
    <row r="847" spans="53:72" ht="18" x14ac:dyDescent="0.2">
      <c r="BA847" s="10"/>
      <c r="BB847" s="10"/>
      <c r="BC847" s="10"/>
      <c r="BD847" s="10"/>
      <c r="BE847" s="10"/>
      <c r="BF847" s="10"/>
      <c r="BG847" s="10"/>
      <c r="BH847" s="10"/>
      <c r="BI847" s="10"/>
      <c r="BJ847" s="10"/>
      <c r="BK847" s="10"/>
      <c r="BL847" s="10"/>
      <c r="BM847" s="10"/>
      <c r="BN847" s="10"/>
      <c r="BO847" s="10"/>
      <c r="BP847" s="10"/>
      <c r="BQ847" s="10"/>
      <c r="BR847" s="10"/>
      <c r="BS847" s="10"/>
      <c r="BT847" s="10"/>
    </row>
    <row r="848" spans="53:72" ht="18" x14ac:dyDescent="0.2">
      <c r="BA848" s="10"/>
      <c r="BB848" s="10"/>
      <c r="BC848" s="10"/>
      <c r="BD848" s="10"/>
      <c r="BE848" s="10"/>
      <c r="BF848" s="10"/>
      <c r="BG848" s="10"/>
      <c r="BH848" s="10"/>
      <c r="BI848" s="10"/>
      <c r="BJ848" s="10"/>
      <c r="BK848" s="10"/>
      <c r="BL848" s="10"/>
      <c r="BM848" s="10"/>
      <c r="BN848" s="10"/>
      <c r="BO848" s="10"/>
      <c r="BP848" s="10"/>
      <c r="BQ848" s="10"/>
      <c r="BR848" s="10"/>
      <c r="BS848" s="10"/>
      <c r="BT848" s="10"/>
    </row>
    <row r="849" spans="53:72" ht="18" x14ac:dyDescent="0.2">
      <c r="BA849" s="10"/>
      <c r="BB849" s="10"/>
      <c r="BC849" s="10"/>
      <c r="BD849" s="10"/>
      <c r="BE849" s="10"/>
      <c r="BF849" s="10"/>
      <c r="BG849" s="10"/>
      <c r="BH849" s="10"/>
      <c r="BI849" s="10"/>
      <c r="BJ849" s="10"/>
      <c r="BK849" s="10"/>
      <c r="BL849" s="10"/>
      <c r="BM849" s="10"/>
      <c r="BN849" s="10"/>
      <c r="BO849" s="10"/>
      <c r="BP849" s="10"/>
      <c r="BQ849" s="10"/>
      <c r="BR849" s="10"/>
      <c r="BS849" s="10"/>
      <c r="BT849" s="10"/>
    </row>
    <row r="850" spans="53:72" ht="18" x14ac:dyDescent="0.2">
      <c r="BA850" s="10"/>
      <c r="BB850" s="10"/>
      <c r="BC850" s="10"/>
      <c r="BD850" s="10"/>
      <c r="BE850" s="10"/>
      <c r="BF850" s="10"/>
      <c r="BG850" s="10"/>
      <c r="BH850" s="10"/>
      <c r="BI850" s="10"/>
      <c r="BJ850" s="10"/>
      <c r="BK850" s="10"/>
      <c r="BL850" s="10"/>
      <c r="BM850" s="10"/>
      <c r="BN850" s="10"/>
      <c r="BO850" s="10"/>
      <c r="BP850" s="10"/>
      <c r="BQ850" s="10"/>
      <c r="BR850" s="10"/>
      <c r="BS850" s="10"/>
      <c r="BT850" s="10"/>
    </row>
    <row r="851" spans="53:72" ht="18" x14ac:dyDescent="0.2">
      <c r="BA851" s="10"/>
      <c r="BB851" s="10"/>
      <c r="BC851" s="10"/>
      <c r="BD851" s="10"/>
      <c r="BE851" s="10"/>
      <c r="BF851" s="10"/>
      <c r="BG851" s="10"/>
      <c r="BH851" s="10"/>
      <c r="BI851" s="10"/>
      <c r="BJ851" s="10"/>
      <c r="BK851" s="10"/>
      <c r="BL851" s="10"/>
      <c r="BM851" s="10"/>
      <c r="BN851" s="10"/>
      <c r="BO851" s="10"/>
      <c r="BP851" s="10"/>
      <c r="BQ851" s="10"/>
      <c r="BR851" s="10"/>
      <c r="BS851" s="10"/>
      <c r="BT851" s="10"/>
    </row>
    <row r="852" spans="53:72" ht="18" x14ac:dyDescent="0.2">
      <c r="BA852" s="10"/>
      <c r="BB852" s="10"/>
      <c r="BC852" s="10"/>
      <c r="BD852" s="10"/>
      <c r="BE852" s="10"/>
      <c r="BF852" s="10"/>
      <c r="BG852" s="10"/>
      <c r="BH852" s="10"/>
      <c r="BI852" s="10"/>
      <c r="BJ852" s="10"/>
      <c r="BK852" s="10"/>
      <c r="BL852" s="10"/>
      <c r="BM852" s="10"/>
      <c r="BN852" s="10"/>
      <c r="BO852" s="10"/>
      <c r="BP852" s="10"/>
      <c r="BQ852" s="10"/>
      <c r="BR852" s="10"/>
      <c r="BS852" s="10"/>
      <c r="BT852" s="10"/>
    </row>
    <row r="853" spans="53:72" ht="18" x14ac:dyDescent="0.2">
      <c r="BA853" s="10"/>
      <c r="BB853" s="10"/>
      <c r="BC853" s="10"/>
      <c r="BD853" s="10"/>
      <c r="BE853" s="10"/>
      <c r="BF853" s="10"/>
      <c r="BG853" s="10"/>
      <c r="BH853" s="10"/>
      <c r="BI853" s="10"/>
      <c r="BJ853" s="10"/>
      <c r="BK853" s="10"/>
      <c r="BL853" s="10"/>
      <c r="BM853" s="10"/>
      <c r="BN853" s="10"/>
      <c r="BO853" s="10"/>
      <c r="BP853" s="10"/>
      <c r="BQ853" s="10"/>
      <c r="BR853" s="10"/>
      <c r="BS853" s="10"/>
      <c r="BT853" s="10"/>
    </row>
    <row r="854" spans="53:72" ht="18" x14ac:dyDescent="0.2">
      <c r="BA854" s="10"/>
      <c r="BB854" s="10"/>
      <c r="BC854" s="10"/>
      <c r="BD854" s="10"/>
      <c r="BE854" s="10"/>
      <c r="BF854" s="10"/>
      <c r="BG854" s="10"/>
      <c r="BH854" s="10"/>
      <c r="BI854" s="10"/>
      <c r="BJ854" s="10"/>
      <c r="BK854" s="10"/>
      <c r="BL854" s="10"/>
      <c r="BM854" s="10"/>
      <c r="BN854" s="10"/>
      <c r="BO854" s="10"/>
      <c r="BP854" s="10"/>
      <c r="BQ854" s="10"/>
      <c r="BR854" s="10"/>
      <c r="BS854" s="10"/>
      <c r="BT854" s="10"/>
    </row>
    <row r="855" spans="53:72" ht="18" x14ac:dyDescent="0.2">
      <c r="BA855" s="10"/>
      <c r="BB855" s="10"/>
      <c r="BC855" s="10"/>
      <c r="BD855" s="10"/>
      <c r="BE855" s="10"/>
      <c r="BF855" s="10"/>
      <c r="BG855" s="10"/>
      <c r="BH855" s="10"/>
      <c r="BI855" s="10"/>
      <c r="BJ855" s="10"/>
      <c r="BK855" s="10"/>
      <c r="BL855" s="10"/>
      <c r="BM855" s="10"/>
      <c r="BN855" s="10"/>
      <c r="BO855" s="10"/>
      <c r="BP855" s="10"/>
      <c r="BQ855" s="10"/>
      <c r="BR855" s="10"/>
      <c r="BS855" s="10"/>
      <c r="BT855" s="10"/>
    </row>
    <row r="856" spans="53:72" ht="18" x14ac:dyDescent="0.2">
      <c r="BA856" s="10"/>
      <c r="BB856" s="10"/>
      <c r="BC856" s="10"/>
      <c r="BD856" s="10"/>
      <c r="BE856" s="10"/>
      <c r="BF856" s="10"/>
      <c r="BG856" s="10"/>
      <c r="BH856" s="10"/>
      <c r="BI856" s="10"/>
      <c r="BJ856" s="10"/>
      <c r="BK856" s="10"/>
      <c r="BL856" s="10"/>
      <c r="BM856" s="10"/>
      <c r="BN856" s="10"/>
      <c r="BO856" s="10"/>
      <c r="BP856" s="10"/>
      <c r="BQ856" s="10"/>
      <c r="BR856" s="10"/>
      <c r="BS856" s="10"/>
      <c r="BT856" s="10"/>
    </row>
    <row r="857" spans="53:72" ht="18" x14ac:dyDescent="0.2">
      <c r="BA857" s="10"/>
      <c r="BB857" s="10"/>
      <c r="BC857" s="10"/>
      <c r="BD857" s="10"/>
      <c r="BE857" s="10"/>
      <c r="BF857" s="10"/>
      <c r="BG857" s="10"/>
      <c r="BH857" s="10"/>
      <c r="BI857" s="10"/>
      <c r="BJ857" s="10"/>
      <c r="BK857" s="10"/>
      <c r="BL857" s="10"/>
      <c r="BM857" s="10"/>
      <c r="BN857" s="10"/>
      <c r="BO857" s="10"/>
      <c r="BP857" s="10"/>
      <c r="BQ857" s="10"/>
      <c r="BR857" s="10"/>
      <c r="BS857" s="10"/>
      <c r="BT857" s="10"/>
    </row>
    <row r="858" spans="53:72" ht="18" x14ac:dyDescent="0.2">
      <c r="BA858" s="10"/>
      <c r="BB858" s="10"/>
      <c r="BC858" s="10"/>
      <c r="BD858" s="10"/>
      <c r="BE858" s="10"/>
      <c r="BF858" s="10"/>
      <c r="BG858" s="10"/>
      <c r="BH858" s="10"/>
      <c r="BI858" s="10"/>
      <c r="BJ858" s="10"/>
      <c r="BK858" s="10"/>
      <c r="BL858" s="10"/>
      <c r="BM858" s="10"/>
      <c r="BN858" s="10"/>
      <c r="BO858" s="10"/>
      <c r="BP858" s="10"/>
      <c r="BQ858" s="10"/>
      <c r="BR858" s="10"/>
      <c r="BS858" s="10"/>
      <c r="BT858" s="10"/>
    </row>
    <row r="859" spans="53:72" ht="18" x14ac:dyDescent="0.2">
      <c r="BA859" s="10"/>
      <c r="BB859" s="10"/>
      <c r="BC859" s="10"/>
      <c r="BD859" s="10"/>
      <c r="BE859" s="10"/>
      <c r="BF859" s="10"/>
      <c r="BG859" s="10"/>
      <c r="BH859" s="10"/>
      <c r="BI859" s="10"/>
      <c r="BJ859" s="10"/>
      <c r="BK859" s="10"/>
      <c r="BL859" s="10"/>
      <c r="BM859" s="10"/>
      <c r="BN859" s="10"/>
      <c r="BO859" s="10"/>
      <c r="BP859" s="10"/>
      <c r="BQ859" s="10"/>
      <c r="BR859" s="10"/>
      <c r="BS859" s="10"/>
      <c r="BT859" s="10"/>
    </row>
    <row r="860" spans="53:72" ht="18" x14ac:dyDescent="0.2">
      <c r="BA860" s="10"/>
      <c r="BB860" s="10"/>
      <c r="BC860" s="10"/>
      <c r="BD860" s="10"/>
      <c r="BE860" s="10"/>
      <c r="BF860" s="10"/>
      <c r="BG860" s="10"/>
      <c r="BH860" s="10"/>
      <c r="BI860" s="10"/>
      <c r="BJ860" s="10"/>
      <c r="BK860" s="10"/>
      <c r="BL860" s="10"/>
      <c r="BM860" s="10"/>
      <c r="BN860" s="10"/>
      <c r="BO860" s="10"/>
      <c r="BP860" s="10"/>
      <c r="BQ860" s="10"/>
      <c r="BR860" s="10"/>
      <c r="BS860" s="10"/>
      <c r="BT860" s="10"/>
    </row>
    <row r="861" spans="53:72" ht="18" x14ac:dyDescent="0.2">
      <c r="BA861" s="10"/>
      <c r="BB861" s="10"/>
      <c r="BC861" s="10"/>
      <c r="BD861" s="10"/>
      <c r="BE861" s="10"/>
      <c r="BF861" s="10"/>
      <c r="BG861" s="10"/>
      <c r="BH861" s="10"/>
      <c r="BI861" s="10"/>
      <c r="BJ861" s="10"/>
      <c r="BK861" s="10"/>
      <c r="BL861" s="10"/>
      <c r="BM861" s="10"/>
      <c r="BN861" s="10"/>
      <c r="BO861" s="10"/>
      <c r="BP861" s="10"/>
      <c r="BQ861" s="10"/>
      <c r="BR861" s="10"/>
      <c r="BS861" s="10"/>
      <c r="BT861" s="10"/>
    </row>
    <row r="862" spans="53:72" ht="18" x14ac:dyDescent="0.2">
      <c r="BA862" s="10"/>
      <c r="BB862" s="10"/>
      <c r="BC862" s="10"/>
      <c r="BD862" s="10"/>
      <c r="BE862" s="10"/>
      <c r="BF862" s="10"/>
      <c r="BG862" s="10"/>
      <c r="BH862" s="10"/>
      <c r="BI862" s="10"/>
      <c r="BJ862" s="10"/>
      <c r="BK862" s="10"/>
      <c r="BL862" s="10"/>
      <c r="BM862" s="10"/>
      <c r="BN862" s="10"/>
      <c r="BO862" s="10"/>
      <c r="BP862" s="10"/>
      <c r="BQ862" s="10"/>
      <c r="BR862" s="10"/>
      <c r="BS862" s="10"/>
      <c r="BT862" s="10"/>
    </row>
    <row r="863" spans="53:72" ht="18" x14ac:dyDescent="0.2">
      <c r="BA863" s="10"/>
      <c r="BB863" s="10"/>
      <c r="BC863" s="10"/>
      <c r="BD863" s="10"/>
      <c r="BE863" s="10"/>
      <c r="BF863" s="10"/>
      <c r="BG863" s="10"/>
      <c r="BH863" s="10"/>
      <c r="BI863" s="10"/>
      <c r="BJ863" s="10"/>
      <c r="BK863" s="10"/>
      <c r="BL863" s="10"/>
      <c r="BM863" s="10"/>
      <c r="BN863" s="10"/>
      <c r="BO863" s="10"/>
      <c r="BP863" s="10"/>
      <c r="BQ863" s="10"/>
      <c r="BR863" s="10"/>
      <c r="BS863" s="10"/>
      <c r="BT863" s="10"/>
    </row>
    <row r="864" spans="53:72" ht="18" x14ac:dyDescent="0.2">
      <c r="BA864" s="10"/>
      <c r="BB864" s="10"/>
      <c r="BC864" s="10"/>
      <c r="BD864" s="10"/>
      <c r="BE864" s="10"/>
      <c r="BF864" s="10"/>
      <c r="BG864" s="10"/>
      <c r="BH864" s="10"/>
      <c r="BI864" s="10"/>
      <c r="BJ864" s="10"/>
      <c r="BK864" s="10"/>
      <c r="BL864" s="10"/>
      <c r="BM864" s="10"/>
      <c r="BN864" s="10"/>
      <c r="BO864" s="10"/>
      <c r="BP864" s="10"/>
      <c r="BQ864" s="10"/>
      <c r="BR864" s="10"/>
      <c r="BS864" s="10"/>
      <c r="BT864" s="10"/>
    </row>
    <row r="865" spans="53:72" ht="18" x14ac:dyDescent="0.2">
      <c r="BA865" s="10"/>
      <c r="BB865" s="10"/>
      <c r="BC865" s="10"/>
      <c r="BD865" s="10"/>
      <c r="BE865" s="10"/>
      <c r="BF865" s="10"/>
      <c r="BG865" s="10"/>
      <c r="BH865" s="10"/>
      <c r="BI865" s="10"/>
      <c r="BJ865" s="10"/>
      <c r="BK865" s="10"/>
      <c r="BL865" s="10"/>
      <c r="BM865" s="10"/>
      <c r="BN865" s="10"/>
      <c r="BO865" s="10"/>
      <c r="BP865" s="10"/>
      <c r="BQ865" s="10"/>
      <c r="BR865" s="10"/>
      <c r="BS865" s="10"/>
      <c r="BT865" s="10"/>
    </row>
    <row r="866" spans="53:72" ht="18" x14ac:dyDescent="0.2">
      <c r="BA866" s="10"/>
      <c r="BB866" s="10"/>
      <c r="BC866" s="10"/>
      <c r="BD866" s="10"/>
      <c r="BE866" s="10"/>
      <c r="BF866" s="10"/>
      <c r="BG866" s="10"/>
      <c r="BH866" s="10"/>
      <c r="BI866" s="10"/>
      <c r="BJ866" s="10"/>
      <c r="BK866" s="10"/>
      <c r="BL866" s="10"/>
      <c r="BM866" s="10"/>
      <c r="BN866" s="10"/>
      <c r="BO866" s="10"/>
      <c r="BP866" s="10"/>
      <c r="BQ866" s="10"/>
      <c r="BR866" s="10"/>
      <c r="BS866" s="10"/>
      <c r="BT866" s="10"/>
    </row>
    <row r="867" spans="53:72" ht="18" x14ac:dyDescent="0.2">
      <c r="BA867" s="10"/>
      <c r="BB867" s="10"/>
      <c r="BC867" s="10"/>
      <c r="BD867" s="10"/>
      <c r="BE867" s="10"/>
      <c r="BF867" s="10"/>
      <c r="BG867" s="10"/>
      <c r="BH867" s="10"/>
      <c r="BI867" s="10"/>
      <c r="BJ867" s="10"/>
      <c r="BK867" s="10"/>
      <c r="BL867" s="10"/>
      <c r="BM867" s="10"/>
      <c r="BN867" s="10"/>
      <c r="BO867" s="10"/>
      <c r="BP867" s="10"/>
      <c r="BQ867" s="10"/>
      <c r="BR867" s="10"/>
      <c r="BS867" s="10"/>
      <c r="BT867" s="10"/>
    </row>
    <row r="868" spans="53:72" ht="18" x14ac:dyDescent="0.2">
      <c r="BA868" s="10"/>
      <c r="BB868" s="10"/>
      <c r="BC868" s="10"/>
      <c r="BD868" s="10"/>
      <c r="BE868" s="10"/>
      <c r="BF868" s="10"/>
      <c r="BG868" s="10"/>
      <c r="BH868" s="10"/>
      <c r="BI868" s="10"/>
      <c r="BJ868" s="10"/>
      <c r="BK868" s="10"/>
      <c r="BL868" s="10"/>
      <c r="BM868" s="10"/>
      <c r="BN868" s="10"/>
      <c r="BO868" s="10"/>
      <c r="BP868" s="10"/>
      <c r="BQ868" s="10"/>
      <c r="BR868" s="10"/>
      <c r="BS868" s="10"/>
      <c r="BT868" s="10"/>
    </row>
    <row r="869" spans="53:72" ht="18" x14ac:dyDescent="0.2">
      <c r="BA869" s="10"/>
      <c r="BB869" s="10"/>
      <c r="BC869" s="10"/>
      <c r="BD869" s="10"/>
      <c r="BE869" s="10"/>
      <c r="BF869" s="10"/>
      <c r="BG869" s="10"/>
      <c r="BH869" s="10"/>
      <c r="BI869" s="10"/>
      <c r="BJ869" s="10"/>
      <c r="BK869" s="10"/>
      <c r="BL869" s="10"/>
      <c r="BM869" s="10"/>
      <c r="BN869" s="10"/>
      <c r="BO869" s="10"/>
      <c r="BP869" s="10"/>
      <c r="BQ869" s="10"/>
      <c r="BR869" s="10"/>
      <c r="BS869" s="10"/>
      <c r="BT869" s="10"/>
    </row>
    <row r="870" spans="53:72" ht="18" x14ac:dyDescent="0.2">
      <c r="BA870" s="10"/>
      <c r="BB870" s="10"/>
      <c r="BC870" s="10"/>
      <c r="BD870" s="10"/>
      <c r="BE870" s="10"/>
      <c r="BF870" s="10"/>
      <c r="BG870" s="10"/>
      <c r="BH870" s="10"/>
      <c r="BI870" s="10"/>
      <c r="BJ870" s="10"/>
      <c r="BK870" s="10"/>
      <c r="BL870" s="10"/>
      <c r="BM870" s="10"/>
      <c r="BN870" s="10"/>
      <c r="BO870" s="10"/>
      <c r="BP870" s="10"/>
      <c r="BQ870" s="10"/>
      <c r="BR870" s="10"/>
      <c r="BS870" s="10"/>
      <c r="BT870" s="10"/>
    </row>
    <row r="871" spans="53:72" ht="18" x14ac:dyDescent="0.2">
      <c r="BA871" s="10"/>
      <c r="BB871" s="10"/>
      <c r="BC871" s="10"/>
      <c r="BD871" s="10"/>
      <c r="BE871" s="10"/>
      <c r="BF871" s="10"/>
      <c r="BG871" s="10"/>
      <c r="BH871" s="10"/>
      <c r="BI871" s="10"/>
      <c r="BJ871" s="10"/>
      <c r="BK871" s="10"/>
      <c r="BL871" s="10"/>
      <c r="BM871" s="10"/>
      <c r="BN871" s="10"/>
      <c r="BO871" s="10"/>
      <c r="BP871" s="10"/>
      <c r="BQ871" s="10"/>
      <c r="BR871" s="10"/>
      <c r="BS871" s="10"/>
      <c r="BT871" s="10"/>
    </row>
    <row r="872" spans="53:72" ht="18" x14ac:dyDescent="0.2">
      <c r="BA872" s="10"/>
      <c r="BB872" s="10"/>
      <c r="BC872" s="10"/>
      <c r="BD872" s="10"/>
      <c r="BE872" s="10"/>
      <c r="BF872" s="10"/>
      <c r="BG872" s="10"/>
      <c r="BH872" s="10"/>
      <c r="BI872" s="10"/>
      <c r="BJ872" s="10"/>
      <c r="BK872" s="10"/>
      <c r="BL872" s="10"/>
      <c r="BM872" s="10"/>
      <c r="BN872" s="10"/>
      <c r="BO872" s="10"/>
      <c r="BP872" s="10"/>
      <c r="BQ872" s="10"/>
      <c r="BR872" s="10"/>
      <c r="BS872" s="10"/>
      <c r="BT872" s="10"/>
    </row>
    <row r="873" spans="53:72" ht="18" x14ac:dyDescent="0.2">
      <c r="BA873" s="10"/>
      <c r="BB873" s="10"/>
      <c r="BC873" s="10"/>
      <c r="BD873" s="10"/>
      <c r="BE873" s="10"/>
      <c r="BF873" s="10"/>
      <c r="BG873" s="10"/>
      <c r="BH873" s="10"/>
      <c r="BI873" s="10"/>
      <c r="BJ873" s="10"/>
      <c r="BK873" s="10"/>
      <c r="BL873" s="10"/>
      <c r="BM873" s="10"/>
      <c r="BN873" s="10"/>
      <c r="BO873" s="10"/>
      <c r="BP873" s="10"/>
      <c r="BQ873" s="10"/>
      <c r="BR873" s="10"/>
      <c r="BS873" s="10"/>
      <c r="BT873" s="10"/>
    </row>
    <row r="874" spans="53:72" ht="18" x14ac:dyDescent="0.2">
      <c r="BA874" s="10"/>
      <c r="BB874" s="10"/>
      <c r="BC874" s="10"/>
      <c r="BD874" s="10"/>
      <c r="BE874" s="10"/>
      <c r="BF874" s="10"/>
      <c r="BG874" s="10"/>
      <c r="BH874" s="10"/>
      <c r="BI874" s="10"/>
      <c r="BJ874" s="10"/>
      <c r="BK874" s="10"/>
      <c r="BL874" s="10"/>
      <c r="BM874" s="10"/>
      <c r="BN874" s="10"/>
      <c r="BO874" s="10"/>
      <c r="BP874" s="10"/>
      <c r="BQ874" s="10"/>
      <c r="BR874" s="10"/>
      <c r="BS874" s="10"/>
      <c r="BT874" s="10"/>
    </row>
    <row r="875" spans="53:72" ht="18" x14ac:dyDescent="0.2">
      <c r="BA875" s="10"/>
      <c r="BB875" s="10"/>
      <c r="BC875" s="10"/>
      <c r="BD875" s="10"/>
      <c r="BE875" s="10"/>
      <c r="BF875" s="10"/>
      <c r="BG875" s="10"/>
      <c r="BH875" s="10"/>
      <c r="BI875" s="10"/>
      <c r="BJ875" s="10"/>
      <c r="BK875" s="10"/>
      <c r="BL875" s="10"/>
      <c r="BM875" s="10"/>
      <c r="BN875" s="10"/>
      <c r="BO875" s="10"/>
      <c r="BP875" s="10"/>
      <c r="BQ875" s="10"/>
      <c r="BR875" s="10"/>
      <c r="BS875" s="10"/>
      <c r="BT875" s="10"/>
    </row>
    <row r="876" spans="53:72" ht="18" x14ac:dyDescent="0.2">
      <c r="BA876" s="10"/>
      <c r="BB876" s="10"/>
      <c r="BC876" s="10"/>
      <c r="BD876" s="10"/>
      <c r="BE876" s="10"/>
      <c r="BF876" s="10"/>
      <c r="BG876" s="10"/>
      <c r="BH876" s="10"/>
      <c r="BI876" s="10"/>
      <c r="BJ876" s="10"/>
      <c r="BK876" s="10"/>
      <c r="BL876" s="10"/>
      <c r="BM876" s="10"/>
      <c r="BN876" s="10"/>
      <c r="BO876" s="10"/>
      <c r="BP876" s="10"/>
      <c r="BQ876" s="10"/>
      <c r="BR876" s="10"/>
      <c r="BS876" s="10"/>
      <c r="BT876" s="10"/>
    </row>
    <row r="877" spans="53:72" ht="18" x14ac:dyDescent="0.2">
      <c r="BA877" s="10"/>
      <c r="BB877" s="10"/>
      <c r="BC877" s="10"/>
      <c r="BD877" s="10"/>
      <c r="BE877" s="10"/>
      <c r="BF877" s="10"/>
      <c r="BG877" s="10"/>
      <c r="BH877" s="10"/>
      <c r="BI877" s="10"/>
      <c r="BJ877" s="10"/>
      <c r="BK877" s="10"/>
      <c r="BL877" s="10"/>
      <c r="BM877" s="10"/>
      <c r="BN877" s="10"/>
      <c r="BO877" s="10"/>
      <c r="BP877" s="10"/>
      <c r="BQ877" s="10"/>
      <c r="BR877" s="10"/>
      <c r="BS877" s="10"/>
      <c r="BT877" s="10"/>
    </row>
    <row r="878" spans="53:72" ht="18" x14ac:dyDescent="0.2">
      <c r="BA878" s="10"/>
      <c r="BB878" s="10"/>
      <c r="BC878" s="10"/>
      <c r="BD878" s="10"/>
      <c r="BE878" s="10"/>
      <c r="BF878" s="10"/>
      <c r="BG878" s="10"/>
      <c r="BH878" s="10"/>
      <c r="BI878" s="10"/>
      <c r="BJ878" s="10"/>
      <c r="BK878" s="10"/>
      <c r="BL878" s="10"/>
      <c r="BM878" s="10"/>
      <c r="BN878" s="10"/>
      <c r="BO878" s="10"/>
      <c r="BP878" s="10"/>
      <c r="BQ878" s="10"/>
      <c r="BR878" s="10"/>
      <c r="BS878" s="10"/>
      <c r="BT878" s="10"/>
    </row>
    <row r="879" spans="53:72" ht="18" x14ac:dyDescent="0.2">
      <c r="BA879" s="10"/>
      <c r="BB879" s="10"/>
      <c r="BC879" s="10"/>
      <c r="BD879" s="10"/>
      <c r="BE879" s="10"/>
      <c r="BF879" s="10"/>
      <c r="BG879" s="10"/>
      <c r="BH879" s="10"/>
      <c r="BI879" s="10"/>
      <c r="BJ879" s="10"/>
      <c r="BK879" s="10"/>
      <c r="BL879" s="10"/>
      <c r="BM879" s="10"/>
      <c r="BN879" s="10"/>
      <c r="BO879" s="10"/>
      <c r="BP879" s="10"/>
      <c r="BQ879" s="10"/>
      <c r="BR879" s="10"/>
      <c r="BS879" s="10"/>
      <c r="BT879" s="10"/>
    </row>
    <row r="880" spans="53:72" ht="18" x14ac:dyDescent="0.2">
      <c r="BA880" s="10"/>
      <c r="BB880" s="10"/>
      <c r="BC880" s="10"/>
      <c r="BD880" s="10"/>
      <c r="BE880" s="10"/>
      <c r="BF880" s="10"/>
      <c r="BG880" s="10"/>
      <c r="BH880" s="10"/>
      <c r="BI880" s="10"/>
      <c r="BJ880" s="10"/>
      <c r="BK880" s="10"/>
      <c r="BL880" s="10"/>
      <c r="BM880" s="10"/>
      <c r="BN880" s="10"/>
      <c r="BO880" s="10"/>
      <c r="BP880" s="10"/>
      <c r="BQ880" s="10"/>
      <c r="BR880" s="10"/>
      <c r="BS880" s="10"/>
      <c r="BT880" s="10"/>
    </row>
    <row r="881" spans="53:72" ht="18" x14ac:dyDescent="0.2">
      <c r="BA881" s="10"/>
      <c r="BB881" s="10"/>
      <c r="BC881" s="10"/>
      <c r="BD881" s="10"/>
      <c r="BE881" s="10"/>
      <c r="BF881" s="10"/>
      <c r="BG881" s="10"/>
      <c r="BH881" s="10"/>
      <c r="BI881" s="10"/>
      <c r="BJ881" s="10"/>
      <c r="BK881" s="10"/>
      <c r="BL881" s="10"/>
      <c r="BM881" s="10"/>
      <c r="BN881" s="10"/>
      <c r="BO881" s="10"/>
      <c r="BP881" s="10"/>
      <c r="BQ881" s="10"/>
      <c r="BR881" s="10"/>
      <c r="BS881" s="10"/>
      <c r="BT881" s="10"/>
    </row>
    <row r="882" spans="53:72" ht="18" x14ac:dyDescent="0.2">
      <c r="BA882" s="10"/>
      <c r="BB882" s="10"/>
      <c r="BC882" s="10"/>
      <c r="BD882" s="10"/>
      <c r="BE882" s="10"/>
      <c r="BF882" s="10"/>
      <c r="BG882" s="10"/>
      <c r="BH882" s="10"/>
      <c r="BI882" s="10"/>
      <c r="BJ882" s="10"/>
      <c r="BK882" s="10"/>
      <c r="BL882" s="10"/>
      <c r="BM882" s="10"/>
      <c r="BN882" s="10"/>
      <c r="BO882" s="10"/>
      <c r="BP882" s="10"/>
      <c r="BQ882" s="10"/>
      <c r="BR882" s="10"/>
      <c r="BS882" s="10"/>
      <c r="BT882" s="10"/>
    </row>
    <row r="883" spans="53:72" ht="18" x14ac:dyDescent="0.2">
      <c r="BA883" s="10"/>
      <c r="BB883" s="10"/>
      <c r="BC883" s="10"/>
      <c r="BD883" s="10"/>
      <c r="BE883" s="10"/>
      <c r="BF883" s="10"/>
      <c r="BG883" s="10"/>
      <c r="BH883" s="10"/>
      <c r="BI883" s="10"/>
      <c r="BJ883" s="10"/>
      <c r="BK883" s="10"/>
      <c r="BL883" s="10"/>
      <c r="BM883" s="10"/>
      <c r="BN883" s="10"/>
      <c r="BO883" s="10"/>
      <c r="BP883" s="10"/>
      <c r="BQ883" s="10"/>
      <c r="BR883" s="10"/>
      <c r="BS883" s="10"/>
      <c r="BT883" s="10"/>
    </row>
    <row r="884" spans="53:72" ht="18" x14ac:dyDescent="0.2">
      <c r="BA884" s="10"/>
      <c r="BB884" s="10"/>
      <c r="BC884" s="10"/>
      <c r="BD884" s="10"/>
      <c r="BE884" s="10"/>
      <c r="BF884" s="10"/>
      <c r="BG884" s="10"/>
      <c r="BH884" s="10"/>
      <c r="BI884" s="10"/>
      <c r="BJ884" s="10"/>
      <c r="BK884" s="10"/>
      <c r="BL884" s="10"/>
      <c r="BM884" s="10"/>
      <c r="BN884" s="10"/>
      <c r="BO884" s="10"/>
      <c r="BP884" s="10"/>
      <c r="BQ884" s="10"/>
      <c r="BR884" s="10"/>
      <c r="BS884" s="10"/>
      <c r="BT884" s="10"/>
    </row>
    <row r="885" spans="53:72" ht="18" x14ac:dyDescent="0.2">
      <c r="BA885" s="10"/>
      <c r="BB885" s="10"/>
      <c r="BC885" s="10"/>
      <c r="BD885" s="10"/>
      <c r="BE885" s="10"/>
      <c r="BF885" s="10"/>
      <c r="BG885" s="10"/>
      <c r="BH885" s="10"/>
      <c r="BI885" s="10"/>
      <c r="BJ885" s="10"/>
      <c r="BK885" s="10"/>
      <c r="BL885" s="10"/>
      <c r="BM885" s="10"/>
      <c r="BN885" s="10"/>
      <c r="BO885" s="10"/>
      <c r="BP885" s="10"/>
      <c r="BQ885" s="10"/>
      <c r="BR885" s="10"/>
      <c r="BS885" s="10"/>
      <c r="BT885" s="10"/>
    </row>
    <row r="886" spans="53:72" ht="18" x14ac:dyDescent="0.2">
      <c r="BA886" s="10"/>
      <c r="BB886" s="10"/>
      <c r="BC886" s="10"/>
      <c r="BD886" s="10"/>
      <c r="BE886" s="10"/>
      <c r="BF886" s="10"/>
      <c r="BG886" s="10"/>
      <c r="BH886" s="10"/>
      <c r="BI886" s="10"/>
      <c r="BJ886" s="10"/>
      <c r="BK886" s="10"/>
      <c r="BL886" s="10"/>
      <c r="BM886" s="10"/>
      <c r="BN886" s="10"/>
      <c r="BO886" s="10"/>
      <c r="BP886" s="10"/>
      <c r="BQ886" s="10"/>
      <c r="BR886" s="10"/>
      <c r="BS886" s="10"/>
      <c r="BT886" s="10"/>
    </row>
    <row r="887" spans="53:72" ht="18" x14ac:dyDescent="0.2">
      <c r="BA887" s="10"/>
      <c r="BB887" s="10"/>
      <c r="BC887" s="10"/>
      <c r="BD887" s="10"/>
      <c r="BE887" s="10"/>
      <c r="BF887" s="10"/>
      <c r="BG887" s="10"/>
      <c r="BH887" s="10"/>
      <c r="BI887" s="10"/>
      <c r="BJ887" s="10"/>
      <c r="BK887" s="10"/>
      <c r="BL887" s="10"/>
      <c r="BM887" s="10"/>
      <c r="BN887" s="10"/>
      <c r="BO887" s="10"/>
      <c r="BP887" s="10"/>
      <c r="BQ887" s="10"/>
      <c r="BR887" s="10"/>
      <c r="BS887" s="10"/>
      <c r="BT887" s="10"/>
    </row>
    <row r="888" spans="53:72" ht="18" x14ac:dyDescent="0.2">
      <c r="BA888" s="10"/>
      <c r="BB888" s="10"/>
      <c r="BC888" s="10"/>
      <c r="BD888" s="10"/>
      <c r="BE888" s="10"/>
      <c r="BF888" s="10"/>
      <c r="BG888" s="10"/>
      <c r="BH888" s="10"/>
      <c r="BI888" s="10"/>
      <c r="BJ888" s="10"/>
      <c r="BK888" s="10"/>
      <c r="BL888" s="10"/>
      <c r="BM888" s="10"/>
      <c r="BN888" s="10"/>
      <c r="BO888" s="10"/>
      <c r="BP888" s="10"/>
      <c r="BQ888" s="10"/>
      <c r="BR888" s="10"/>
      <c r="BS888" s="10"/>
      <c r="BT888" s="10"/>
    </row>
    <row r="889" spans="53:72" ht="18" x14ac:dyDescent="0.2">
      <c r="BA889" s="10"/>
      <c r="BB889" s="10"/>
      <c r="BC889" s="10"/>
      <c r="BD889" s="10"/>
      <c r="BE889" s="10"/>
      <c r="BF889" s="10"/>
      <c r="BG889" s="10"/>
      <c r="BH889" s="10"/>
      <c r="BI889" s="10"/>
      <c r="BJ889" s="10"/>
      <c r="BK889" s="10"/>
      <c r="BL889" s="10"/>
      <c r="BM889" s="10"/>
      <c r="BN889" s="10"/>
      <c r="BO889" s="10"/>
      <c r="BP889" s="10"/>
      <c r="BQ889" s="10"/>
      <c r="BR889" s="10"/>
      <c r="BS889" s="10"/>
      <c r="BT889" s="10"/>
    </row>
    <row r="890" spans="53:72" ht="18" x14ac:dyDescent="0.2">
      <c r="BA890" s="10"/>
      <c r="BB890" s="10"/>
      <c r="BC890" s="10"/>
      <c r="BD890" s="10"/>
      <c r="BE890" s="10"/>
      <c r="BF890" s="10"/>
      <c r="BG890" s="10"/>
      <c r="BH890" s="10"/>
      <c r="BI890" s="10"/>
      <c r="BJ890" s="10"/>
      <c r="BK890" s="10"/>
      <c r="BL890" s="10"/>
      <c r="BM890" s="10"/>
      <c r="BN890" s="10"/>
      <c r="BO890" s="10"/>
      <c r="BP890" s="10"/>
      <c r="BQ890" s="10"/>
      <c r="BR890" s="10"/>
      <c r="BS890" s="10"/>
      <c r="BT890" s="10"/>
    </row>
    <row r="891" spans="53:72" ht="18" x14ac:dyDescent="0.2">
      <c r="BA891" s="10"/>
      <c r="BB891" s="10"/>
      <c r="BC891" s="10"/>
      <c r="BD891" s="10"/>
      <c r="BE891" s="10"/>
      <c r="BF891" s="10"/>
      <c r="BG891" s="10"/>
      <c r="BH891" s="10"/>
      <c r="BI891" s="10"/>
      <c r="BJ891" s="10"/>
      <c r="BK891" s="10"/>
      <c r="BL891" s="10"/>
      <c r="BM891" s="10"/>
      <c r="BN891" s="10"/>
      <c r="BO891" s="10"/>
      <c r="BP891" s="10"/>
      <c r="BQ891" s="10"/>
      <c r="BR891" s="10"/>
      <c r="BS891" s="10"/>
      <c r="BT891" s="10"/>
    </row>
    <row r="892" spans="53:72" ht="18" x14ac:dyDescent="0.2">
      <c r="BA892" s="10"/>
      <c r="BB892" s="10"/>
      <c r="BC892" s="10"/>
      <c r="BD892" s="10"/>
      <c r="BE892" s="10"/>
      <c r="BF892" s="10"/>
      <c r="BG892" s="10"/>
      <c r="BH892" s="10"/>
      <c r="BI892" s="10"/>
      <c r="BJ892" s="10"/>
      <c r="BK892" s="10"/>
      <c r="BL892" s="10"/>
      <c r="BM892" s="10"/>
      <c r="BN892" s="10"/>
      <c r="BO892" s="10"/>
      <c r="BP892" s="10"/>
      <c r="BQ892" s="10"/>
      <c r="BR892" s="10"/>
      <c r="BS892" s="10"/>
      <c r="BT892" s="10"/>
    </row>
    <row r="893" spans="53:72" ht="18" x14ac:dyDescent="0.2">
      <c r="BA893" s="10"/>
      <c r="BB893" s="10"/>
      <c r="BC893" s="10"/>
      <c r="BD893" s="10"/>
      <c r="BE893" s="10"/>
      <c r="BF893" s="10"/>
      <c r="BG893" s="10"/>
      <c r="BH893" s="10"/>
      <c r="BI893" s="10"/>
      <c r="BJ893" s="10"/>
      <c r="BK893" s="10"/>
      <c r="BL893" s="10"/>
      <c r="BM893" s="10"/>
      <c r="BN893" s="10"/>
      <c r="BO893" s="10"/>
      <c r="BP893" s="10"/>
      <c r="BQ893" s="10"/>
      <c r="BR893" s="10"/>
      <c r="BS893" s="10"/>
      <c r="BT893" s="10"/>
    </row>
    <row r="894" spans="53:72" ht="18" x14ac:dyDescent="0.2">
      <c r="BA894" s="10"/>
      <c r="BB894" s="10"/>
      <c r="BC894" s="10"/>
      <c r="BD894" s="10"/>
      <c r="BE894" s="10"/>
      <c r="BF894" s="10"/>
      <c r="BG894" s="10"/>
      <c r="BH894" s="10"/>
      <c r="BI894" s="10"/>
      <c r="BJ894" s="10"/>
      <c r="BK894" s="10"/>
      <c r="BL894" s="10"/>
      <c r="BM894" s="10"/>
      <c r="BN894" s="10"/>
      <c r="BO894" s="10"/>
      <c r="BP894" s="10"/>
      <c r="BQ894" s="10"/>
      <c r="BR894" s="10"/>
      <c r="BS894" s="10"/>
      <c r="BT894" s="10"/>
    </row>
    <row r="895" spans="53:72" ht="18" x14ac:dyDescent="0.2">
      <c r="BA895" s="10"/>
      <c r="BB895" s="10"/>
      <c r="BC895" s="10"/>
      <c r="BD895" s="10"/>
      <c r="BE895" s="10"/>
      <c r="BF895" s="10"/>
      <c r="BG895" s="10"/>
      <c r="BH895" s="10"/>
      <c r="BI895" s="10"/>
      <c r="BJ895" s="10"/>
      <c r="BK895" s="10"/>
      <c r="BL895" s="10"/>
      <c r="BM895" s="10"/>
      <c r="BN895" s="10"/>
      <c r="BO895" s="10"/>
      <c r="BP895" s="10"/>
      <c r="BQ895" s="10"/>
      <c r="BR895" s="10"/>
      <c r="BS895" s="10"/>
      <c r="BT895" s="10"/>
    </row>
    <row r="896" spans="53:72" ht="18" x14ac:dyDescent="0.2">
      <c r="BA896" s="10"/>
      <c r="BB896" s="10"/>
      <c r="BC896" s="10"/>
      <c r="BD896" s="10"/>
      <c r="BE896" s="10"/>
      <c r="BF896" s="10"/>
      <c r="BG896" s="10"/>
      <c r="BH896" s="10"/>
      <c r="BI896" s="10"/>
      <c r="BJ896" s="10"/>
      <c r="BK896" s="10"/>
      <c r="BL896" s="10"/>
      <c r="BM896" s="10"/>
      <c r="BN896" s="10"/>
      <c r="BO896" s="10"/>
      <c r="BP896" s="10"/>
      <c r="BQ896" s="10"/>
      <c r="BR896" s="10"/>
      <c r="BS896" s="10"/>
      <c r="BT896" s="10"/>
    </row>
    <row r="897" spans="53:72" ht="18" x14ac:dyDescent="0.2">
      <c r="BA897" s="10"/>
      <c r="BB897" s="10"/>
      <c r="BC897" s="10"/>
      <c r="BD897" s="10"/>
      <c r="BE897" s="10"/>
      <c r="BF897" s="10"/>
      <c r="BG897" s="10"/>
      <c r="BH897" s="10"/>
      <c r="BI897" s="10"/>
      <c r="BJ897" s="10"/>
      <c r="BK897" s="10"/>
      <c r="BL897" s="10"/>
      <c r="BM897" s="10"/>
      <c r="BN897" s="10"/>
      <c r="BO897" s="10"/>
      <c r="BP897" s="10"/>
      <c r="BQ897" s="10"/>
      <c r="BR897" s="10"/>
      <c r="BS897" s="10"/>
      <c r="BT897" s="10"/>
    </row>
    <row r="898" spans="53:72" ht="18" x14ac:dyDescent="0.2">
      <c r="BA898" s="10"/>
      <c r="BB898" s="10"/>
      <c r="BC898" s="10"/>
      <c r="BD898" s="10"/>
      <c r="BE898" s="10"/>
      <c r="BF898" s="10"/>
      <c r="BG898" s="10"/>
      <c r="BH898" s="10"/>
      <c r="BI898" s="10"/>
      <c r="BJ898" s="10"/>
      <c r="BK898" s="10"/>
      <c r="BL898" s="10"/>
      <c r="BM898" s="10"/>
      <c r="BN898" s="10"/>
      <c r="BO898" s="10"/>
      <c r="BP898" s="10"/>
      <c r="BQ898" s="10"/>
      <c r="BR898" s="10"/>
      <c r="BS898" s="10"/>
      <c r="BT898" s="10"/>
    </row>
    <row r="899" spans="53:72" ht="18" x14ac:dyDescent="0.2">
      <c r="BA899" s="10"/>
      <c r="BB899" s="10"/>
      <c r="BC899" s="10"/>
      <c r="BD899" s="10"/>
      <c r="BE899" s="10"/>
      <c r="BF899" s="10"/>
      <c r="BG899" s="10"/>
      <c r="BH899" s="10"/>
      <c r="BI899" s="10"/>
      <c r="BJ899" s="10"/>
      <c r="BK899" s="10"/>
      <c r="BL899" s="10"/>
      <c r="BM899" s="10"/>
      <c r="BN899" s="10"/>
      <c r="BO899" s="10"/>
      <c r="BP899" s="10"/>
      <c r="BQ899" s="10"/>
      <c r="BR899" s="10"/>
      <c r="BS899" s="10"/>
      <c r="BT899" s="10"/>
    </row>
    <row r="900" spans="53:72" ht="18" x14ac:dyDescent="0.2">
      <c r="BA900" s="10"/>
      <c r="BB900" s="10"/>
      <c r="BC900" s="10"/>
      <c r="BD900" s="10"/>
      <c r="BE900" s="10"/>
      <c r="BF900" s="10"/>
      <c r="BG900" s="10"/>
      <c r="BH900" s="10"/>
      <c r="BI900" s="10"/>
      <c r="BJ900" s="10"/>
      <c r="BK900" s="10"/>
      <c r="BL900" s="10"/>
      <c r="BM900" s="10"/>
      <c r="BN900" s="10"/>
      <c r="BO900" s="10"/>
      <c r="BP900" s="10"/>
      <c r="BQ900" s="10"/>
      <c r="BR900" s="10"/>
      <c r="BS900" s="10"/>
      <c r="BT900" s="10"/>
    </row>
    <row r="901" spans="53:72" ht="18" x14ac:dyDescent="0.2">
      <c r="BA901" s="10"/>
      <c r="BB901" s="10"/>
      <c r="BC901" s="10"/>
      <c r="BD901" s="10"/>
      <c r="BE901" s="10"/>
      <c r="BF901" s="10"/>
      <c r="BG901" s="10"/>
      <c r="BH901" s="10"/>
      <c r="BI901" s="10"/>
      <c r="BJ901" s="10"/>
      <c r="BK901" s="10"/>
      <c r="BL901" s="10"/>
      <c r="BM901" s="10"/>
      <c r="BN901" s="10"/>
      <c r="BO901" s="10"/>
      <c r="BP901" s="10"/>
      <c r="BQ901" s="10"/>
      <c r="BR901" s="10"/>
      <c r="BS901" s="10"/>
      <c r="BT901" s="10"/>
    </row>
    <row r="902" spans="53:72" ht="18" x14ac:dyDescent="0.2">
      <c r="BA902" s="10"/>
      <c r="BB902" s="10"/>
      <c r="BC902" s="10"/>
      <c r="BD902" s="10"/>
      <c r="BE902" s="10"/>
      <c r="BF902" s="10"/>
      <c r="BG902" s="10"/>
      <c r="BH902" s="10"/>
      <c r="BI902" s="10"/>
      <c r="BJ902" s="10"/>
      <c r="BK902" s="10"/>
      <c r="BL902" s="10"/>
      <c r="BM902" s="10"/>
      <c r="BN902" s="10"/>
      <c r="BO902" s="10"/>
      <c r="BP902" s="10"/>
      <c r="BQ902" s="10"/>
      <c r="BR902" s="10"/>
      <c r="BS902" s="10"/>
      <c r="BT902" s="10"/>
    </row>
    <row r="903" spans="53:72" ht="18" x14ac:dyDescent="0.2">
      <c r="BA903" s="10"/>
      <c r="BB903" s="10"/>
      <c r="BC903" s="10"/>
      <c r="BD903" s="10"/>
      <c r="BE903" s="10"/>
      <c r="BF903" s="10"/>
      <c r="BG903" s="10"/>
      <c r="BH903" s="10"/>
      <c r="BI903" s="10"/>
      <c r="BJ903" s="10"/>
      <c r="BK903" s="10"/>
      <c r="BL903" s="10"/>
      <c r="BM903" s="10"/>
      <c r="BN903" s="10"/>
      <c r="BO903" s="10"/>
      <c r="BP903" s="10"/>
      <c r="BQ903" s="10"/>
      <c r="BR903" s="10"/>
      <c r="BS903" s="10"/>
      <c r="BT903" s="10"/>
    </row>
    <row r="904" spans="53:72" ht="18" x14ac:dyDescent="0.2">
      <c r="BA904" s="10"/>
      <c r="BB904" s="10"/>
      <c r="BC904" s="10"/>
      <c r="BD904" s="10"/>
      <c r="BE904" s="10"/>
      <c r="BF904" s="10"/>
      <c r="BG904" s="10"/>
      <c r="BH904" s="10"/>
      <c r="BI904" s="10"/>
      <c r="BJ904" s="10"/>
      <c r="BK904" s="10"/>
      <c r="BL904" s="10"/>
      <c r="BM904" s="10"/>
      <c r="BN904" s="10"/>
      <c r="BO904" s="10"/>
      <c r="BP904" s="10"/>
      <c r="BQ904" s="10"/>
      <c r="BR904" s="10"/>
      <c r="BS904" s="10"/>
      <c r="BT904" s="10"/>
    </row>
    <row r="905" spans="53:72" ht="18" x14ac:dyDescent="0.2">
      <c r="BA905" s="10"/>
      <c r="BB905" s="10"/>
      <c r="BC905" s="10"/>
      <c r="BD905" s="10"/>
      <c r="BE905" s="10"/>
      <c r="BF905" s="10"/>
      <c r="BG905" s="10"/>
      <c r="BH905" s="10"/>
      <c r="BI905" s="10"/>
      <c r="BJ905" s="10"/>
      <c r="BK905" s="10"/>
      <c r="BL905" s="10"/>
      <c r="BM905" s="10"/>
      <c r="BN905" s="10"/>
      <c r="BO905" s="10"/>
      <c r="BP905" s="10"/>
      <c r="BQ905" s="10"/>
      <c r="BR905" s="10"/>
      <c r="BS905" s="10"/>
      <c r="BT905" s="10"/>
    </row>
    <row r="906" spans="53:72" ht="18" x14ac:dyDescent="0.2">
      <c r="BA906" s="10"/>
      <c r="BB906" s="10"/>
      <c r="BC906" s="10"/>
      <c r="BD906" s="10"/>
      <c r="BE906" s="10"/>
      <c r="BF906" s="10"/>
      <c r="BG906" s="10"/>
      <c r="BH906" s="10"/>
      <c r="BI906" s="10"/>
      <c r="BJ906" s="10"/>
      <c r="BK906" s="10"/>
      <c r="BL906" s="10"/>
      <c r="BM906" s="10"/>
      <c r="BN906" s="10"/>
      <c r="BO906" s="10"/>
      <c r="BP906" s="10"/>
      <c r="BQ906" s="10"/>
      <c r="BR906" s="10"/>
      <c r="BS906" s="10"/>
      <c r="BT906" s="10"/>
    </row>
    <row r="907" spans="53:72" ht="18" x14ac:dyDescent="0.2">
      <c r="BA907" s="10"/>
      <c r="BB907" s="10"/>
      <c r="BC907" s="10"/>
      <c r="BD907" s="10"/>
      <c r="BE907" s="10"/>
      <c r="BF907" s="10"/>
      <c r="BG907" s="10"/>
      <c r="BH907" s="10"/>
      <c r="BI907" s="10"/>
      <c r="BJ907" s="10"/>
      <c r="BK907" s="10"/>
      <c r="BL907" s="10"/>
      <c r="BM907" s="10"/>
      <c r="BN907" s="10"/>
      <c r="BO907" s="10"/>
      <c r="BP907" s="10"/>
      <c r="BQ907" s="10"/>
      <c r="BR907" s="10"/>
      <c r="BS907" s="10"/>
      <c r="BT907" s="10"/>
    </row>
    <row r="908" spans="53:72" ht="18" x14ac:dyDescent="0.2">
      <c r="BA908" s="10"/>
      <c r="BB908" s="10"/>
      <c r="BC908" s="10"/>
      <c r="BD908" s="10"/>
      <c r="BE908" s="10"/>
      <c r="BF908" s="10"/>
      <c r="BG908" s="10"/>
      <c r="BH908" s="10"/>
      <c r="BI908" s="10"/>
      <c r="BJ908" s="10"/>
      <c r="BK908" s="10"/>
      <c r="BL908" s="10"/>
      <c r="BM908" s="10"/>
      <c r="BN908" s="10"/>
      <c r="BO908" s="10"/>
      <c r="BP908" s="10"/>
      <c r="BQ908" s="10"/>
      <c r="BR908" s="10"/>
      <c r="BS908" s="10"/>
      <c r="BT908" s="10"/>
    </row>
    <row r="909" spans="53:72" ht="18" x14ac:dyDescent="0.2">
      <c r="BA909" s="10"/>
      <c r="BB909" s="10"/>
      <c r="BC909" s="10"/>
      <c r="BD909" s="10"/>
      <c r="BE909" s="10"/>
      <c r="BF909" s="10"/>
      <c r="BG909" s="10"/>
      <c r="BH909" s="10"/>
      <c r="BI909" s="10"/>
      <c r="BJ909" s="10"/>
      <c r="BK909" s="10"/>
      <c r="BL909" s="10"/>
      <c r="BM909" s="10"/>
      <c r="BN909" s="10"/>
      <c r="BO909" s="10"/>
      <c r="BP909" s="10"/>
      <c r="BQ909" s="10"/>
      <c r="BR909" s="10"/>
      <c r="BS909" s="10"/>
      <c r="BT909" s="10"/>
    </row>
    <row r="910" spans="53:72" ht="18" x14ac:dyDescent="0.2">
      <c r="BA910" s="10"/>
      <c r="BB910" s="10"/>
      <c r="BC910" s="10"/>
      <c r="BD910" s="10"/>
      <c r="BE910" s="10"/>
      <c r="BF910" s="10"/>
      <c r="BG910" s="10"/>
      <c r="BH910" s="10"/>
      <c r="BI910" s="10"/>
      <c r="BJ910" s="10"/>
      <c r="BK910" s="10"/>
      <c r="BL910" s="10"/>
      <c r="BM910" s="10"/>
      <c r="BN910" s="10"/>
      <c r="BO910" s="10"/>
      <c r="BP910" s="10"/>
      <c r="BQ910" s="10"/>
      <c r="BR910" s="10"/>
      <c r="BS910" s="10"/>
      <c r="BT910" s="10"/>
    </row>
    <row r="911" spans="53:72" ht="18" x14ac:dyDescent="0.2">
      <c r="BA911" s="10"/>
      <c r="BB911" s="10"/>
      <c r="BC911" s="10"/>
      <c r="BD911" s="10"/>
      <c r="BE911" s="10"/>
      <c r="BF911" s="10"/>
      <c r="BG911" s="10"/>
      <c r="BH911" s="10"/>
      <c r="BI911" s="10"/>
      <c r="BJ911" s="10"/>
      <c r="BK911" s="10"/>
      <c r="BL911" s="10"/>
      <c r="BM911" s="10"/>
      <c r="BN911" s="10"/>
      <c r="BO911" s="10"/>
      <c r="BP911" s="10"/>
      <c r="BQ911" s="10"/>
      <c r="BR911" s="10"/>
      <c r="BS911" s="10"/>
      <c r="BT911" s="10"/>
    </row>
    <row r="912" spans="53:72" ht="18" x14ac:dyDescent="0.2">
      <c r="BA912" s="10"/>
      <c r="BB912" s="10"/>
      <c r="BC912" s="10"/>
      <c r="BD912" s="10"/>
      <c r="BE912" s="10"/>
      <c r="BF912" s="10"/>
      <c r="BG912" s="10"/>
      <c r="BH912" s="10"/>
      <c r="BI912" s="10"/>
      <c r="BJ912" s="10"/>
      <c r="BK912" s="10"/>
      <c r="BL912" s="10"/>
      <c r="BM912" s="10"/>
      <c r="BN912" s="10"/>
      <c r="BO912" s="10"/>
      <c r="BP912" s="10"/>
      <c r="BQ912" s="10"/>
      <c r="BR912" s="10"/>
      <c r="BS912" s="10"/>
      <c r="BT912" s="10"/>
    </row>
    <row r="913" spans="53:72" ht="18" x14ac:dyDescent="0.2">
      <c r="BA913" s="10"/>
      <c r="BB913" s="10"/>
      <c r="BC913" s="10"/>
      <c r="BD913" s="10"/>
      <c r="BE913" s="10"/>
      <c r="BF913" s="10"/>
      <c r="BG913" s="10"/>
      <c r="BH913" s="10"/>
      <c r="BI913" s="10"/>
      <c r="BJ913" s="10"/>
      <c r="BK913" s="10"/>
      <c r="BL913" s="10"/>
      <c r="BM913" s="10"/>
      <c r="BN913" s="10"/>
      <c r="BO913" s="10"/>
      <c r="BP913" s="10"/>
      <c r="BQ913" s="10"/>
      <c r="BR913" s="10"/>
      <c r="BS913" s="10"/>
      <c r="BT913" s="10"/>
    </row>
    <row r="914" spans="53:72" ht="18" x14ac:dyDescent="0.2">
      <c r="BA914" s="10"/>
      <c r="BB914" s="10"/>
      <c r="BC914" s="10"/>
      <c r="BD914" s="10"/>
      <c r="BE914" s="10"/>
      <c r="BF914" s="10"/>
      <c r="BG914" s="10"/>
      <c r="BH914" s="10"/>
      <c r="BI914" s="10"/>
      <c r="BJ914" s="10"/>
      <c r="BK914" s="10"/>
      <c r="BL914" s="10"/>
      <c r="BM914" s="10"/>
      <c r="BN914" s="10"/>
      <c r="BO914" s="10"/>
      <c r="BP914" s="10"/>
      <c r="BQ914" s="10"/>
      <c r="BR914" s="10"/>
      <c r="BS914" s="10"/>
      <c r="BT914" s="10"/>
    </row>
    <row r="915" spans="53:72" ht="18" x14ac:dyDescent="0.2">
      <c r="BA915" s="10"/>
      <c r="BB915" s="10"/>
      <c r="BC915" s="10"/>
      <c r="BD915" s="10"/>
      <c r="BE915" s="10"/>
      <c r="BF915" s="10"/>
      <c r="BG915" s="10"/>
      <c r="BH915" s="10"/>
      <c r="BI915" s="10"/>
      <c r="BJ915" s="10"/>
      <c r="BK915" s="10"/>
      <c r="BL915" s="10"/>
      <c r="BM915" s="10"/>
      <c r="BN915" s="10"/>
      <c r="BO915" s="10"/>
      <c r="BP915" s="10"/>
      <c r="BQ915" s="10"/>
      <c r="BR915" s="10"/>
      <c r="BS915" s="10"/>
      <c r="BT915" s="10"/>
    </row>
    <row r="916" spans="53:72" ht="18" x14ac:dyDescent="0.2">
      <c r="BA916" s="10"/>
      <c r="BB916" s="10"/>
      <c r="BC916" s="10"/>
      <c r="BD916" s="10"/>
      <c r="BE916" s="10"/>
      <c r="BF916" s="10"/>
      <c r="BG916" s="10"/>
      <c r="BH916" s="10"/>
      <c r="BI916" s="10"/>
      <c r="BJ916" s="10"/>
      <c r="BK916" s="10"/>
      <c r="BL916" s="10"/>
      <c r="BM916" s="10"/>
      <c r="BN916" s="10"/>
      <c r="BO916" s="10"/>
      <c r="BP916" s="10"/>
      <c r="BQ916" s="10"/>
      <c r="BR916" s="10"/>
      <c r="BS916" s="10"/>
      <c r="BT916" s="10"/>
    </row>
    <row r="917" spans="53:72" ht="18" x14ac:dyDescent="0.2">
      <c r="BA917" s="10"/>
      <c r="BB917" s="10"/>
      <c r="BC917" s="10"/>
      <c r="BD917" s="10"/>
      <c r="BE917" s="10"/>
      <c r="BF917" s="10"/>
      <c r="BG917" s="10"/>
      <c r="BH917" s="10"/>
      <c r="BI917" s="10"/>
      <c r="BJ917" s="10"/>
      <c r="BK917" s="10"/>
      <c r="BL917" s="10"/>
      <c r="BM917" s="10"/>
      <c r="BN917" s="10"/>
      <c r="BO917" s="10"/>
      <c r="BP917" s="10"/>
      <c r="BQ917" s="10"/>
      <c r="BR917" s="10"/>
      <c r="BS917" s="10"/>
      <c r="BT917" s="10"/>
    </row>
    <row r="918" spans="53:72" ht="18" x14ac:dyDescent="0.2">
      <c r="BA918" s="10"/>
      <c r="BB918" s="10"/>
      <c r="BC918" s="10"/>
      <c r="BD918" s="10"/>
      <c r="BE918" s="10"/>
      <c r="BF918" s="10"/>
      <c r="BG918" s="10"/>
      <c r="BH918" s="10"/>
      <c r="BI918" s="10"/>
      <c r="BJ918" s="10"/>
      <c r="BK918" s="10"/>
      <c r="BL918" s="10"/>
      <c r="BM918" s="10"/>
      <c r="BN918" s="10"/>
      <c r="BO918" s="10"/>
      <c r="BP918" s="10"/>
      <c r="BQ918" s="10"/>
      <c r="BR918" s="10"/>
      <c r="BS918" s="10"/>
      <c r="BT918" s="10"/>
    </row>
    <row r="919" spans="53:72" ht="18" x14ac:dyDescent="0.2">
      <c r="BA919" s="10"/>
      <c r="BB919" s="10"/>
      <c r="BC919" s="10"/>
      <c r="BD919" s="10"/>
      <c r="BE919" s="10"/>
      <c r="BF919" s="10"/>
      <c r="BG919" s="10"/>
      <c r="BH919" s="10"/>
      <c r="BI919" s="10"/>
      <c r="BJ919" s="10"/>
      <c r="BK919" s="10"/>
      <c r="BL919" s="10"/>
      <c r="BM919" s="10"/>
      <c r="BN919" s="10"/>
      <c r="BO919" s="10"/>
      <c r="BP919" s="10"/>
      <c r="BQ919" s="10"/>
      <c r="BR919" s="10"/>
      <c r="BS919" s="10"/>
      <c r="BT919" s="10"/>
    </row>
    <row r="920" spans="53:72" ht="18" x14ac:dyDescent="0.2">
      <c r="BA920" s="10"/>
      <c r="BB920" s="10"/>
      <c r="BC920" s="10"/>
      <c r="BD920" s="10"/>
      <c r="BE920" s="10"/>
      <c r="BF920" s="10"/>
      <c r="BG920" s="10"/>
      <c r="BH920" s="10"/>
      <c r="BI920" s="10"/>
      <c r="BJ920" s="10"/>
      <c r="BK920" s="10"/>
      <c r="BL920" s="10"/>
      <c r="BM920" s="10"/>
      <c r="BN920" s="10"/>
      <c r="BO920" s="10"/>
      <c r="BP920" s="10"/>
      <c r="BQ920" s="10"/>
      <c r="BR920" s="10"/>
      <c r="BS920" s="10"/>
      <c r="BT920" s="10"/>
    </row>
    <row r="921" spans="53:72" ht="18" x14ac:dyDescent="0.2">
      <c r="BA921" s="10"/>
      <c r="BB921" s="10"/>
      <c r="BC921" s="10"/>
      <c r="BD921" s="10"/>
      <c r="BE921" s="10"/>
      <c r="BF921" s="10"/>
      <c r="BG921" s="10"/>
      <c r="BH921" s="10"/>
      <c r="BI921" s="10"/>
      <c r="BJ921" s="10"/>
      <c r="BK921" s="10"/>
      <c r="BL921" s="10"/>
      <c r="BM921" s="10"/>
      <c r="BN921" s="10"/>
      <c r="BO921" s="10"/>
      <c r="BP921" s="10"/>
      <c r="BQ921" s="10"/>
      <c r="BR921" s="10"/>
      <c r="BS921" s="10"/>
      <c r="BT921" s="10"/>
    </row>
    <row r="922" spans="53:72" ht="18" x14ac:dyDescent="0.2">
      <c r="BA922" s="10"/>
      <c r="BB922" s="10"/>
      <c r="BC922" s="10"/>
      <c r="BD922" s="10"/>
      <c r="BE922" s="10"/>
      <c r="BF922" s="10"/>
      <c r="BG922" s="10"/>
      <c r="BH922" s="10"/>
      <c r="BI922" s="10"/>
      <c r="BJ922" s="10"/>
      <c r="BK922" s="10"/>
      <c r="BL922" s="10"/>
      <c r="BM922" s="10"/>
      <c r="BN922" s="10"/>
      <c r="BO922" s="10"/>
      <c r="BP922" s="10"/>
      <c r="BQ922" s="10"/>
      <c r="BR922" s="10"/>
      <c r="BS922" s="10"/>
      <c r="BT922" s="10"/>
    </row>
    <row r="923" spans="53:72" ht="18" x14ac:dyDescent="0.2">
      <c r="BA923" s="10"/>
      <c r="BB923" s="10"/>
      <c r="BC923" s="10"/>
      <c r="BD923" s="10"/>
      <c r="BE923" s="10"/>
      <c r="BF923" s="10"/>
      <c r="BG923" s="10"/>
      <c r="BH923" s="10"/>
      <c r="BI923" s="10"/>
      <c r="BJ923" s="10"/>
      <c r="BK923" s="10"/>
      <c r="BL923" s="10"/>
      <c r="BM923" s="10"/>
      <c r="BN923" s="10"/>
      <c r="BO923" s="10"/>
      <c r="BP923" s="10"/>
      <c r="BQ923" s="10"/>
      <c r="BR923" s="10"/>
      <c r="BS923" s="10"/>
      <c r="BT923" s="10"/>
    </row>
    <row r="924" spans="53:72" ht="18" x14ac:dyDescent="0.2">
      <c r="BA924" s="10"/>
      <c r="BB924" s="10"/>
      <c r="BC924" s="10"/>
      <c r="BD924" s="10"/>
      <c r="BE924" s="10"/>
      <c r="BF924" s="10"/>
      <c r="BG924" s="10"/>
      <c r="BH924" s="10"/>
      <c r="BI924" s="10"/>
      <c r="BJ924" s="10"/>
      <c r="BK924" s="10"/>
      <c r="BL924" s="10"/>
      <c r="BM924" s="10"/>
      <c r="BN924" s="10"/>
      <c r="BO924" s="10"/>
      <c r="BP924" s="10"/>
      <c r="BQ924" s="10"/>
      <c r="BR924" s="10"/>
      <c r="BS924" s="10"/>
      <c r="BT924" s="10"/>
    </row>
    <row r="925" spans="53:72" ht="18" x14ac:dyDescent="0.2">
      <c r="BA925" s="10"/>
      <c r="BB925" s="10"/>
      <c r="BC925" s="10"/>
      <c r="BD925" s="10"/>
      <c r="BE925" s="10"/>
      <c r="BF925" s="10"/>
      <c r="BG925" s="10"/>
      <c r="BH925" s="10"/>
      <c r="BI925" s="10"/>
      <c r="BJ925" s="10"/>
      <c r="BK925" s="10"/>
      <c r="BL925" s="10"/>
      <c r="BM925" s="10"/>
      <c r="BN925" s="10"/>
      <c r="BO925" s="10"/>
      <c r="BP925" s="10"/>
      <c r="BQ925" s="10"/>
      <c r="BR925" s="10"/>
      <c r="BS925" s="10"/>
      <c r="BT925" s="10"/>
    </row>
    <row r="926" spans="53:72" ht="18" x14ac:dyDescent="0.2">
      <c r="BA926" s="10"/>
      <c r="BB926" s="10"/>
      <c r="BC926" s="10"/>
      <c r="BD926" s="10"/>
      <c r="BE926" s="10"/>
      <c r="BF926" s="10"/>
      <c r="BG926" s="10"/>
      <c r="BH926" s="10"/>
      <c r="BI926" s="10"/>
      <c r="BJ926" s="10"/>
      <c r="BK926" s="10"/>
      <c r="BL926" s="10"/>
      <c r="BM926" s="10"/>
      <c r="BN926" s="10"/>
      <c r="BO926" s="10"/>
      <c r="BP926" s="10"/>
      <c r="BQ926" s="10"/>
      <c r="BR926" s="10"/>
      <c r="BS926" s="10"/>
      <c r="BT926" s="10"/>
    </row>
    <row r="927" spans="53:72" ht="18" x14ac:dyDescent="0.2">
      <c r="BA927" s="10"/>
      <c r="BB927" s="10"/>
      <c r="BC927" s="10"/>
      <c r="BD927" s="10"/>
      <c r="BE927" s="10"/>
      <c r="BF927" s="10"/>
      <c r="BG927" s="10"/>
      <c r="BH927" s="10"/>
      <c r="BI927" s="10"/>
      <c r="BJ927" s="10"/>
      <c r="BK927" s="10"/>
      <c r="BL927" s="10"/>
      <c r="BM927" s="10"/>
      <c r="BN927" s="10"/>
      <c r="BO927" s="10"/>
      <c r="BP927" s="10"/>
      <c r="BQ927" s="10"/>
      <c r="BR927" s="10"/>
      <c r="BS927" s="10"/>
      <c r="BT927" s="10"/>
    </row>
    <row r="928" spans="53:72" ht="18" x14ac:dyDescent="0.2">
      <c r="BA928" s="10"/>
      <c r="BB928" s="10"/>
      <c r="BC928" s="10"/>
      <c r="BD928" s="10"/>
      <c r="BE928" s="10"/>
      <c r="BF928" s="10"/>
      <c r="BG928" s="10"/>
      <c r="BH928" s="10"/>
      <c r="BI928" s="10"/>
      <c r="BJ928" s="10"/>
      <c r="BK928" s="10"/>
      <c r="BL928" s="10"/>
      <c r="BM928" s="10"/>
      <c r="BN928" s="10"/>
      <c r="BO928" s="10"/>
      <c r="BP928" s="10"/>
      <c r="BQ928" s="10"/>
      <c r="BR928" s="10"/>
      <c r="BS928" s="10"/>
      <c r="BT928" s="10"/>
    </row>
    <row r="929" spans="53:72" ht="18" x14ac:dyDescent="0.2">
      <c r="BA929" s="10"/>
      <c r="BB929" s="10"/>
      <c r="BC929" s="10"/>
      <c r="BD929" s="10"/>
      <c r="BE929" s="10"/>
      <c r="BF929" s="10"/>
      <c r="BG929" s="10"/>
      <c r="BH929" s="10"/>
      <c r="BI929" s="10"/>
      <c r="BJ929" s="10"/>
      <c r="BK929" s="10"/>
      <c r="BL929" s="10"/>
      <c r="BM929" s="10"/>
      <c r="BN929" s="10"/>
      <c r="BO929" s="10"/>
      <c r="BP929" s="10"/>
      <c r="BQ929" s="10"/>
      <c r="BR929" s="10"/>
      <c r="BS929" s="10"/>
      <c r="BT929" s="10"/>
    </row>
    <row r="930" spans="53:72" ht="18" x14ac:dyDescent="0.2">
      <c r="BA930" s="10"/>
      <c r="BB930" s="10"/>
      <c r="BC930" s="10"/>
      <c r="BD930" s="10"/>
      <c r="BE930" s="10"/>
      <c r="BF930" s="10"/>
      <c r="BG930" s="10"/>
      <c r="BH930" s="10"/>
      <c r="BI930" s="10"/>
      <c r="BJ930" s="10"/>
      <c r="BK930" s="10"/>
      <c r="BL930" s="10"/>
      <c r="BM930" s="10"/>
      <c r="BN930" s="10"/>
      <c r="BO930" s="10"/>
      <c r="BP930" s="10"/>
      <c r="BQ930" s="10"/>
      <c r="BR930" s="10"/>
      <c r="BS930" s="10"/>
      <c r="BT930" s="10"/>
    </row>
    <row r="931" spans="53:72" ht="18" x14ac:dyDescent="0.2">
      <c r="BA931" s="10"/>
      <c r="BB931" s="10"/>
      <c r="BC931" s="10"/>
      <c r="BD931" s="10"/>
      <c r="BE931" s="10"/>
      <c r="BF931" s="10"/>
      <c r="BG931" s="10"/>
      <c r="BH931" s="10"/>
      <c r="BI931" s="10"/>
      <c r="BJ931" s="10"/>
      <c r="BK931" s="10"/>
      <c r="BL931" s="10"/>
      <c r="BM931" s="10"/>
      <c r="BN931" s="10"/>
      <c r="BO931" s="10"/>
      <c r="BP931" s="10"/>
      <c r="BQ931" s="10"/>
      <c r="BR931" s="10"/>
      <c r="BS931" s="10"/>
      <c r="BT931" s="10"/>
    </row>
    <row r="932" spans="53:72" ht="18" x14ac:dyDescent="0.2">
      <c r="BA932" s="10"/>
      <c r="BB932" s="10"/>
      <c r="BC932" s="10"/>
      <c r="BD932" s="10"/>
      <c r="BE932" s="10"/>
      <c r="BF932" s="10"/>
      <c r="BG932" s="10"/>
      <c r="BH932" s="10"/>
      <c r="BI932" s="10"/>
      <c r="BJ932" s="10"/>
      <c r="BK932" s="10"/>
      <c r="BL932" s="10"/>
      <c r="BM932" s="10"/>
      <c r="BN932" s="10"/>
      <c r="BO932" s="10"/>
      <c r="BP932" s="10"/>
      <c r="BQ932" s="10"/>
      <c r="BR932" s="10"/>
      <c r="BS932" s="10"/>
      <c r="BT932" s="10"/>
    </row>
    <row r="933" spans="53:72" ht="18" x14ac:dyDescent="0.2">
      <c r="BA933" s="10"/>
      <c r="BB933" s="10"/>
      <c r="BC933" s="10"/>
      <c r="BD933" s="10"/>
      <c r="BE933" s="10"/>
      <c r="BF933" s="10"/>
      <c r="BG933" s="10"/>
      <c r="BH933" s="10"/>
      <c r="BI933" s="10"/>
      <c r="BJ933" s="10"/>
      <c r="BK933" s="10"/>
      <c r="BL933" s="10"/>
      <c r="BM933" s="10"/>
      <c r="BN933" s="10"/>
      <c r="BO933" s="10"/>
      <c r="BP933" s="10"/>
      <c r="BQ933" s="10"/>
      <c r="BR933" s="10"/>
      <c r="BS933" s="10"/>
      <c r="BT933" s="10"/>
    </row>
    <row r="934" spans="53:72" ht="18" x14ac:dyDescent="0.2">
      <c r="BA934" s="10"/>
      <c r="BB934" s="10"/>
      <c r="BC934" s="10"/>
      <c r="BD934" s="10"/>
      <c r="BE934" s="10"/>
      <c r="BF934" s="10"/>
      <c r="BG934" s="10"/>
      <c r="BH934" s="10"/>
      <c r="BI934" s="10"/>
      <c r="BJ934" s="10"/>
      <c r="BK934" s="10"/>
      <c r="BL934" s="10"/>
      <c r="BM934" s="10"/>
      <c r="BN934" s="10"/>
      <c r="BO934" s="10"/>
      <c r="BP934" s="10"/>
      <c r="BQ934" s="10"/>
      <c r="BR934" s="10"/>
      <c r="BS934" s="10"/>
      <c r="BT934" s="10"/>
    </row>
    <row r="935" spans="53:72" ht="18" x14ac:dyDescent="0.2">
      <c r="BA935" s="10"/>
      <c r="BB935" s="10"/>
      <c r="BC935" s="10"/>
      <c r="BD935" s="10"/>
      <c r="BE935" s="10"/>
      <c r="BF935" s="10"/>
      <c r="BG935" s="10"/>
      <c r="BH935" s="10"/>
      <c r="BI935" s="10"/>
      <c r="BJ935" s="10"/>
      <c r="BK935" s="10"/>
      <c r="BL935" s="10"/>
      <c r="BM935" s="10"/>
      <c r="BN935" s="10"/>
      <c r="BO935" s="10"/>
      <c r="BP935" s="10"/>
      <c r="BQ935" s="10"/>
      <c r="BR935" s="10"/>
      <c r="BS935" s="10"/>
      <c r="BT935" s="10"/>
    </row>
    <row r="936" spans="53:72" ht="18" x14ac:dyDescent="0.2">
      <c r="BA936" s="10"/>
      <c r="BB936" s="10"/>
      <c r="BC936" s="10"/>
      <c r="BD936" s="10"/>
      <c r="BE936" s="10"/>
      <c r="BF936" s="10"/>
      <c r="BG936" s="10"/>
      <c r="BH936" s="10"/>
      <c r="BI936" s="10"/>
      <c r="BJ936" s="10"/>
      <c r="BK936" s="10"/>
      <c r="BL936" s="10"/>
      <c r="BM936" s="10"/>
      <c r="BN936" s="10"/>
      <c r="BO936" s="10"/>
      <c r="BP936" s="10"/>
      <c r="BQ936" s="10"/>
      <c r="BR936" s="10"/>
      <c r="BS936" s="10"/>
      <c r="BT936" s="10"/>
    </row>
    <row r="937" spans="53:72" ht="18" x14ac:dyDescent="0.2">
      <c r="BA937" s="10"/>
      <c r="BB937" s="10"/>
      <c r="BC937" s="10"/>
      <c r="BD937" s="10"/>
      <c r="BE937" s="10"/>
      <c r="BF937" s="10"/>
      <c r="BG937" s="10"/>
      <c r="BH937" s="10"/>
      <c r="BI937" s="10"/>
      <c r="BJ937" s="10"/>
      <c r="BK937" s="10"/>
      <c r="BL937" s="10"/>
      <c r="BM937" s="10"/>
      <c r="BN937" s="10"/>
      <c r="BO937" s="10"/>
      <c r="BP937" s="10"/>
      <c r="BQ937" s="10"/>
      <c r="BR937" s="10"/>
      <c r="BS937" s="10"/>
      <c r="BT937" s="10"/>
    </row>
    <row r="938" spans="53:72" ht="18" x14ac:dyDescent="0.2">
      <c r="BA938" s="10"/>
      <c r="BB938" s="10"/>
      <c r="BC938" s="10"/>
      <c r="BD938" s="10"/>
      <c r="BE938" s="10"/>
      <c r="BF938" s="10"/>
      <c r="BG938" s="10"/>
      <c r="BH938" s="10"/>
      <c r="BI938" s="10"/>
      <c r="BJ938" s="10"/>
      <c r="BK938" s="10"/>
      <c r="BL938" s="10"/>
      <c r="BM938" s="10"/>
      <c r="BN938" s="10"/>
      <c r="BO938" s="10"/>
      <c r="BP938" s="10"/>
      <c r="BQ938" s="10"/>
      <c r="BR938" s="10"/>
      <c r="BS938" s="10"/>
      <c r="BT938" s="10"/>
    </row>
    <row r="939" spans="53:72" ht="18" x14ac:dyDescent="0.2">
      <c r="BA939" s="10"/>
      <c r="BB939" s="10"/>
      <c r="BC939" s="10"/>
      <c r="BD939" s="10"/>
      <c r="BE939" s="10"/>
      <c r="BF939" s="10"/>
      <c r="BG939" s="10"/>
      <c r="BH939" s="10"/>
      <c r="BI939" s="10"/>
      <c r="BJ939" s="10"/>
      <c r="BK939" s="10"/>
      <c r="BL939" s="10"/>
      <c r="BM939" s="10"/>
      <c r="BN939" s="10"/>
      <c r="BO939" s="10"/>
      <c r="BP939" s="10"/>
      <c r="BQ939" s="10"/>
      <c r="BR939" s="10"/>
      <c r="BS939" s="10"/>
      <c r="BT939" s="10"/>
    </row>
    <row r="940" spans="53:72" ht="18" x14ac:dyDescent="0.2">
      <c r="BA940" s="10"/>
      <c r="BB940" s="10"/>
      <c r="BC940" s="10"/>
      <c r="BD940" s="10"/>
      <c r="BE940" s="10"/>
      <c r="BF940" s="10"/>
      <c r="BG940" s="10"/>
      <c r="BH940" s="10"/>
      <c r="BI940" s="10"/>
      <c r="BJ940" s="10"/>
      <c r="BK940" s="10"/>
      <c r="BL940" s="10"/>
      <c r="BM940" s="10"/>
      <c r="BN940" s="10"/>
      <c r="BO940" s="10"/>
      <c r="BP940" s="10"/>
      <c r="BQ940" s="10"/>
      <c r="BR940" s="10"/>
      <c r="BS940" s="10"/>
      <c r="BT940" s="10"/>
    </row>
    <row r="941" spans="53:72" ht="18" x14ac:dyDescent="0.2">
      <c r="BA941" s="10"/>
      <c r="BB941" s="10"/>
      <c r="BC941" s="10"/>
      <c r="BD941" s="10"/>
      <c r="BE941" s="10"/>
      <c r="BF941" s="10"/>
      <c r="BG941" s="10"/>
      <c r="BH941" s="10"/>
      <c r="BI941" s="10"/>
      <c r="BJ941" s="10"/>
      <c r="BK941" s="10"/>
      <c r="BL941" s="10"/>
      <c r="BM941" s="10"/>
      <c r="BN941" s="10"/>
      <c r="BO941" s="10"/>
      <c r="BP941" s="10"/>
      <c r="BQ941" s="10"/>
      <c r="BR941" s="10"/>
      <c r="BS941" s="10"/>
      <c r="BT941" s="10"/>
    </row>
    <row r="942" spans="53:72" ht="18" x14ac:dyDescent="0.2">
      <c r="BA942" s="10"/>
      <c r="BB942" s="10"/>
      <c r="BC942" s="10"/>
      <c r="BD942" s="10"/>
      <c r="BE942" s="10"/>
      <c r="BF942" s="10"/>
      <c r="BG942" s="10"/>
      <c r="BH942" s="10"/>
      <c r="BI942" s="10"/>
      <c r="BJ942" s="10"/>
      <c r="BK942" s="10"/>
      <c r="BL942" s="10"/>
      <c r="BM942" s="10"/>
      <c r="BN942" s="10"/>
      <c r="BO942" s="10"/>
      <c r="BP942" s="10"/>
      <c r="BQ942" s="10"/>
      <c r="BR942" s="10"/>
      <c r="BS942" s="10"/>
      <c r="BT942" s="10"/>
    </row>
    <row r="943" spans="53:72" ht="18" x14ac:dyDescent="0.2">
      <c r="BA943" s="10"/>
      <c r="BB943" s="10"/>
      <c r="BC943" s="10"/>
      <c r="BD943" s="10"/>
      <c r="BE943" s="10"/>
      <c r="BF943" s="10"/>
      <c r="BG943" s="10"/>
      <c r="BH943" s="10"/>
      <c r="BI943" s="10"/>
      <c r="BJ943" s="10"/>
      <c r="BK943" s="10"/>
      <c r="BL943" s="10"/>
      <c r="BM943" s="10"/>
      <c r="BN943" s="10"/>
      <c r="BO943" s="10"/>
      <c r="BP943" s="10"/>
      <c r="BQ943" s="10"/>
      <c r="BR943" s="10"/>
      <c r="BS943" s="10"/>
      <c r="BT943" s="10"/>
    </row>
    <row r="944" spans="53:72" ht="18" x14ac:dyDescent="0.2">
      <c r="BA944" s="10"/>
      <c r="BB944" s="10"/>
      <c r="BC944" s="10"/>
      <c r="BD944" s="10"/>
      <c r="BE944" s="10"/>
      <c r="BF944" s="10"/>
      <c r="BG944" s="10"/>
      <c r="BH944" s="10"/>
      <c r="BI944" s="10"/>
      <c r="BJ944" s="10"/>
      <c r="BK944" s="10"/>
      <c r="BL944" s="10"/>
      <c r="BM944" s="10"/>
      <c r="BN944" s="10"/>
      <c r="BO944" s="10"/>
      <c r="BP944" s="10"/>
      <c r="BQ944" s="10"/>
      <c r="BR944" s="10"/>
      <c r="BS944" s="10"/>
      <c r="BT944" s="10"/>
    </row>
    <row r="945" spans="53:72" ht="18" x14ac:dyDescent="0.2">
      <c r="BA945" s="10"/>
      <c r="BB945" s="10"/>
      <c r="BC945" s="10"/>
      <c r="BD945" s="10"/>
      <c r="BE945" s="10"/>
      <c r="BF945" s="10"/>
      <c r="BG945" s="10"/>
      <c r="BH945" s="10"/>
      <c r="BI945" s="10"/>
      <c r="BJ945" s="10"/>
      <c r="BK945" s="10"/>
      <c r="BL945" s="10"/>
      <c r="BM945" s="10"/>
      <c r="BN945" s="10"/>
      <c r="BO945" s="10"/>
      <c r="BP945" s="10"/>
      <c r="BQ945" s="10"/>
      <c r="BR945" s="10"/>
      <c r="BS945" s="10"/>
      <c r="BT945" s="10"/>
    </row>
    <row r="946" spans="53:72" ht="18" x14ac:dyDescent="0.2">
      <c r="BA946" s="10"/>
      <c r="BB946" s="10"/>
      <c r="BC946" s="10"/>
      <c r="BD946" s="10"/>
      <c r="BE946" s="10"/>
      <c r="BF946" s="10"/>
      <c r="BG946" s="10"/>
      <c r="BH946" s="10"/>
      <c r="BI946" s="10"/>
      <c r="BJ946" s="10"/>
      <c r="BK946" s="10"/>
      <c r="BL946" s="10"/>
      <c r="BM946" s="10"/>
      <c r="BN946" s="10"/>
      <c r="BO946" s="10"/>
      <c r="BP946" s="10"/>
      <c r="BQ946" s="10"/>
      <c r="BR946" s="10"/>
      <c r="BS946" s="10"/>
      <c r="BT946" s="10"/>
    </row>
    <row r="947" spans="53:72" ht="18" x14ac:dyDescent="0.2">
      <c r="BA947" s="10"/>
      <c r="BB947" s="10"/>
      <c r="BC947" s="10"/>
      <c r="BD947" s="10"/>
      <c r="BE947" s="10"/>
      <c r="BF947" s="10"/>
      <c r="BG947" s="10"/>
      <c r="BH947" s="10"/>
      <c r="BI947" s="10"/>
      <c r="BJ947" s="10"/>
      <c r="BK947" s="10"/>
      <c r="BL947" s="10"/>
      <c r="BM947" s="10"/>
      <c r="BN947" s="10"/>
      <c r="BO947" s="10"/>
      <c r="BP947" s="10"/>
      <c r="BQ947" s="10"/>
      <c r="BR947" s="10"/>
      <c r="BS947" s="10"/>
      <c r="BT947" s="10"/>
    </row>
    <row r="948" spans="53:72" ht="18" x14ac:dyDescent="0.2">
      <c r="BA948" s="10"/>
      <c r="BB948" s="10"/>
      <c r="BC948" s="10"/>
      <c r="BD948" s="10"/>
      <c r="BE948" s="10"/>
      <c r="BF948" s="10"/>
      <c r="BG948" s="10"/>
      <c r="BH948" s="10"/>
      <c r="BI948" s="10"/>
      <c r="BJ948" s="10"/>
      <c r="BK948" s="10"/>
      <c r="BL948" s="10"/>
      <c r="BM948" s="10"/>
      <c r="BN948" s="10"/>
      <c r="BO948" s="10"/>
      <c r="BP948" s="10"/>
      <c r="BQ948" s="10"/>
      <c r="BR948" s="10"/>
      <c r="BS948" s="10"/>
      <c r="BT948" s="10"/>
    </row>
    <row r="949" spans="53:72" ht="18" x14ac:dyDescent="0.2">
      <c r="BA949" s="10"/>
      <c r="BB949" s="10"/>
      <c r="BC949" s="10"/>
      <c r="BD949" s="10"/>
      <c r="BE949" s="10"/>
      <c r="BF949" s="10"/>
      <c r="BG949" s="10"/>
      <c r="BH949" s="10"/>
      <c r="BI949" s="10"/>
      <c r="BJ949" s="10"/>
      <c r="BK949" s="10"/>
      <c r="BL949" s="10"/>
      <c r="BM949" s="10"/>
      <c r="BN949" s="10"/>
      <c r="BO949" s="10"/>
      <c r="BP949" s="10"/>
      <c r="BQ949" s="10"/>
      <c r="BR949" s="10"/>
      <c r="BS949" s="10"/>
      <c r="BT949" s="10"/>
    </row>
    <row r="950" spans="53:72" ht="18" x14ac:dyDescent="0.2">
      <c r="BA950" s="10"/>
      <c r="BB950" s="10"/>
      <c r="BC950" s="10"/>
      <c r="BD950" s="10"/>
      <c r="BE950" s="10"/>
      <c r="BF950" s="10"/>
      <c r="BG950" s="10"/>
      <c r="BH950" s="10"/>
      <c r="BI950" s="10"/>
      <c r="BJ950" s="10"/>
      <c r="BK950" s="10"/>
      <c r="BL950" s="10"/>
      <c r="BM950" s="10"/>
      <c r="BN950" s="10"/>
      <c r="BO950" s="10"/>
      <c r="BP950" s="10"/>
      <c r="BQ950" s="10"/>
      <c r="BR950" s="10"/>
      <c r="BS950" s="10"/>
      <c r="BT950" s="10"/>
    </row>
    <row r="951" spans="53:72" ht="18" x14ac:dyDescent="0.2">
      <c r="BA951" s="10"/>
      <c r="BB951" s="10"/>
      <c r="BC951" s="10"/>
      <c r="BD951" s="10"/>
      <c r="BE951" s="10"/>
      <c r="BF951" s="10"/>
      <c r="BG951" s="10"/>
      <c r="BH951" s="10"/>
      <c r="BI951" s="10"/>
      <c r="BJ951" s="10"/>
      <c r="BK951" s="10"/>
      <c r="BL951" s="10"/>
      <c r="BM951" s="10"/>
      <c r="BN951" s="10"/>
      <c r="BO951" s="10"/>
      <c r="BP951" s="10"/>
      <c r="BQ951" s="10"/>
      <c r="BR951" s="10"/>
      <c r="BS951" s="10"/>
      <c r="BT951" s="10"/>
    </row>
    <row r="952" spans="53:72" ht="18" x14ac:dyDescent="0.2">
      <c r="BA952" s="10"/>
      <c r="BB952" s="10"/>
      <c r="BC952" s="10"/>
      <c r="BD952" s="10"/>
      <c r="BE952" s="10"/>
      <c r="BF952" s="10"/>
      <c r="BG952" s="10"/>
      <c r="BH952" s="10"/>
      <c r="BI952" s="10"/>
      <c r="BJ952" s="10"/>
      <c r="BK952" s="10"/>
      <c r="BL952" s="10"/>
      <c r="BM952" s="10"/>
      <c r="BN952" s="10"/>
      <c r="BO952" s="10"/>
      <c r="BP952" s="10"/>
      <c r="BQ952" s="10"/>
      <c r="BR952" s="10"/>
      <c r="BS952" s="10"/>
      <c r="BT952" s="10"/>
    </row>
    <row r="953" spans="53:72" ht="18" x14ac:dyDescent="0.2">
      <c r="BA953" s="10"/>
      <c r="BB953" s="10"/>
      <c r="BC953" s="10"/>
      <c r="BD953" s="10"/>
      <c r="BE953" s="10"/>
      <c r="BF953" s="10"/>
      <c r="BG953" s="10"/>
      <c r="BH953" s="10"/>
      <c r="BI953" s="10"/>
      <c r="BJ953" s="10"/>
      <c r="BK953" s="10"/>
      <c r="BL953" s="10"/>
      <c r="BM953" s="10"/>
      <c r="BN953" s="10"/>
      <c r="BO953" s="10"/>
      <c r="BP953" s="10"/>
      <c r="BQ953" s="10"/>
      <c r="BR953" s="10"/>
      <c r="BS953" s="10"/>
      <c r="BT953" s="10"/>
    </row>
    <row r="954" spans="53:72" ht="18" x14ac:dyDescent="0.2">
      <c r="BA954" s="10"/>
      <c r="BB954" s="10"/>
      <c r="BC954" s="10"/>
      <c r="BD954" s="10"/>
      <c r="BE954" s="10"/>
      <c r="BF954" s="10"/>
      <c r="BG954" s="10"/>
      <c r="BH954" s="10"/>
      <c r="BI954" s="10"/>
      <c r="BJ954" s="10"/>
      <c r="BK954" s="10"/>
      <c r="BL954" s="10"/>
      <c r="BM954" s="10"/>
      <c r="BN954" s="10"/>
      <c r="BO954" s="10"/>
      <c r="BP954" s="10"/>
      <c r="BQ954" s="10"/>
      <c r="BR954" s="10"/>
      <c r="BS954" s="10"/>
      <c r="BT954" s="10"/>
    </row>
    <row r="955" spans="53:72" ht="18" x14ac:dyDescent="0.2">
      <c r="BA955" s="10"/>
      <c r="BB955" s="10"/>
      <c r="BC955" s="10"/>
      <c r="BD955" s="10"/>
      <c r="BE955" s="10"/>
      <c r="BF955" s="10"/>
      <c r="BG955" s="10"/>
      <c r="BH955" s="10"/>
      <c r="BI955" s="10"/>
      <c r="BJ955" s="10"/>
      <c r="BK955" s="10"/>
      <c r="BL955" s="10"/>
      <c r="BM955" s="10"/>
      <c r="BN955" s="10"/>
      <c r="BO955" s="10"/>
      <c r="BP955" s="10"/>
      <c r="BQ955" s="10"/>
      <c r="BR955" s="10"/>
      <c r="BS955" s="10"/>
      <c r="BT955" s="10"/>
    </row>
    <row r="956" spans="53:72" ht="18" x14ac:dyDescent="0.2">
      <c r="BA956" s="10"/>
      <c r="BB956" s="10"/>
      <c r="BC956" s="10"/>
      <c r="BD956" s="10"/>
      <c r="BE956" s="10"/>
      <c r="BF956" s="10"/>
      <c r="BG956" s="10"/>
      <c r="BH956" s="10"/>
      <c r="BI956" s="10"/>
      <c r="BJ956" s="10"/>
      <c r="BK956" s="10"/>
      <c r="BL956" s="10"/>
      <c r="BM956" s="10"/>
      <c r="BN956" s="10"/>
      <c r="BO956" s="10"/>
      <c r="BP956" s="10"/>
      <c r="BQ956" s="10"/>
      <c r="BR956" s="10"/>
      <c r="BS956" s="10"/>
      <c r="BT956" s="10"/>
    </row>
    <row r="957" spans="53:72" ht="18" x14ac:dyDescent="0.2">
      <c r="BA957" s="10"/>
      <c r="BB957" s="10"/>
      <c r="BC957" s="10"/>
      <c r="BD957" s="10"/>
      <c r="BE957" s="10"/>
      <c r="BF957" s="10"/>
      <c r="BG957" s="10"/>
      <c r="BH957" s="10"/>
      <c r="BI957" s="10"/>
      <c r="BJ957" s="10"/>
      <c r="BK957" s="10"/>
      <c r="BL957" s="10"/>
      <c r="BM957" s="10"/>
      <c r="BN957" s="10"/>
      <c r="BO957" s="10"/>
      <c r="BP957" s="10"/>
      <c r="BQ957" s="10"/>
      <c r="BR957" s="10"/>
      <c r="BS957" s="10"/>
      <c r="BT957" s="10"/>
    </row>
    <row r="958" spans="53:72" ht="18" x14ac:dyDescent="0.2">
      <c r="BA958" s="10"/>
      <c r="BB958" s="10"/>
      <c r="BC958" s="10"/>
      <c r="BD958" s="10"/>
      <c r="BE958" s="10"/>
      <c r="BF958" s="10"/>
      <c r="BG958" s="10"/>
      <c r="BH958" s="10"/>
      <c r="BI958" s="10"/>
      <c r="BJ958" s="10"/>
      <c r="BK958" s="10"/>
      <c r="BL958" s="10"/>
      <c r="BM958" s="10"/>
      <c r="BN958" s="10"/>
      <c r="BO958" s="10"/>
      <c r="BP958" s="10"/>
      <c r="BQ958" s="10"/>
      <c r="BR958" s="10"/>
      <c r="BS958" s="10"/>
      <c r="BT958" s="10"/>
    </row>
    <row r="959" spans="53:72" ht="18" x14ac:dyDescent="0.2">
      <c r="BA959" s="10"/>
      <c r="BB959" s="10"/>
      <c r="BC959" s="10"/>
      <c r="BD959" s="10"/>
      <c r="BE959" s="10"/>
      <c r="BF959" s="10"/>
      <c r="BG959" s="10"/>
      <c r="BH959" s="10"/>
      <c r="BI959" s="10"/>
      <c r="BJ959" s="10"/>
      <c r="BK959" s="10"/>
      <c r="BL959" s="10"/>
      <c r="BM959" s="10"/>
      <c r="BN959" s="10"/>
      <c r="BO959" s="10"/>
      <c r="BP959" s="10"/>
      <c r="BQ959" s="10"/>
      <c r="BR959" s="10"/>
      <c r="BS959" s="10"/>
      <c r="BT959" s="10"/>
    </row>
    <row r="960" spans="53:72" ht="18" x14ac:dyDescent="0.2">
      <c r="BA960" s="10"/>
      <c r="BB960" s="10"/>
      <c r="BC960" s="10"/>
      <c r="BD960" s="10"/>
      <c r="BE960" s="10"/>
      <c r="BF960" s="10"/>
      <c r="BG960" s="10"/>
      <c r="BH960" s="10"/>
      <c r="BI960" s="10"/>
      <c r="BJ960" s="10"/>
      <c r="BK960" s="10"/>
      <c r="BL960" s="10"/>
      <c r="BM960" s="10"/>
      <c r="BN960" s="10"/>
      <c r="BO960" s="10"/>
      <c r="BP960" s="10"/>
      <c r="BQ960" s="10"/>
      <c r="BR960" s="10"/>
      <c r="BS960" s="10"/>
      <c r="BT960" s="10"/>
    </row>
    <row r="961" spans="53:72" ht="18" x14ac:dyDescent="0.2">
      <c r="BA961" s="10"/>
      <c r="BB961" s="10"/>
      <c r="BC961" s="10"/>
      <c r="BD961" s="10"/>
      <c r="BE961" s="10"/>
      <c r="BF961" s="10"/>
      <c r="BG961" s="10"/>
      <c r="BH961" s="10"/>
      <c r="BI961" s="10"/>
      <c r="BJ961" s="10"/>
      <c r="BK961" s="10"/>
      <c r="BL961" s="10"/>
      <c r="BM961" s="10"/>
      <c r="BN961" s="10"/>
      <c r="BO961" s="10"/>
      <c r="BP961" s="10"/>
      <c r="BQ961" s="10"/>
      <c r="BR961" s="10"/>
      <c r="BS961" s="10"/>
      <c r="BT961" s="10"/>
    </row>
    <row r="962" spans="53:72" ht="18" x14ac:dyDescent="0.2">
      <c r="BA962" s="10"/>
      <c r="BB962" s="10"/>
      <c r="BC962" s="10"/>
      <c r="BD962" s="10"/>
      <c r="BE962" s="10"/>
      <c r="BF962" s="10"/>
      <c r="BG962" s="10"/>
      <c r="BH962" s="10"/>
      <c r="BI962" s="10"/>
      <c r="BJ962" s="10"/>
      <c r="BK962" s="10"/>
      <c r="BL962" s="10"/>
      <c r="BM962" s="10"/>
      <c r="BN962" s="10"/>
      <c r="BO962" s="10"/>
      <c r="BP962" s="10"/>
      <c r="BQ962" s="10"/>
      <c r="BR962" s="10"/>
      <c r="BS962" s="10"/>
      <c r="BT962" s="10"/>
    </row>
    <row r="963" spans="53:72" ht="18" x14ac:dyDescent="0.2">
      <c r="BA963" s="10"/>
      <c r="BB963" s="10"/>
      <c r="BC963" s="10"/>
      <c r="BD963" s="10"/>
      <c r="BE963" s="10"/>
      <c r="BF963" s="10"/>
      <c r="BG963" s="10"/>
      <c r="BH963" s="10"/>
      <c r="BI963" s="10"/>
      <c r="BJ963" s="10"/>
      <c r="BK963" s="10"/>
      <c r="BL963" s="10"/>
      <c r="BM963" s="10"/>
      <c r="BN963" s="10"/>
      <c r="BO963" s="10"/>
      <c r="BP963" s="10"/>
      <c r="BQ963" s="10"/>
      <c r="BR963" s="10"/>
      <c r="BS963" s="10"/>
      <c r="BT963" s="10"/>
    </row>
    <row r="964" spans="53:72" ht="18" x14ac:dyDescent="0.2">
      <c r="BA964" s="10"/>
      <c r="BB964" s="10"/>
      <c r="BC964" s="10"/>
      <c r="BD964" s="10"/>
      <c r="BE964" s="10"/>
      <c r="BF964" s="10"/>
      <c r="BG964" s="10"/>
      <c r="BH964" s="10"/>
      <c r="BI964" s="10"/>
      <c r="BJ964" s="10"/>
      <c r="BK964" s="10"/>
      <c r="BL964" s="10"/>
      <c r="BM964" s="10"/>
      <c r="BN964" s="10"/>
      <c r="BO964" s="10"/>
      <c r="BP964" s="10"/>
      <c r="BQ964" s="10"/>
      <c r="BR964" s="10"/>
      <c r="BS964" s="10"/>
      <c r="BT964" s="10"/>
    </row>
    <row r="965" spans="53:72" ht="18" x14ac:dyDescent="0.2">
      <c r="BA965" s="10"/>
      <c r="BB965" s="10"/>
      <c r="BC965" s="10"/>
      <c r="BD965" s="10"/>
      <c r="BE965" s="10"/>
      <c r="BF965" s="10"/>
      <c r="BG965" s="10"/>
      <c r="BH965" s="10"/>
      <c r="BI965" s="10"/>
      <c r="BJ965" s="10"/>
      <c r="BK965" s="10"/>
      <c r="BL965" s="10"/>
      <c r="BM965" s="10"/>
      <c r="BN965" s="10"/>
      <c r="BO965" s="10"/>
      <c r="BP965" s="10"/>
      <c r="BQ965" s="10"/>
      <c r="BR965" s="10"/>
      <c r="BS965" s="10"/>
      <c r="BT965" s="10"/>
    </row>
    <row r="966" spans="53:72" ht="18" x14ac:dyDescent="0.2">
      <c r="BA966" s="10"/>
      <c r="BB966" s="10"/>
      <c r="BC966" s="10"/>
      <c r="BD966" s="10"/>
      <c r="BE966" s="10"/>
      <c r="BF966" s="10"/>
      <c r="BG966" s="10"/>
      <c r="BH966" s="10"/>
      <c r="BI966" s="10"/>
      <c r="BJ966" s="10"/>
      <c r="BK966" s="10"/>
      <c r="BL966" s="10"/>
      <c r="BM966" s="10"/>
      <c r="BN966" s="10"/>
      <c r="BO966" s="10"/>
      <c r="BP966" s="10"/>
      <c r="BQ966" s="10"/>
      <c r="BR966" s="10"/>
      <c r="BS966" s="10"/>
      <c r="BT966" s="10"/>
    </row>
    <row r="967" spans="53:72" ht="18" x14ac:dyDescent="0.2">
      <c r="BA967" s="10"/>
      <c r="BB967" s="10"/>
      <c r="BC967" s="10"/>
      <c r="BD967" s="10"/>
      <c r="BE967" s="10"/>
      <c r="BF967" s="10"/>
      <c r="BG967" s="10"/>
      <c r="BH967" s="10"/>
      <c r="BI967" s="10"/>
      <c r="BJ967" s="10"/>
      <c r="BK967" s="10"/>
      <c r="BL967" s="10"/>
      <c r="BM967" s="10"/>
      <c r="BN967" s="10"/>
      <c r="BO967" s="10"/>
      <c r="BP967" s="10"/>
      <c r="BQ967" s="10"/>
      <c r="BR967" s="10"/>
      <c r="BS967" s="10"/>
      <c r="BT967" s="10"/>
    </row>
    <row r="968" spans="53:72" ht="18" x14ac:dyDescent="0.2">
      <c r="BA968" s="10"/>
      <c r="BB968" s="10"/>
      <c r="BC968" s="10"/>
      <c r="BD968" s="10"/>
      <c r="BE968" s="10"/>
      <c r="BF968" s="10"/>
      <c r="BG968" s="10"/>
      <c r="BH968" s="10"/>
      <c r="BI968" s="10"/>
      <c r="BJ968" s="10"/>
      <c r="BK968" s="10"/>
      <c r="BL968" s="10"/>
      <c r="BM968" s="10"/>
      <c r="BN968" s="10"/>
      <c r="BO968" s="10"/>
      <c r="BP968" s="10"/>
      <c r="BQ968" s="10"/>
      <c r="BR968" s="10"/>
      <c r="BS968" s="10"/>
      <c r="BT968" s="10"/>
    </row>
    <row r="969" spans="53:72" ht="18" x14ac:dyDescent="0.2">
      <c r="BA969" s="10"/>
      <c r="BB969" s="10"/>
      <c r="BC969" s="10"/>
      <c r="BD969" s="10"/>
      <c r="BE969" s="10"/>
      <c r="BF969" s="10"/>
      <c r="BG969" s="10"/>
      <c r="BH969" s="10"/>
      <c r="BI969" s="10"/>
      <c r="BJ969" s="10"/>
      <c r="BK969" s="10"/>
      <c r="BL969" s="10"/>
      <c r="BM969" s="10"/>
      <c r="BN969" s="10"/>
      <c r="BO969" s="10"/>
      <c r="BP969" s="10"/>
      <c r="BQ969" s="10"/>
      <c r="BR969" s="10"/>
      <c r="BS969" s="10"/>
      <c r="BT969" s="10"/>
    </row>
    <row r="970" spans="53:72" ht="18" x14ac:dyDescent="0.2">
      <c r="BA970" s="10"/>
      <c r="BB970" s="10"/>
      <c r="BC970" s="10"/>
      <c r="BD970" s="10"/>
      <c r="BE970" s="10"/>
      <c r="BF970" s="10"/>
      <c r="BG970" s="10"/>
      <c r="BH970" s="10"/>
      <c r="BI970" s="10"/>
      <c r="BJ970" s="10"/>
      <c r="BK970" s="10"/>
      <c r="BL970" s="10"/>
      <c r="BM970" s="10"/>
      <c r="BN970" s="10"/>
      <c r="BO970" s="10"/>
      <c r="BP970" s="10"/>
      <c r="BQ970" s="10"/>
      <c r="BR970" s="10"/>
      <c r="BS970" s="10"/>
      <c r="BT970" s="10"/>
    </row>
    <row r="971" spans="53:72" ht="18" x14ac:dyDescent="0.2">
      <c r="BA971" s="10"/>
      <c r="BB971" s="10"/>
      <c r="BC971" s="10"/>
      <c r="BD971" s="10"/>
      <c r="BE971" s="10"/>
      <c r="BF971" s="10"/>
      <c r="BG971" s="10"/>
      <c r="BH971" s="10"/>
      <c r="BI971" s="10"/>
      <c r="BJ971" s="10"/>
      <c r="BK971" s="10"/>
      <c r="BL971" s="10"/>
      <c r="BM971" s="10"/>
      <c r="BN971" s="10"/>
      <c r="BO971" s="10"/>
      <c r="BP971" s="10"/>
      <c r="BQ971" s="10"/>
      <c r="BR971" s="10"/>
      <c r="BS971" s="10"/>
      <c r="BT971" s="10"/>
    </row>
    <row r="972" spans="53:72" ht="18" x14ac:dyDescent="0.2">
      <c r="BA972" s="10"/>
      <c r="BB972" s="10"/>
      <c r="BC972" s="10"/>
      <c r="BD972" s="10"/>
      <c r="BE972" s="10"/>
      <c r="BF972" s="10"/>
      <c r="BG972" s="10"/>
      <c r="BH972" s="10"/>
      <c r="BI972" s="10"/>
      <c r="BJ972" s="10"/>
      <c r="BK972" s="10"/>
      <c r="BL972" s="10"/>
      <c r="BM972" s="10"/>
      <c r="BN972" s="10"/>
      <c r="BO972" s="10"/>
      <c r="BP972" s="10"/>
      <c r="BQ972" s="10"/>
      <c r="BR972" s="10"/>
      <c r="BS972" s="10"/>
      <c r="BT972" s="10"/>
    </row>
    <row r="973" spans="53:72" ht="18" x14ac:dyDescent="0.2">
      <c r="BA973" s="10"/>
      <c r="BB973" s="10"/>
      <c r="BC973" s="10"/>
      <c r="BD973" s="10"/>
      <c r="BE973" s="10"/>
      <c r="BF973" s="10"/>
      <c r="BG973" s="10"/>
      <c r="BH973" s="10"/>
      <c r="BI973" s="10"/>
      <c r="BJ973" s="10"/>
      <c r="BK973" s="10"/>
      <c r="BL973" s="10"/>
      <c r="BM973" s="10"/>
      <c r="BN973" s="10"/>
      <c r="BO973" s="10"/>
      <c r="BP973" s="10"/>
      <c r="BQ973" s="10"/>
      <c r="BR973" s="10"/>
      <c r="BS973" s="10"/>
      <c r="BT973" s="10"/>
    </row>
    <row r="974" spans="53:72" ht="18" x14ac:dyDescent="0.2">
      <c r="BA974" s="10"/>
      <c r="BB974" s="10"/>
      <c r="BC974" s="10"/>
      <c r="BD974" s="10"/>
      <c r="BE974" s="10"/>
      <c r="BF974" s="10"/>
      <c r="BG974" s="10"/>
      <c r="BH974" s="10"/>
      <c r="BI974" s="10"/>
      <c r="BJ974" s="10"/>
      <c r="BK974" s="10"/>
      <c r="BL974" s="10"/>
      <c r="BM974" s="10"/>
      <c r="BN974" s="10"/>
      <c r="BO974" s="10"/>
      <c r="BP974" s="10"/>
      <c r="BQ974" s="10"/>
      <c r="BR974" s="10"/>
      <c r="BS974" s="10"/>
      <c r="BT974" s="10"/>
    </row>
    <row r="975" spans="53:72" ht="18" x14ac:dyDescent="0.2">
      <c r="BA975" s="10"/>
      <c r="BB975" s="10"/>
      <c r="BC975" s="10"/>
      <c r="BD975" s="10"/>
      <c r="BE975" s="10"/>
      <c r="BF975" s="10"/>
      <c r="BG975" s="10"/>
      <c r="BH975" s="10"/>
      <c r="BI975" s="10"/>
      <c r="BJ975" s="10"/>
      <c r="BK975" s="10"/>
      <c r="BL975" s="10"/>
      <c r="BM975" s="10"/>
      <c r="BN975" s="10"/>
      <c r="BO975" s="10"/>
      <c r="BP975" s="10"/>
      <c r="BQ975" s="10"/>
      <c r="BR975" s="10"/>
      <c r="BS975" s="10"/>
      <c r="BT975" s="10"/>
    </row>
    <row r="976" spans="53:72" ht="18" x14ac:dyDescent="0.2">
      <c r="BA976" s="10"/>
      <c r="BB976" s="10"/>
      <c r="BC976" s="10"/>
      <c r="BD976" s="10"/>
      <c r="BE976" s="10"/>
      <c r="BF976" s="10"/>
      <c r="BG976" s="10"/>
      <c r="BH976" s="10"/>
      <c r="BI976" s="10"/>
      <c r="BJ976" s="10"/>
      <c r="BK976" s="10"/>
      <c r="BL976" s="10"/>
      <c r="BM976" s="10"/>
      <c r="BN976" s="10"/>
      <c r="BO976" s="10"/>
      <c r="BP976" s="10"/>
      <c r="BQ976" s="10"/>
      <c r="BR976" s="10"/>
      <c r="BS976" s="10"/>
      <c r="BT976" s="10"/>
    </row>
    <row r="977" spans="53:72" ht="18" x14ac:dyDescent="0.2">
      <c r="BA977" s="10"/>
      <c r="BB977" s="10"/>
      <c r="BC977" s="10"/>
      <c r="BD977" s="10"/>
      <c r="BE977" s="10"/>
      <c r="BF977" s="10"/>
      <c r="BG977" s="10"/>
      <c r="BH977" s="10"/>
      <c r="BI977" s="10"/>
      <c r="BJ977" s="10"/>
      <c r="BK977" s="10"/>
      <c r="BL977" s="10"/>
      <c r="BM977" s="10"/>
      <c r="BN977" s="10"/>
      <c r="BO977" s="10"/>
      <c r="BP977" s="10"/>
      <c r="BQ977" s="10"/>
      <c r="BR977" s="10"/>
      <c r="BS977" s="10"/>
      <c r="BT977" s="10"/>
    </row>
    <row r="978" spans="53:72" ht="18" x14ac:dyDescent="0.2">
      <c r="BA978" s="10"/>
      <c r="BB978" s="10"/>
      <c r="BC978" s="10"/>
      <c r="BD978" s="10"/>
      <c r="BE978" s="10"/>
      <c r="BF978" s="10"/>
      <c r="BG978" s="10"/>
      <c r="BH978" s="10"/>
      <c r="BI978" s="10"/>
      <c r="BJ978" s="10"/>
      <c r="BK978" s="10"/>
      <c r="BL978" s="10"/>
      <c r="BM978" s="10"/>
      <c r="BN978" s="10"/>
      <c r="BO978" s="10"/>
      <c r="BP978" s="10"/>
      <c r="BQ978" s="10"/>
      <c r="BR978" s="10"/>
      <c r="BS978" s="10"/>
      <c r="BT978" s="10"/>
    </row>
    <row r="979" spans="53:72" ht="18" x14ac:dyDescent="0.2">
      <c r="BA979" s="10"/>
      <c r="BB979" s="10"/>
      <c r="BC979" s="10"/>
      <c r="BD979" s="10"/>
      <c r="BE979" s="10"/>
      <c r="BF979" s="10"/>
      <c r="BG979" s="10"/>
      <c r="BH979" s="10"/>
      <c r="BI979" s="10"/>
      <c r="BJ979" s="10"/>
      <c r="BK979" s="10"/>
      <c r="BL979" s="10"/>
      <c r="BM979" s="10"/>
      <c r="BN979" s="10"/>
      <c r="BO979" s="10"/>
      <c r="BP979" s="10"/>
      <c r="BQ979" s="10"/>
      <c r="BR979" s="10"/>
      <c r="BS979" s="10"/>
      <c r="BT979" s="10"/>
    </row>
    <row r="980" spans="53:72" ht="18" x14ac:dyDescent="0.2">
      <c r="BA980" s="10"/>
      <c r="BB980" s="10"/>
      <c r="BC980" s="10"/>
      <c r="BD980" s="10"/>
      <c r="BE980" s="10"/>
      <c r="BF980" s="10"/>
      <c r="BG980" s="10"/>
      <c r="BH980" s="10"/>
      <c r="BI980" s="10"/>
      <c r="BJ980" s="10"/>
      <c r="BK980" s="10"/>
      <c r="BL980" s="10"/>
      <c r="BM980" s="10"/>
      <c r="BN980" s="10"/>
      <c r="BO980" s="10"/>
      <c r="BP980" s="10"/>
      <c r="BQ980" s="10"/>
      <c r="BR980" s="10"/>
      <c r="BS980" s="10"/>
      <c r="BT980" s="10"/>
    </row>
    <row r="981" spans="53:72" ht="18" x14ac:dyDescent="0.2">
      <c r="BA981" s="10"/>
      <c r="BB981" s="10"/>
      <c r="BC981" s="10"/>
      <c r="BD981" s="10"/>
      <c r="BE981" s="10"/>
      <c r="BF981" s="10"/>
      <c r="BG981" s="10"/>
      <c r="BH981" s="10"/>
      <c r="BI981" s="10"/>
      <c r="BJ981" s="10"/>
      <c r="BK981" s="10"/>
      <c r="BL981" s="10"/>
      <c r="BM981" s="10"/>
      <c r="BN981" s="10"/>
      <c r="BO981" s="10"/>
      <c r="BP981" s="10"/>
      <c r="BQ981" s="10"/>
      <c r="BR981" s="10"/>
      <c r="BS981" s="10"/>
      <c r="BT981" s="10"/>
    </row>
    <row r="982" spans="53:72" ht="18" x14ac:dyDescent="0.2">
      <c r="BA982" s="10"/>
      <c r="BB982" s="10"/>
      <c r="BC982" s="10"/>
      <c r="BD982" s="10"/>
      <c r="BE982" s="10"/>
      <c r="BF982" s="10"/>
      <c r="BG982" s="10"/>
      <c r="BH982" s="10"/>
      <c r="BI982" s="10"/>
      <c r="BJ982" s="10"/>
      <c r="BK982" s="10"/>
      <c r="BL982" s="10"/>
      <c r="BM982" s="10"/>
      <c r="BN982" s="10"/>
      <c r="BO982" s="10"/>
      <c r="BP982" s="10"/>
      <c r="BQ982" s="10"/>
      <c r="BR982" s="10"/>
      <c r="BS982" s="10"/>
      <c r="BT982" s="10"/>
    </row>
    <row r="983" spans="53:72" ht="18" x14ac:dyDescent="0.2">
      <c r="BA983" s="10"/>
      <c r="BB983" s="10"/>
      <c r="BC983" s="10"/>
      <c r="BD983" s="10"/>
      <c r="BE983" s="10"/>
      <c r="BF983" s="10"/>
      <c r="BG983" s="10"/>
      <c r="BH983" s="10"/>
      <c r="BI983" s="10"/>
      <c r="BJ983" s="10"/>
      <c r="BK983" s="10"/>
      <c r="BL983" s="10"/>
      <c r="BM983" s="10"/>
      <c r="BN983" s="10"/>
      <c r="BO983" s="10"/>
      <c r="BP983" s="10"/>
      <c r="BQ983" s="10"/>
      <c r="BR983" s="10"/>
      <c r="BS983" s="10"/>
      <c r="BT983" s="10"/>
    </row>
    <row r="984" spans="53:72" ht="18" x14ac:dyDescent="0.2">
      <c r="BA984" s="10"/>
      <c r="BB984" s="10"/>
      <c r="BC984" s="10"/>
      <c r="BD984" s="10"/>
      <c r="BE984" s="10"/>
      <c r="BF984" s="10"/>
      <c r="BG984" s="10"/>
      <c r="BH984" s="10"/>
      <c r="BI984" s="10"/>
      <c r="BJ984" s="10"/>
      <c r="BK984" s="10"/>
      <c r="BL984" s="10"/>
      <c r="BM984" s="10"/>
      <c r="BN984" s="10"/>
      <c r="BO984" s="10"/>
      <c r="BP984" s="10"/>
      <c r="BQ984" s="10"/>
      <c r="BR984" s="10"/>
      <c r="BS984" s="10"/>
      <c r="BT984" s="10"/>
    </row>
    <row r="985" spans="53:72" ht="18" x14ac:dyDescent="0.2">
      <c r="BA985" s="10"/>
      <c r="BB985" s="10"/>
      <c r="BC985" s="10"/>
      <c r="BD985" s="10"/>
      <c r="BE985" s="10"/>
      <c r="BF985" s="10"/>
      <c r="BG985" s="10"/>
      <c r="BH985" s="10"/>
      <c r="BI985" s="10"/>
      <c r="BJ985" s="10"/>
      <c r="BK985" s="10"/>
      <c r="BL985" s="10"/>
      <c r="BM985" s="10"/>
      <c r="BN985" s="10"/>
      <c r="BO985" s="10"/>
      <c r="BP985" s="10"/>
      <c r="BQ985" s="10"/>
      <c r="BR985" s="10"/>
      <c r="BS985" s="10"/>
      <c r="BT985" s="10"/>
    </row>
    <row r="986" spans="53:72" ht="18" x14ac:dyDescent="0.2">
      <c r="BA986" s="10"/>
      <c r="BB986" s="10"/>
      <c r="BC986" s="10"/>
      <c r="BD986" s="10"/>
      <c r="BE986" s="10"/>
      <c r="BF986" s="10"/>
      <c r="BG986" s="10"/>
      <c r="BH986" s="10"/>
      <c r="BI986" s="10"/>
      <c r="BJ986" s="10"/>
      <c r="BK986" s="10"/>
      <c r="BL986" s="10"/>
      <c r="BM986" s="10"/>
      <c r="BN986" s="10"/>
      <c r="BO986" s="10"/>
      <c r="BP986" s="10"/>
      <c r="BQ986" s="10"/>
      <c r="BR986" s="10"/>
      <c r="BS986" s="10"/>
      <c r="BT986" s="10"/>
    </row>
    <row r="987" spans="53:72" ht="18" x14ac:dyDescent="0.2">
      <c r="BA987" s="10"/>
      <c r="BB987" s="10"/>
      <c r="BC987" s="10"/>
      <c r="BD987" s="10"/>
      <c r="BE987" s="10"/>
      <c r="BF987" s="10"/>
      <c r="BG987" s="10"/>
      <c r="BH987" s="10"/>
      <c r="BI987" s="10"/>
      <c r="BJ987" s="10"/>
      <c r="BK987" s="10"/>
      <c r="BL987" s="10"/>
      <c r="BM987" s="10"/>
      <c r="BN987" s="10"/>
      <c r="BO987" s="10"/>
      <c r="BP987" s="10"/>
      <c r="BQ987" s="10"/>
      <c r="BR987" s="10"/>
      <c r="BS987" s="10"/>
      <c r="BT987" s="10"/>
    </row>
    <row r="988" spans="53:72" ht="18" x14ac:dyDescent="0.2">
      <c r="BA988" s="10"/>
      <c r="BB988" s="10"/>
      <c r="BC988" s="10"/>
      <c r="BD988" s="10"/>
      <c r="BE988" s="10"/>
      <c r="BF988" s="10"/>
      <c r="BG988" s="10"/>
      <c r="BH988" s="10"/>
      <c r="BI988" s="10"/>
      <c r="BJ988" s="10"/>
      <c r="BK988" s="10"/>
      <c r="BL988" s="10"/>
      <c r="BM988" s="10"/>
      <c r="BN988" s="10"/>
      <c r="BO988" s="10"/>
      <c r="BP988" s="10"/>
      <c r="BQ988" s="10"/>
      <c r="BR988" s="10"/>
      <c r="BS988" s="10"/>
      <c r="BT988" s="10"/>
    </row>
    <row r="989" spans="53:72" ht="18" x14ac:dyDescent="0.2">
      <c r="BA989" s="10"/>
      <c r="BB989" s="10"/>
      <c r="BC989" s="10"/>
      <c r="BD989" s="10"/>
      <c r="BE989" s="10"/>
      <c r="BF989" s="10"/>
      <c r="BG989" s="10"/>
      <c r="BH989" s="10"/>
      <c r="BI989" s="10"/>
      <c r="BJ989" s="10"/>
      <c r="BK989" s="10"/>
      <c r="BL989" s="10"/>
      <c r="BM989" s="10"/>
      <c r="BN989" s="10"/>
      <c r="BO989" s="10"/>
      <c r="BP989" s="10"/>
      <c r="BQ989" s="10"/>
      <c r="BR989" s="10"/>
      <c r="BS989" s="10"/>
      <c r="BT989" s="10"/>
    </row>
    <row r="990" spans="53:72" ht="18" x14ac:dyDescent="0.2">
      <c r="BA990" s="10"/>
      <c r="BB990" s="10"/>
      <c r="BC990" s="10"/>
      <c r="BD990" s="10"/>
      <c r="BE990" s="10"/>
      <c r="BF990" s="10"/>
      <c r="BG990" s="10"/>
      <c r="BH990" s="10"/>
      <c r="BI990" s="10"/>
      <c r="BJ990" s="10"/>
      <c r="BK990" s="10"/>
      <c r="BL990" s="10"/>
      <c r="BM990" s="10"/>
      <c r="BN990" s="10"/>
      <c r="BO990" s="10"/>
      <c r="BP990" s="10"/>
      <c r="BQ990" s="10"/>
      <c r="BR990" s="10"/>
      <c r="BS990" s="10"/>
      <c r="BT990" s="10"/>
    </row>
    <row r="991" spans="53:72" ht="18" x14ac:dyDescent="0.2">
      <c r="BA991" s="10"/>
      <c r="BB991" s="10"/>
      <c r="BC991" s="10"/>
      <c r="BD991" s="10"/>
      <c r="BE991" s="10"/>
      <c r="BF991" s="10"/>
      <c r="BG991" s="10"/>
      <c r="BH991" s="10"/>
      <c r="BI991" s="10"/>
      <c r="BJ991" s="10"/>
      <c r="BK991" s="10"/>
      <c r="BL991" s="10"/>
      <c r="BM991" s="10"/>
      <c r="BN991" s="10"/>
      <c r="BO991" s="10"/>
      <c r="BP991" s="10"/>
      <c r="BQ991" s="10"/>
      <c r="BR991" s="10"/>
      <c r="BS991" s="10"/>
      <c r="BT991" s="10"/>
    </row>
  </sheetData>
  <sheetProtection algorithmName="SHA-512" hashValue="ITnM2bHanxMXyarjnec3EqL1cmaLrL6lQI6FMhLeknmbwUcMyyeyuz021V070qbalL7yTxfXd2DujJe3Byd1rg==" saltValue="F1J2kGdhj1MhEq95uYVz3A==" spinCount="100000" sheet="1"/>
  <phoneticPr fontId="0" type="noConversion"/>
  <printOptions horizontalCentered="1"/>
  <pageMargins left="0.78740157480314965" right="0.59055118110236227" top="0.98425196850393704" bottom="0.78740157480314965" header="0.51181102362204722" footer="0.51181102362204722"/>
  <pageSetup paperSize="9" scale="59" orientation="portrait" r:id="rId1"/>
  <headerFooter alignWithMargins="0">
    <oddHeader>&amp;L&amp;"Verdana,Standard"&amp;10ÖSTERREICHISCHES FILMINSTITUT&amp;R&amp;"Verdana,Standard"&amp;10Kalkulationshilfe  2023
Version 23.1</oddHeader>
    <oddFooter>&amp;L&amp;"Verdana,Standard"&amp;10Ausdruck vom &amp;D&amp;R&amp;"Verdana,Standard"&amp;10Seite &amp;P von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3"/>
  <dimension ref="A1:X53"/>
  <sheetViews>
    <sheetView zoomScale="97" zoomScaleNormal="97" workbookViewId="0">
      <selection activeCell="N61" sqref="N61"/>
    </sheetView>
  </sheetViews>
  <sheetFormatPr baseColWidth="10" defaultRowHeight="12.75" x14ac:dyDescent="0.2"/>
  <sheetData>
    <row r="1" spans="1:24" x14ac:dyDescent="0.2">
      <c r="A1" s="112"/>
      <c r="B1" s="112"/>
      <c r="C1" s="112"/>
      <c r="D1" s="112"/>
      <c r="E1" s="112"/>
      <c r="F1" s="112"/>
      <c r="G1" s="112"/>
      <c r="H1" s="112"/>
      <c r="I1" s="112"/>
      <c r="J1" s="112"/>
      <c r="K1" s="112"/>
      <c r="L1" s="112"/>
      <c r="M1" s="112"/>
      <c r="N1" s="112"/>
      <c r="O1" s="112"/>
      <c r="P1" s="112"/>
      <c r="Q1" s="112"/>
      <c r="R1" s="112"/>
      <c r="S1" s="112"/>
      <c r="T1" s="112"/>
      <c r="U1" s="112"/>
      <c r="V1" s="112"/>
      <c r="W1" s="112"/>
      <c r="X1" s="112"/>
    </row>
    <row r="2" spans="1:24" x14ac:dyDescent="0.2">
      <c r="A2" s="112"/>
      <c r="B2" s="112"/>
      <c r="C2" s="112"/>
      <c r="D2" s="112"/>
      <c r="E2" s="112"/>
      <c r="F2" s="112"/>
      <c r="G2" s="112"/>
      <c r="H2" s="112"/>
      <c r="I2" s="112"/>
      <c r="J2" s="112"/>
      <c r="K2" s="112"/>
      <c r="L2" s="112"/>
      <c r="M2" s="112"/>
      <c r="N2" s="112"/>
      <c r="O2" s="112"/>
      <c r="P2" s="112"/>
      <c r="Q2" s="112"/>
      <c r="R2" s="112"/>
      <c r="S2" s="112"/>
      <c r="T2" s="112"/>
      <c r="U2" s="112"/>
      <c r="V2" s="112"/>
      <c r="W2" s="112"/>
      <c r="X2" s="112"/>
    </row>
    <row r="3" spans="1:24" x14ac:dyDescent="0.2">
      <c r="A3" s="112"/>
      <c r="B3" s="112"/>
      <c r="C3" s="112"/>
      <c r="D3" s="112"/>
      <c r="E3" s="112"/>
      <c r="F3" s="112"/>
      <c r="G3" s="112"/>
      <c r="H3" s="112"/>
      <c r="I3" s="112"/>
      <c r="J3" s="112"/>
      <c r="K3" s="112"/>
      <c r="L3" s="112"/>
      <c r="M3" s="112"/>
      <c r="N3" s="112"/>
      <c r="O3" s="112"/>
      <c r="P3" s="112"/>
      <c r="Q3" s="112"/>
      <c r="R3" s="112"/>
      <c r="S3" s="112"/>
      <c r="T3" s="112"/>
      <c r="U3" s="112"/>
      <c r="V3" s="112"/>
      <c r="W3" s="112"/>
      <c r="X3" s="112"/>
    </row>
    <row r="4" spans="1:24" x14ac:dyDescent="0.2">
      <c r="A4" s="112"/>
      <c r="B4" s="112"/>
      <c r="C4" s="112"/>
      <c r="D4" s="112"/>
      <c r="E4" s="112"/>
      <c r="F4" s="112"/>
      <c r="G4" s="112"/>
      <c r="H4" s="112"/>
      <c r="I4" s="112"/>
      <c r="J4" s="112"/>
      <c r="K4" s="112"/>
      <c r="L4" s="112"/>
      <c r="M4" s="112"/>
      <c r="N4" s="112"/>
      <c r="O4" s="112"/>
      <c r="P4" s="112"/>
      <c r="Q4" s="112"/>
      <c r="R4" s="112"/>
      <c r="S4" s="112"/>
      <c r="T4" s="112"/>
      <c r="U4" s="112"/>
      <c r="V4" s="112"/>
      <c r="W4" s="112"/>
      <c r="X4" s="112"/>
    </row>
    <row r="5" spans="1:24" x14ac:dyDescent="0.2">
      <c r="A5" s="112"/>
      <c r="B5" s="112"/>
      <c r="C5" s="112"/>
      <c r="D5" s="112"/>
      <c r="E5" s="112"/>
      <c r="F5" s="112"/>
      <c r="G5" s="112"/>
      <c r="H5" s="112"/>
      <c r="I5" s="112"/>
      <c r="J5" s="112"/>
      <c r="K5" s="112"/>
      <c r="L5" s="112"/>
      <c r="M5" s="112"/>
      <c r="N5" s="112"/>
      <c r="O5" s="112"/>
      <c r="P5" s="112"/>
      <c r="Q5" s="112"/>
      <c r="R5" s="112"/>
      <c r="S5" s="112"/>
      <c r="T5" s="112"/>
      <c r="U5" s="112"/>
      <c r="V5" s="112"/>
      <c r="W5" s="112"/>
      <c r="X5" s="112"/>
    </row>
    <row r="6" spans="1:24" x14ac:dyDescent="0.2">
      <c r="A6" s="112"/>
      <c r="B6" s="112"/>
      <c r="C6" s="112"/>
      <c r="D6" s="112"/>
      <c r="E6" s="112"/>
      <c r="F6" s="112"/>
      <c r="G6" s="112"/>
      <c r="H6" s="112"/>
      <c r="I6" s="112"/>
      <c r="J6" s="112"/>
      <c r="K6" s="112"/>
      <c r="L6" s="112"/>
      <c r="M6" s="112"/>
      <c r="N6" s="112"/>
      <c r="O6" s="112"/>
      <c r="P6" s="112"/>
      <c r="Q6" s="112"/>
      <c r="R6" s="112"/>
      <c r="S6" s="112"/>
      <c r="T6" s="112"/>
      <c r="U6" s="112"/>
      <c r="V6" s="112"/>
      <c r="W6" s="112"/>
      <c r="X6" s="112"/>
    </row>
    <row r="7" spans="1:24" x14ac:dyDescent="0.2">
      <c r="A7" s="112"/>
      <c r="B7" s="112"/>
      <c r="C7" s="112"/>
      <c r="D7" s="112"/>
      <c r="E7" s="112"/>
      <c r="F7" s="112"/>
      <c r="G7" s="112"/>
      <c r="H7" s="112"/>
      <c r="I7" s="112"/>
      <c r="J7" s="112"/>
      <c r="K7" s="112"/>
      <c r="L7" s="112"/>
      <c r="M7" s="112"/>
      <c r="N7" s="112"/>
      <c r="O7" s="112"/>
      <c r="P7" s="112"/>
      <c r="Q7" s="112"/>
      <c r="R7" s="112"/>
      <c r="S7" s="112"/>
      <c r="T7" s="112"/>
      <c r="U7" s="112"/>
      <c r="V7" s="112"/>
      <c r="W7" s="112"/>
      <c r="X7" s="112"/>
    </row>
    <row r="8" spans="1:24" x14ac:dyDescent="0.2">
      <c r="A8" s="112"/>
      <c r="B8" s="112"/>
      <c r="C8" s="112"/>
      <c r="D8" s="112"/>
      <c r="E8" s="112"/>
      <c r="F8" s="112"/>
      <c r="G8" s="112"/>
      <c r="H8" s="112"/>
      <c r="I8" s="112"/>
      <c r="J8" s="112"/>
      <c r="K8" s="112"/>
      <c r="L8" s="112"/>
      <c r="M8" s="112"/>
      <c r="N8" s="112"/>
      <c r="O8" s="112"/>
      <c r="P8" s="112"/>
      <c r="Q8" s="112"/>
      <c r="R8" s="112"/>
      <c r="S8" s="112"/>
      <c r="T8" s="112"/>
      <c r="U8" s="112"/>
      <c r="V8" s="112"/>
      <c r="W8" s="112"/>
      <c r="X8" s="112"/>
    </row>
    <row r="9" spans="1:24" x14ac:dyDescent="0.2">
      <c r="A9" s="112"/>
      <c r="B9" s="112"/>
      <c r="C9" s="112"/>
      <c r="D9" s="112"/>
      <c r="E9" s="112"/>
      <c r="F9" s="112"/>
      <c r="G9" s="112"/>
      <c r="H9" s="112"/>
      <c r="I9" s="112"/>
      <c r="J9" s="112"/>
      <c r="K9" s="112"/>
      <c r="L9" s="112"/>
      <c r="M9" s="112"/>
      <c r="N9" s="112"/>
      <c r="O9" s="112"/>
      <c r="P9" s="112"/>
      <c r="Q9" s="112"/>
      <c r="R9" s="112"/>
      <c r="S9" s="112"/>
      <c r="T9" s="112"/>
      <c r="U9" s="112"/>
      <c r="V9" s="112"/>
      <c r="W9" s="112"/>
      <c r="X9" s="112"/>
    </row>
    <row r="10" spans="1:24" x14ac:dyDescent="0.2">
      <c r="A10" s="112"/>
      <c r="B10" s="112"/>
      <c r="C10" s="112"/>
      <c r="D10" s="112"/>
      <c r="E10" s="112"/>
      <c r="F10" s="112"/>
      <c r="G10" s="112"/>
      <c r="H10" s="112"/>
      <c r="I10" s="112"/>
      <c r="J10" s="112"/>
      <c r="K10" s="112"/>
      <c r="L10" s="112"/>
      <c r="M10" s="112"/>
      <c r="N10" s="112"/>
      <c r="O10" s="112"/>
      <c r="P10" s="112"/>
      <c r="Q10" s="112"/>
      <c r="R10" s="112"/>
      <c r="S10" s="112"/>
      <c r="T10" s="112"/>
      <c r="U10" s="112"/>
      <c r="V10" s="112"/>
      <c r="W10" s="112"/>
      <c r="X10" s="112"/>
    </row>
    <row r="11" spans="1:24" x14ac:dyDescent="0.2">
      <c r="A11" s="112"/>
      <c r="B11" s="112"/>
      <c r="C11" s="112"/>
      <c r="D11" s="112"/>
      <c r="E11" s="112"/>
      <c r="F11" s="112"/>
      <c r="G11" s="112"/>
      <c r="H11" s="112"/>
      <c r="I11" s="112"/>
      <c r="J11" s="112"/>
      <c r="K11" s="112"/>
      <c r="L11" s="112"/>
      <c r="M11" s="112"/>
      <c r="N11" s="112"/>
      <c r="O11" s="112"/>
      <c r="P11" s="112"/>
      <c r="Q11" s="112"/>
      <c r="R11" s="112"/>
      <c r="S11" s="112"/>
      <c r="T11" s="112"/>
      <c r="U11" s="112"/>
      <c r="V11" s="112"/>
      <c r="W11" s="112"/>
      <c r="X11" s="112"/>
    </row>
    <row r="12" spans="1:24" x14ac:dyDescent="0.2">
      <c r="A12" s="112"/>
      <c r="B12" s="112"/>
      <c r="C12" s="112"/>
      <c r="D12" s="112"/>
      <c r="E12" s="112"/>
      <c r="F12" s="112"/>
      <c r="G12" s="112"/>
      <c r="H12" s="112"/>
      <c r="I12" s="112"/>
      <c r="J12" s="112"/>
      <c r="K12" s="112"/>
      <c r="L12" s="112"/>
      <c r="M12" s="112"/>
      <c r="N12" s="112"/>
      <c r="O12" s="112"/>
      <c r="P12" s="112"/>
      <c r="Q12" s="112"/>
      <c r="R12" s="112"/>
      <c r="S12" s="112"/>
      <c r="T12" s="112"/>
      <c r="U12" s="112"/>
      <c r="V12" s="112"/>
      <c r="W12" s="112"/>
      <c r="X12" s="112"/>
    </row>
    <row r="13" spans="1:24" x14ac:dyDescent="0.2">
      <c r="A13" s="112"/>
      <c r="B13" s="112"/>
      <c r="C13" s="112"/>
      <c r="D13" s="112"/>
      <c r="E13" s="112"/>
      <c r="F13" s="112"/>
      <c r="G13" s="112"/>
      <c r="H13" s="112"/>
      <c r="I13" s="112"/>
      <c r="J13" s="112"/>
      <c r="K13" s="112"/>
      <c r="L13" s="112"/>
      <c r="M13" s="112"/>
      <c r="N13" s="112"/>
      <c r="O13" s="112"/>
      <c r="P13" s="112"/>
      <c r="Q13" s="112"/>
      <c r="R13" s="112"/>
      <c r="S13" s="112"/>
      <c r="T13" s="112"/>
      <c r="U13" s="112"/>
      <c r="V13" s="112"/>
      <c r="W13" s="112"/>
      <c r="X13" s="112"/>
    </row>
    <row r="14" spans="1:24" x14ac:dyDescent="0.2">
      <c r="A14" s="112"/>
      <c r="B14" s="112"/>
      <c r="C14" s="112"/>
      <c r="D14" s="112"/>
      <c r="E14" s="112"/>
      <c r="F14" s="112"/>
      <c r="G14" s="112"/>
      <c r="H14" s="112"/>
      <c r="I14" s="112"/>
      <c r="J14" s="112"/>
      <c r="K14" s="112"/>
      <c r="L14" s="112"/>
      <c r="M14" s="112"/>
      <c r="N14" s="112"/>
      <c r="O14" s="112"/>
      <c r="P14" s="112"/>
      <c r="Q14" s="112"/>
      <c r="R14" s="112"/>
      <c r="S14" s="112"/>
      <c r="T14" s="112"/>
      <c r="U14" s="112"/>
      <c r="V14" s="112"/>
      <c r="W14" s="112"/>
      <c r="X14" s="112"/>
    </row>
    <row r="15" spans="1:24" x14ac:dyDescent="0.2">
      <c r="A15" s="112"/>
      <c r="B15" s="112"/>
      <c r="C15" s="112"/>
      <c r="D15" s="112"/>
      <c r="E15" s="112"/>
      <c r="F15" s="112"/>
      <c r="G15" s="112"/>
      <c r="H15" s="112"/>
      <c r="I15" s="112"/>
      <c r="J15" s="112"/>
      <c r="K15" s="112"/>
      <c r="L15" s="112"/>
      <c r="M15" s="112"/>
      <c r="N15" s="112"/>
      <c r="O15" s="112"/>
      <c r="P15" s="112"/>
      <c r="Q15" s="112"/>
      <c r="R15" s="112"/>
      <c r="S15" s="112"/>
      <c r="T15" s="112"/>
      <c r="U15" s="112"/>
      <c r="V15" s="112"/>
      <c r="W15" s="112"/>
      <c r="X15" s="112"/>
    </row>
    <row r="16" spans="1:24" x14ac:dyDescent="0.2">
      <c r="A16" s="112"/>
      <c r="B16" s="112"/>
      <c r="C16" s="112"/>
      <c r="D16" s="112"/>
      <c r="E16" s="112"/>
      <c r="F16" s="112"/>
      <c r="G16" s="112"/>
      <c r="H16" s="112"/>
      <c r="I16" s="112"/>
      <c r="J16" s="112"/>
      <c r="K16" s="112"/>
      <c r="L16" s="112"/>
      <c r="M16" s="112"/>
      <c r="N16" s="112"/>
      <c r="O16" s="112"/>
      <c r="P16" s="112"/>
      <c r="Q16" s="112"/>
      <c r="R16" s="112"/>
      <c r="S16" s="112"/>
      <c r="T16" s="112"/>
      <c r="U16" s="112"/>
      <c r="V16" s="112"/>
      <c r="W16" s="112"/>
      <c r="X16" s="112"/>
    </row>
    <row r="17" spans="1:24" x14ac:dyDescent="0.2">
      <c r="A17" s="112"/>
      <c r="B17" s="112"/>
      <c r="C17" s="112"/>
      <c r="D17" s="112"/>
      <c r="E17" s="112"/>
      <c r="F17" s="112"/>
      <c r="G17" s="112"/>
      <c r="H17" s="112"/>
      <c r="I17" s="112"/>
      <c r="J17" s="112"/>
      <c r="K17" s="112"/>
      <c r="L17" s="112"/>
      <c r="M17" s="112"/>
      <c r="N17" s="112"/>
      <c r="O17" s="112"/>
      <c r="P17" s="112"/>
      <c r="Q17" s="112"/>
      <c r="R17" s="112"/>
      <c r="S17" s="112"/>
      <c r="T17" s="112"/>
      <c r="U17" s="112"/>
      <c r="V17" s="112"/>
      <c r="W17" s="112"/>
      <c r="X17" s="112"/>
    </row>
    <row r="18" spans="1:24" x14ac:dyDescent="0.2">
      <c r="A18" s="112"/>
      <c r="B18" s="112"/>
      <c r="C18" s="112"/>
      <c r="D18" s="112"/>
      <c r="E18" s="112"/>
      <c r="F18" s="112"/>
      <c r="G18" s="112"/>
      <c r="H18" s="112"/>
      <c r="I18" s="112"/>
      <c r="J18" s="112"/>
      <c r="K18" s="112"/>
      <c r="L18" s="112"/>
      <c r="M18" s="112"/>
      <c r="N18" s="112"/>
      <c r="O18" s="112"/>
      <c r="P18" s="112"/>
      <c r="Q18" s="112"/>
      <c r="R18" s="112"/>
      <c r="S18" s="112"/>
      <c r="T18" s="112"/>
      <c r="U18" s="112"/>
      <c r="V18" s="112"/>
      <c r="W18" s="112"/>
      <c r="X18" s="112"/>
    </row>
    <row r="19" spans="1:24" x14ac:dyDescent="0.2">
      <c r="A19" s="112"/>
      <c r="B19" s="112"/>
      <c r="C19" s="112"/>
      <c r="D19" s="112"/>
      <c r="E19" s="112"/>
      <c r="F19" s="112"/>
      <c r="G19" s="112"/>
      <c r="H19" s="112"/>
      <c r="I19" s="112"/>
      <c r="J19" s="112"/>
      <c r="K19" s="112"/>
      <c r="L19" s="112"/>
      <c r="M19" s="112"/>
      <c r="N19" s="112"/>
      <c r="O19" s="112"/>
      <c r="P19" s="112"/>
      <c r="Q19" s="112"/>
      <c r="R19" s="112"/>
      <c r="S19" s="112"/>
      <c r="T19" s="112"/>
      <c r="U19" s="112"/>
      <c r="V19" s="112"/>
      <c r="W19" s="112"/>
      <c r="X19" s="112"/>
    </row>
    <row r="20" spans="1:24" x14ac:dyDescent="0.2">
      <c r="A20" s="112"/>
      <c r="B20" s="112"/>
      <c r="C20" s="112"/>
      <c r="D20" s="112"/>
      <c r="E20" s="112"/>
      <c r="F20" s="112"/>
      <c r="G20" s="112"/>
      <c r="H20" s="112"/>
      <c r="I20" s="112"/>
      <c r="J20" s="112"/>
      <c r="K20" s="112"/>
      <c r="L20" s="112"/>
      <c r="M20" s="112"/>
      <c r="N20" s="112"/>
      <c r="O20" s="112"/>
      <c r="P20" s="112"/>
      <c r="Q20" s="112"/>
      <c r="R20" s="112"/>
      <c r="S20" s="112"/>
      <c r="T20" s="112"/>
      <c r="U20" s="112"/>
      <c r="V20" s="112"/>
      <c r="W20" s="112"/>
      <c r="X20" s="112"/>
    </row>
    <row r="21" spans="1:24" x14ac:dyDescent="0.2">
      <c r="A21" s="112"/>
      <c r="B21" s="112"/>
      <c r="C21" s="112"/>
      <c r="D21" s="112"/>
      <c r="E21" s="112"/>
      <c r="F21" s="112"/>
      <c r="G21" s="112"/>
      <c r="H21" s="112"/>
      <c r="I21" s="112"/>
      <c r="J21" s="112"/>
      <c r="K21" s="112"/>
      <c r="L21" s="112"/>
      <c r="M21" s="112"/>
      <c r="N21" s="112"/>
      <c r="O21" s="112"/>
      <c r="P21" s="112"/>
      <c r="Q21" s="112"/>
      <c r="R21" s="112"/>
      <c r="S21" s="112"/>
      <c r="T21" s="112"/>
      <c r="U21" s="112"/>
      <c r="V21" s="112"/>
      <c r="W21" s="112"/>
      <c r="X21" s="112"/>
    </row>
    <row r="22" spans="1:24" x14ac:dyDescent="0.2">
      <c r="A22" s="112"/>
      <c r="B22" s="112"/>
      <c r="C22" s="112"/>
      <c r="D22" s="112"/>
      <c r="E22" s="112"/>
      <c r="F22" s="112"/>
      <c r="G22" s="112"/>
      <c r="H22" s="112"/>
      <c r="I22" s="112"/>
      <c r="J22" s="112"/>
      <c r="K22" s="112"/>
      <c r="L22" s="112"/>
      <c r="M22" s="112"/>
      <c r="N22" s="112"/>
      <c r="O22" s="112"/>
      <c r="P22" s="112"/>
      <c r="Q22" s="112"/>
      <c r="R22" s="112"/>
      <c r="S22" s="112"/>
      <c r="T22" s="112"/>
      <c r="U22" s="112"/>
      <c r="V22" s="112"/>
      <c r="W22" s="112"/>
      <c r="X22" s="112"/>
    </row>
    <row r="23" spans="1:24" x14ac:dyDescent="0.2">
      <c r="A23" s="112"/>
      <c r="B23" s="112"/>
      <c r="C23" s="112"/>
      <c r="D23" s="112"/>
      <c r="E23" s="112"/>
      <c r="F23" s="112"/>
      <c r="G23" s="112"/>
      <c r="H23" s="112"/>
      <c r="I23" s="112"/>
      <c r="J23" s="112"/>
      <c r="K23" s="112"/>
      <c r="L23" s="112"/>
      <c r="M23" s="112"/>
      <c r="N23" s="112"/>
      <c r="O23" s="112"/>
      <c r="P23" s="112"/>
      <c r="Q23" s="112"/>
      <c r="R23" s="112"/>
      <c r="S23" s="112"/>
      <c r="T23" s="112"/>
      <c r="U23" s="112"/>
      <c r="V23" s="112"/>
      <c r="W23" s="112"/>
      <c r="X23" s="112"/>
    </row>
    <row r="24" spans="1:24" x14ac:dyDescent="0.2">
      <c r="A24" s="112"/>
      <c r="B24" s="112"/>
      <c r="C24" s="112"/>
      <c r="D24" s="112"/>
      <c r="E24" s="112"/>
      <c r="F24" s="112"/>
      <c r="G24" s="112"/>
      <c r="H24" s="112"/>
      <c r="I24" s="112"/>
      <c r="J24" s="112"/>
      <c r="K24" s="112"/>
      <c r="L24" s="112"/>
      <c r="M24" s="112"/>
      <c r="N24" s="112"/>
      <c r="O24" s="112"/>
      <c r="P24" s="112"/>
      <c r="Q24" s="112"/>
      <c r="R24" s="112"/>
      <c r="S24" s="112"/>
      <c r="T24" s="112"/>
      <c r="U24" s="112"/>
      <c r="V24" s="112"/>
      <c r="W24" s="112"/>
      <c r="X24" s="112"/>
    </row>
    <row r="25" spans="1:24" x14ac:dyDescent="0.2">
      <c r="A25" s="112"/>
      <c r="B25" s="112"/>
      <c r="C25" s="112"/>
      <c r="D25" s="112"/>
      <c r="E25" s="112"/>
      <c r="F25" s="112"/>
      <c r="G25" s="112"/>
      <c r="H25" s="112"/>
      <c r="I25" s="112"/>
      <c r="J25" s="112"/>
      <c r="K25" s="112"/>
      <c r="L25" s="112"/>
      <c r="M25" s="112"/>
      <c r="N25" s="112"/>
      <c r="O25" s="112"/>
      <c r="P25" s="112"/>
      <c r="Q25" s="112"/>
      <c r="R25" s="112"/>
      <c r="S25" s="112"/>
      <c r="T25" s="112"/>
      <c r="U25" s="112"/>
      <c r="V25" s="112"/>
      <c r="W25" s="112"/>
      <c r="X25" s="112"/>
    </row>
    <row r="26" spans="1:24" x14ac:dyDescent="0.2">
      <c r="A26" s="112"/>
      <c r="B26" s="112"/>
      <c r="C26" s="112"/>
      <c r="D26" s="112"/>
      <c r="E26" s="112"/>
      <c r="F26" s="112"/>
      <c r="G26" s="112"/>
      <c r="H26" s="112"/>
      <c r="I26" s="112"/>
      <c r="J26" s="112"/>
      <c r="K26" s="112"/>
      <c r="L26" s="112"/>
      <c r="M26" s="112"/>
      <c r="N26" s="112"/>
      <c r="O26" s="112"/>
      <c r="P26" s="112"/>
      <c r="Q26" s="112"/>
      <c r="R26" s="112"/>
      <c r="S26" s="112"/>
      <c r="T26" s="112"/>
      <c r="U26" s="112"/>
      <c r="V26" s="112"/>
      <c r="W26" s="112"/>
      <c r="X26" s="112"/>
    </row>
    <row r="27" spans="1:24" x14ac:dyDescent="0.2">
      <c r="A27" s="112"/>
      <c r="B27" s="112"/>
      <c r="C27" s="112"/>
      <c r="D27" s="112"/>
      <c r="E27" s="112"/>
      <c r="F27" s="112"/>
      <c r="G27" s="112"/>
      <c r="H27" s="112"/>
      <c r="I27" s="112"/>
      <c r="J27" s="112"/>
      <c r="K27" s="112"/>
      <c r="L27" s="112"/>
      <c r="M27" s="112"/>
      <c r="N27" s="112"/>
      <c r="O27" s="112"/>
      <c r="P27" s="112"/>
      <c r="Q27" s="112"/>
      <c r="R27" s="112"/>
      <c r="S27" s="112"/>
      <c r="T27" s="112"/>
      <c r="U27" s="112"/>
      <c r="V27" s="112"/>
      <c r="W27" s="112"/>
      <c r="X27" s="112"/>
    </row>
    <row r="28" spans="1:24" x14ac:dyDescent="0.2">
      <c r="A28" s="112"/>
      <c r="B28" s="112"/>
      <c r="C28" s="112"/>
      <c r="D28" s="112"/>
      <c r="E28" s="112"/>
      <c r="F28" s="112"/>
      <c r="G28" s="112"/>
      <c r="H28" s="112"/>
      <c r="I28" s="112"/>
      <c r="J28" s="112"/>
      <c r="K28" s="112"/>
      <c r="L28" s="112"/>
      <c r="M28" s="112"/>
      <c r="N28" s="112"/>
      <c r="O28" s="112"/>
      <c r="P28" s="112"/>
      <c r="Q28" s="112"/>
      <c r="R28" s="112"/>
      <c r="S28" s="112"/>
      <c r="T28" s="112"/>
      <c r="U28" s="112"/>
      <c r="V28" s="112"/>
      <c r="W28" s="112"/>
      <c r="X28" s="112"/>
    </row>
    <row r="29" spans="1:24" x14ac:dyDescent="0.2">
      <c r="A29" s="112"/>
      <c r="B29" s="112"/>
      <c r="C29" s="112"/>
      <c r="D29" s="112"/>
      <c r="E29" s="112"/>
      <c r="F29" s="112"/>
      <c r="G29" s="112"/>
      <c r="H29" s="112"/>
      <c r="I29" s="112"/>
      <c r="J29" s="112"/>
      <c r="K29" s="112"/>
      <c r="L29" s="112"/>
      <c r="M29" s="112"/>
      <c r="N29" s="112"/>
      <c r="O29" s="112"/>
      <c r="P29" s="112"/>
      <c r="Q29" s="112"/>
      <c r="R29" s="112"/>
      <c r="S29" s="112"/>
      <c r="T29" s="112"/>
      <c r="U29" s="112"/>
      <c r="V29" s="112"/>
      <c r="W29" s="112"/>
      <c r="X29" s="112"/>
    </row>
    <row r="30" spans="1:24" x14ac:dyDescent="0.2">
      <c r="A30" s="112"/>
      <c r="B30" s="112"/>
      <c r="C30" s="112"/>
      <c r="D30" s="112"/>
      <c r="E30" s="112"/>
      <c r="F30" s="112"/>
      <c r="G30" s="112"/>
      <c r="H30" s="112"/>
      <c r="I30" s="112"/>
      <c r="J30" s="112"/>
      <c r="K30" s="112"/>
      <c r="L30" s="112"/>
      <c r="M30" s="112"/>
      <c r="N30" s="112"/>
      <c r="O30" s="112"/>
      <c r="P30" s="112"/>
      <c r="Q30" s="112"/>
      <c r="R30" s="112"/>
      <c r="S30" s="112"/>
      <c r="T30" s="112"/>
      <c r="U30" s="112"/>
      <c r="V30" s="112"/>
      <c r="W30" s="112"/>
      <c r="X30" s="112"/>
    </row>
    <row r="31" spans="1:24" x14ac:dyDescent="0.2">
      <c r="A31" s="112"/>
      <c r="B31" s="112"/>
      <c r="C31" s="112"/>
      <c r="D31" s="112"/>
      <c r="E31" s="112"/>
      <c r="F31" s="112"/>
      <c r="G31" s="112"/>
      <c r="H31" s="112"/>
      <c r="I31" s="112"/>
      <c r="J31" s="112"/>
      <c r="K31" s="112"/>
      <c r="L31" s="112"/>
      <c r="M31" s="112"/>
      <c r="N31" s="112"/>
      <c r="O31" s="112"/>
      <c r="P31" s="112"/>
      <c r="Q31" s="112"/>
      <c r="R31" s="112"/>
      <c r="S31" s="112"/>
      <c r="T31" s="112"/>
      <c r="U31" s="112"/>
      <c r="V31" s="112"/>
      <c r="W31" s="112"/>
      <c r="X31" s="112"/>
    </row>
    <row r="32" spans="1:24" x14ac:dyDescent="0.2">
      <c r="A32" s="112"/>
      <c r="B32" s="112"/>
      <c r="C32" s="112"/>
      <c r="D32" s="112"/>
      <c r="E32" s="112"/>
      <c r="F32" s="112"/>
      <c r="G32" s="112"/>
      <c r="H32" s="112"/>
      <c r="I32" s="112"/>
      <c r="J32" s="112"/>
      <c r="K32" s="112"/>
      <c r="L32" s="112"/>
      <c r="M32" s="112"/>
      <c r="N32" s="112"/>
      <c r="O32" s="112"/>
      <c r="P32" s="112"/>
      <c r="Q32" s="112"/>
      <c r="R32" s="112"/>
      <c r="S32" s="112"/>
      <c r="T32" s="112"/>
      <c r="U32" s="112"/>
      <c r="V32" s="112"/>
      <c r="W32" s="112"/>
      <c r="X32" s="112"/>
    </row>
    <row r="33" spans="1:24" x14ac:dyDescent="0.2">
      <c r="A33" s="112"/>
      <c r="B33" s="112"/>
      <c r="C33" s="112"/>
      <c r="D33" s="112"/>
      <c r="E33" s="112"/>
      <c r="F33" s="112"/>
      <c r="G33" s="112"/>
      <c r="H33" s="112"/>
      <c r="I33" s="112"/>
      <c r="J33" s="112"/>
      <c r="K33" s="112"/>
      <c r="L33" s="112"/>
      <c r="M33" s="112"/>
      <c r="N33" s="112"/>
      <c r="O33" s="112"/>
      <c r="P33" s="112"/>
      <c r="Q33" s="112"/>
      <c r="R33" s="112"/>
      <c r="S33" s="112"/>
      <c r="T33" s="112"/>
      <c r="U33" s="112"/>
      <c r="V33" s="112"/>
      <c r="W33" s="112"/>
      <c r="X33" s="112"/>
    </row>
    <row r="34" spans="1:24" x14ac:dyDescent="0.2">
      <c r="A34" s="112"/>
      <c r="B34" s="112"/>
      <c r="C34" s="112"/>
      <c r="D34" s="112"/>
      <c r="E34" s="112"/>
      <c r="F34" s="112"/>
      <c r="G34" s="112"/>
      <c r="H34" s="112"/>
      <c r="I34" s="112"/>
      <c r="J34" s="112"/>
      <c r="K34" s="112"/>
      <c r="L34" s="112"/>
      <c r="M34" s="112"/>
      <c r="N34" s="112"/>
      <c r="O34" s="112"/>
      <c r="P34" s="112"/>
      <c r="Q34" s="112"/>
      <c r="R34" s="112"/>
      <c r="S34" s="112"/>
      <c r="T34" s="112"/>
      <c r="U34" s="112"/>
      <c r="V34" s="112"/>
      <c r="W34" s="112"/>
      <c r="X34" s="112"/>
    </row>
    <row r="35" spans="1:24" x14ac:dyDescent="0.2">
      <c r="A35" s="112"/>
      <c r="B35" s="112"/>
      <c r="C35" s="112"/>
      <c r="D35" s="112"/>
      <c r="E35" s="112"/>
      <c r="F35" s="112"/>
      <c r="G35" s="112"/>
      <c r="H35" s="112"/>
      <c r="I35" s="112"/>
      <c r="J35" s="112"/>
      <c r="K35" s="112"/>
      <c r="L35" s="112"/>
      <c r="M35" s="112"/>
      <c r="N35" s="112"/>
      <c r="O35" s="112"/>
      <c r="P35" s="112"/>
      <c r="Q35" s="112"/>
      <c r="R35" s="112"/>
      <c r="S35" s="112"/>
      <c r="T35" s="112"/>
      <c r="U35" s="112"/>
      <c r="V35" s="112"/>
      <c r="W35" s="112"/>
      <c r="X35" s="112"/>
    </row>
    <row r="36" spans="1:24" x14ac:dyDescent="0.2">
      <c r="A36" s="112"/>
      <c r="B36" s="112"/>
      <c r="C36" s="112"/>
      <c r="D36" s="112"/>
      <c r="E36" s="112"/>
      <c r="F36" s="112"/>
      <c r="G36" s="112"/>
      <c r="H36" s="112"/>
      <c r="I36" s="112"/>
      <c r="J36" s="112"/>
      <c r="K36" s="112"/>
      <c r="L36" s="112"/>
      <c r="M36" s="112"/>
      <c r="N36" s="112"/>
      <c r="O36" s="112"/>
      <c r="P36" s="112"/>
      <c r="Q36" s="112"/>
      <c r="R36" s="112"/>
      <c r="S36" s="112"/>
      <c r="T36" s="112"/>
      <c r="U36" s="112"/>
      <c r="V36" s="112"/>
      <c r="W36" s="112"/>
      <c r="X36" s="112"/>
    </row>
    <row r="37" spans="1:24" x14ac:dyDescent="0.2">
      <c r="A37" s="112"/>
      <c r="B37" s="112"/>
      <c r="C37" s="112"/>
      <c r="D37" s="112"/>
      <c r="E37" s="112"/>
      <c r="F37" s="112"/>
      <c r="G37" s="112"/>
      <c r="H37" s="112"/>
      <c r="I37" s="112"/>
      <c r="J37" s="112"/>
      <c r="K37" s="112"/>
      <c r="L37" s="112"/>
      <c r="M37" s="112"/>
      <c r="N37" s="112"/>
      <c r="O37" s="112"/>
      <c r="P37" s="112"/>
      <c r="Q37" s="112"/>
      <c r="R37" s="112"/>
      <c r="S37" s="112"/>
      <c r="T37" s="112"/>
      <c r="U37" s="112"/>
      <c r="V37" s="112"/>
      <c r="W37" s="112"/>
      <c r="X37" s="112"/>
    </row>
    <row r="38" spans="1:24" x14ac:dyDescent="0.2">
      <c r="A38" s="112"/>
      <c r="B38" s="112"/>
      <c r="C38" s="112"/>
      <c r="D38" s="112"/>
      <c r="E38" s="112"/>
      <c r="F38" s="112"/>
      <c r="G38" s="112"/>
      <c r="H38" s="112"/>
      <c r="I38" s="112"/>
      <c r="J38" s="112"/>
      <c r="K38" s="112"/>
      <c r="L38" s="112"/>
      <c r="M38" s="112"/>
      <c r="N38" s="112"/>
      <c r="O38" s="112"/>
      <c r="P38" s="112"/>
      <c r="Q38" s="112"/>
      <c r="R38" s="112"/>
      <c r="S38" s="112"/>
      <c r="T38" s="112"/>
      <c r="U38" s="112"/>
      <c r="V38" s="112"/>
      <c r="W38" s="112"/>
      <c r="X38" s="112"/>
    </row>
    <row r="39" spans="1:24" x14ac:dyDescent="0.2">
      <c r="A39" s="112"/>
      <c r="B39" s="112"/>
      <c r="C39" s="112"/>
      <c r="D39" s="112"/>
      <c r="E39" s="112"/>
      <c r="F39" s="112"/>
      <c r="G39" s="112"/>
      <c r="H39" s="112"/>
      <c r="I39" s="112"/>
      <c r="J39" s="112"/>
      <c r="K39" s="112"/>
      <c r="L39" s="112"/>
      <c r="M39" s="112"/>
      <c r="N39" s="112"/>
      <c r="O39" s="112"/>
      <c r="P39" s="112"/>
      <c r="Q39" s="112"/>
      <c r="R39" s="112"/>
      <c r="S39" s="112"/>
      <c r="T39" s="112"/>
      <c r="U39" s="112"/>
      <c r="V39" s="112"/>
      <c r="W39" s="112"/>
      <c r="X39" s="112"/>
    </row>
    <row r="40" spans="1:24" x14ac:dyDescent="0.2">
      <c r="A40" s="112"/>
      <c r="B40" s="112"/>
      <c r="C40" s="112"/>
      <c r="D40" s="112"/>
      <c r="E40" s="112"/>
      <c r="F40" s="112"/>
      <c r="G40" s="112"/>
      <c r="H40" s="112"/>
      <c r="I40" s="112"/>
      <c r="J40" s="112"/>
      <c r="K40" s="112"/>
      <c r="L40" s="112"/>
      <c r="M40" s="112"/>
      <c r="N40" s="112"/>
      <c r="O40" s="112"/>
      <c r="P40" s="112"/>
      <c r="Q40" s="112"/>
      <c r="R40" s="112"/>
      <c r="S40" s="112"/>
      <c r="T40" s="112"/>
      <c r="U40" s="112"/>
      <c r="V40" s="112"/>
      <c r="W40" s="112"/>
      <c r="X40" s="112"/>
    </row>
    <row r="41" spans="1:24" x14ac:dyDescent="0.2">
      <c r="A41" s="112"/>
      <c r="B41" s="112"/>
      <c r="C41" s="112"/>
      <c r="D41" s="112"/>
      <c r="E41" s="112"/>
      <c r="F41" s="112"/>
      <c r="G41" s="112"/>
      <c r="H41" s="112"/>
      <c r="I41" s="112"/>
      <c r="J41" s="112"/>
      <c r="K41" s="112"/>
      <c r="L41" s="112"/>
      <c r="M41" s="112"/>
      <c r="N41" s="112"/>
      <c r="O41" s="112"/>
      <c r="P41" s="112"/>
      <c r="Q41" s="112"/>
      <c r="R41" s="112"/>
      <c r="S41" s="112"/>
      <c r="T41" s="112"/>
      <c r="U41" s="112"/>
      <c r="V41" s="112"/>
      <c r="W41" s="112"/>
      <c r="X41" s="112"/>
    </row>
    <row r="42" spans="1:24" x14ac:dyDescent="0.2">
      <c r="A42" s="112"/>
      <c r="B42" s="112"/>
      <c r="C42" s="112"/>
      <c r="D42" s="112"/>
      <c r="E42" s="112"/>
      <c r="F42" s="112"/>
      <c r="G42" s="112"/>
      <c r="H42" s="112"/>
      <c r="I42" s="112"/>
      <c r="J42" s="112"/>
      <c r="K42" s="112"/>
      <c r="L42" s="112"/>
      <c r="M42" s="112"/>
      <c r="N42" s="112"/>
      <c r="O42" s="112"/>
      <c r="P42" s="112"/>
      <c r="Q42" s="112"/>
      <c r="R42" s="112"/>
      <c r="S42" s="112"/>
      <c r="T42" s="112"/>
      <c r="U42" s="112"/>
      <c r="V42" s="112"/>
      <c r="W42" s="112"/>
      <c r="X42" s="112"/>
    </row>
    <row r="43" spans="1:24" x14ac:dyDescent="0.2">
      <c r="A43" s="112"/>
      <c r="B43" s="112"/>
      <c r="C43" s="112"/>
      <c r="D43" s="112"/>
      <c r="E43" s="112"/>
      <c r="F43" s="112"/>
      <c r="G43" s="112"/>
      <c r="H43" s="112"/>
      <c r="I43" s="112"/>
      <c r="J43" s="112"/>
      <c r="K43" s="112"/>
      <c r="L43" s="112"/>
      <c r="M43" s="112"/>
      <c r="N43" s="112"/>
      <c r="O43" s="112"/>
      <c r="P43" s="112"/>
      <c r="Q43" s="112"/>
      <c r="R43" s="112"/>
      <c r="S43" s="112"/>
      <c r="T43" s="112"/>
      <c r="U43" s="112"/>
      <c r="V43" s="112"/>
      <c r="W43" s="112"/>
      <c r="X43" s="112"/>
    </row>
    <row r="44" spans="1:24" x14ac:dyDescent="0.2">
      <c r="A44" s="112"/>
      <c r="B44" s="112"/>
      <c r="C44" s="112"/>
      <c r="D44" s="112"/>
      <c r="E44" s="112"/>
      <c r="F44" s="112"/>
      <c r="G44" s="112"/>
      <c r="H44" s="112"/>
      <c r="I44" s="112"/>
      <c r="J44" s="112"/>
      <c r="K44" s="112"/>
      <c r="L44" s="112"/>
      <c r="M44" s="112"/>
      <c r="N44" s="112"/>
      <c r="O44" s="112"/>
      <c r="P44" s="112"/>
      <c r="Q44" s="112"/>
      <c r="R44" s="112"/>
      <c r="S44" s="112"/>
      <c r="T44" s="112"/>
      <c r="U44" s="112"/>
      <c r="V44" s="112"/>
      <c r="W44" s="112"/>
      <c r="X44" s="112"/>
    </row>
    <row r="45" spans="1:24" x14ac:dyDescent="0.2">
      <c r="A45" s="112"/>
      <c r="B45" s="112"/>
      <c r="C45" s="112"/>
      <c r="D45" s="112"/>
      <c r="E45" s="112"/>
      <c r="F45" s="112"/>
      <c r="G45" s="112"/>
      <c r="H45" s="112"/>
      <c r="I45" s="112"/>
      <c r="J45" s="112"/>
      <c r="K45" s="112"/>
      <c r="L45" s="112"/>
      <c r="M45" s="112"/>
      <c r="N45" s="112"/>
      <c r="O45" s="112"/>
      <c r="P45" s="112"/>
      <c r="Q45" s="112"/>
      <c r="R45" s="112"/>
      <c r="S45" s="112"/>
      <c r="T45" s="112"/>
      <c r="U45" s="112"/>
      <c r="V45" s="112"/>
      <c r="W45" s="112"/>
      <c r="X45" s="112"/>
    </row>
    <row r="46" spans="1:24" x14ac:dyDescent="0.2">
      <c r="A46" s="112"/>
      <c r="B46" s="112"/>
      <c r="C46" s="112"/>
      <c r="D46" s="112"/>
      <c r="E46" s="112"/>
      <c r="F46" s="112"/>
      <c r="G46" s="112"/>
      <c r="H46" s="112"/>
      <c r="I46" s="112"/>
      <c r="J46" s="112"/>
      <c r="K46" s="112"/>
      <c r="L46" s="112"/>
      <c r="M46" s="112"/>
      <c r="N46" s="112"/>
      <c r="O46" s="112"/>
      <c r="P46" s="112"/>
      <c r="Q46" s="112"/>
      <c r="R46" s="112"/>
      <c r="S46" s="112"/>
      <c r="T46" s="112"/>
      <c r="U46" s="112"/>
      <c r="V46" s="112"/>
      <c r="W46" s="112"/>
      <c r="X46" s="112"/>
    </row>
    <row r="47" spans="1:24" x14ac:dyDescent="0.2">
      <c r="A47" s="112"/>
      <c r="B47" s="112"/>
      <c r="C47" s="112"/>
      <c r="D47" s="112"/>
      <c r="E47" s="112"/>
      <c r="F47" s="112"/>
      <c r="G47" s="112"/>
      <c r="H47" s="112"/>
      <c r="I47" s="112"/>
      <c r="J47" s="112"/>
      <c r="K47" s="112"/>
      <c r="L47" s="112"/>
      <c r="M47" s="112"/>
      <c r="N47" s="112"/>
      <c r="O47" s="112"/>
      <c r="P47" s="112"/>
      <c r="Q47" s="112"/>
      <c r="R47" s="112"/>
      <c r="S47" s="112"/>
      <c r="T47" s="112"/>
      <c r="U47" s="112"/>
      <c r="V47" s="112"/>
      <c r="W47" s="112"/>
      <c r="X47" s="112"/>
    </row>
    <row r="48" spans="1:24" x14ac:dyDescent="0.2">
      <c r="A48" s="112"/>
      <c r="B48" s="112"/>
      <c r="C48" s="112"/>
      <c r="D48" s="112"/>
      <c r="E48" s="112"/>
      <c r="F48" s="112"/>
      <c r="G48" s="112"/>
      <c r="H48" s="112"/>
      <c r="I48" s="112"/>
      <c r="J48" s="112"/>
      <c r="K48" s="112"/>
      <c r="L48" s="112"/>
      <c r="M48" s="112"/>
      <c r="N48" s="112"/>
      <c r="O48" s="112"/>
      <c r="P48" s="112"/>
      <c r="Q48" s="112"/>
      <c r="R48" s="112"/>
      <c r="S48" s="112"/>
      <c r="T48" s="112"/>
      <c r="U48" s="112"/>
      <c r="V48" s="112"/>
      <c r="W48" s="112"/>
      <c r="X48" s="112"/>
    </row>
    <row r="49" spans="1:24" x14ac:dyDescent="0.2">
      <c r="A49" s="112"/>
      <c r="B49" s="112"/>
      <c r="C49" s="112"/>
      <c r="D49" s="112"/>
      <c r="E49" s="112"/>
      <c r="F49" s="112"/>
      <c r="G49" s="112"/>
      <c r="H49" s="112"/>
      <c r="I49" s="112"/>
      <c r="J49" s="112"/>
      <c r="K49" s="112"/>
      <c r="L49" s="112"/>
      <c r="M49" s="112"/>
      <c r="N49" s="112"/>
      <c r="O49" s="112"/>
      <c r="P49" s="112"/>
      <c r="Q49" s="112"/>
      <c r="R49" s="112"/>
      <c r="S49" s="112"/>
      <c r="T49" s="112"/>
      <c r="U49" s="112"/>
      <c r="V49" s="112"/>
      <c r="W49" s="112"/>
      <c r="X49" s="112"/>
    </row>
    <row r="50" spans="1:24" x14ac:dyDescent="0.2">
      <c r="A50" s="112"/>
      <c r="B50" s="112"/>
      <c r="C50" s="112"/>
      <c r="D50" s="112"/>
      <c r="E50" s="112"/>
      <c r="F50" s="112"/>
      <c r="G50" s="112"/>
      <c r="H50" s="112"/>
      <c r="I50" s="112"/>
      <c r="J50" s="112"/>
      <c r="K50" s="112"/>
      <c r="L50" s="112"/>
      <c r="M50" s="112"/>
      <c r="N50" s="112"/>
      <c r="O50" s="112"/>
      <c r="P50" s="112"/>
      <c r="Q50" s="112"/>
      <c r="R50" s="112"/>
      <c r="S50" s="112"/>
      <c r="T50" s="112"/>
      <c r="U50" s="112"/>
      <c r="V50" s="112"/>
      <c r="W50" s="112"/>
      <c r="X50" s="112"/>
    </row>
    <row r="51" spans="1:24" x14ac:dyDescent="0.2">
      <c r="A51" s="112"/>
      <c r="B51" s="112"/>
      <c r="C51" s="112"/>
      <c r="D51" s="112"/>
      <c r="E51" s="112"/>
      <c r="F51" s="112"/>
      <c r="G51" s="112"/>
      <c r="H51" s="112"/>
      <c r="I51" s="112"/>
      <c r="J51" s="112"/>
      <c r="K51" s="112"/>
      <c r="L51" s="112"/>
      <c r="M51" s="112"/>
      <c r="N51" s="112"/>
      <c r="O51" s="112"/>
      <c r="P51" s="112"/>
      <c r="Q51" s="112"/>
      <c r="R51" s="112"/>
      <c r="S51" s="112"/>
      <c r="T51" s="112"/>
      <c r="U51" s="112"/>
      <c r="V51" s="112"/>
      <c r="W51" s="112"/>
      <c r="X51" s="112"/>
    </row>
    <row r="52" spans="1:24" x14ac:dyDescent="0.2">
      <c r="A52" s="112"/>
      <c r="B52" s="112"/>
      <c r="C52" s="112"/>
      <c r="D52" s="112"/>
      <c r="E52" s="112"/>
      <c r="F52" s="112"/>
      <c r="G52" s="112"/>
      <c r="H52" s="112"/>
      <c r="I52" s="112"/>
      <c r="J52" s="112"/>
      <c r="K52" s="112"/>
      <c r="L52" s="112"/>
      <c r="M52" s="112"/>
      <c r="N52" s="112"/>
      <c r="O52" s="112"/>
      <c r="P52" s="112"/>
      <c r="Q52" s="112"/>
      <c r="R52" s="112"/>
      <c r="S52" s="112"/>
      <c r="T52" s="112"/>
      <c r="U52" s="112"/>
      <c r="V52" s="112"/>
      <c r="W52" s="112"/>
      <c r="X52" s="112"/>
    </row>
    <row r="53" spans="1:24" x14ac:dyDescent="0.2">
      <c r="A53" s="112"/>
      <c r="B53" s="112"/>
      <c r="C53" s="112"/>
      <c r="D53" s="112"/>
      <c r="E53" s="112"/>
      <c r="F53" s="112"/>
      <c r="G53" s="112"/>
      <c r="H53" s="112"/>
      <c r="I53" s="112"/>
      <c r="J53" s="112"/>
      <c r="K53" s="112"/>
      <c r="L53" s="112"/>
      <c r="M53" s="112"/>
      <c r="N53" s="112"/>
      <c r="O53" s="112"/>
      <c r="P53" s="112"/>
      <c r="Q53" s="112"/>
      <c r="R53" s="112"/>
      <c r="S53" s="112"/>
      <c r="T53" s="112"/>
      <c r="U53" s="112"/>
      <c r="V53" s="112"/>
      <c r="W53" s="112"/>
      <c r="X53" s="112"/>
    </row>
  </sheetData>
  <sheetProtection algorithmName="SHA-512" hashValue="YGSI12vrFV9XziSUdh9PkWD+O6d+uazDij6xi+hzRsadeZ9LKAoWAwvGp5LboXUVGrzjygoYCbsv94RBmVMy6A==" saltValue="XLmT3sYXyuy43sjJVBw1Ag==" spinCount="100000" sheet="1" objects="1" scenarios="1"/>
  <printOptions horizontalCentered="1"/>
  <pageMargins left="0.19685039370078741" right="0.19685039370078741" top="1.1811023622047245" bottom="0.78740157480314965" header="0.31496062992125984" footer="0.31496062992125984"/>
  <pageSetup paperSize="9" scale="49" fitToHeight="0"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pageSetUpPr autoPageBreaks="0" fitToPage="1"/>
  </sheetPr>
  <dimension ref="A1:AZ153"/>
  <sheetViews>
    <sheetView zoomScaleNormal="100" workbookViewId="0">
      <selection activeCell="W30" sqref="W30"/>
    </sheetView>
  </sheetViews>
  <sheetFormatPr baseColWidth="10" defaultColWidth="11" defaultRowHeight="15" x14ac:dyDescent="0.2"/>
  <cols>
    <col min="1" max="1" width="24.125" style="18" customWidth="1"/>
    <col min="2" max="2" width="13" style="18" customWidth="1"/>
    <col min="3" max="3" width="8.75" style="18" customWidth="1"/>
    <col min="4" max="4" width="12.625" style="18" customWidth="1"/>
    <col min="5" max="6" width="10.125" style="18" customWidth="1"/>
    <col min="7" max="7" width="11" style="18"/>
    <col min="8" max="8" width="13.625" style="18" hidden="1" customWidth="1"/>
    <col min="9" max="9" width="19.125" style="18" hidden="1" customWidth="1"/>
    <col min="10" max="10" width="6.75" style="18" hidden="1" customWidth="1"/>
    <col min="11" max="11" width="36.625" style="145" hidden="1" customWidth="1"/>
    <col min="12" max="12" width="11" style="145" hidden="1" customWidth="1"/>
    <col min="13" max="13" width="11" style="18" hidden="1" customWidth="1"/>
    <col min="14" max="16" width="12.125" style="18" customWidth="1"/>
    <col min="17" max="16384" width="11" style="18"/>
  </cols>
  <sheetData>
    <row r="1" spans="1:52" s="14" customFormat="1" ht="18.75" customHeight="1" x14ac:dyDescent="0.25">
      <c r="A1" s="121" t="s">
        <v>1250</v>
      </c>
      <c r="B1" s="122"/>
      <c r="C1" s="147"/>
      <c r="D1" s="147"/>
      <c r="E1" s="147"/>
      <c r="F1" s="147"/>
      <c r="G1" s="147"/>
      <c r="H1" s="149"/>
      <c r="I1" s="150"/>
      <c r="J1" s="193"/>
      <c r="K1" s="194"/>
      <c r="L1" s="194"/>
      <c r="M1" s="195"/>
      <c r="N1" s="195"/>
      <c r="O1" s="195"/>
      <c r="P1" s="195"/>
      <c r="Q1" s="195"/>
      <c r="R1" s="195"/>
      <c r="S1" s="195"/>
      <c r="T1" s="195"/>
      <c r="U1" s="195"/>
      <c r="V1" s="195"/>
      <c r="W1" s="195"/>
      <c r="X1" s="195"/>
      <c r="Y1" s="195"/>
      <c r="Z1" s="163"/>
      <c r="AA1" s="163"/>
      <c r="AB1" s="163"/>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row>
    <row r="2" spans="1:52" s="14" customFormat="1" ht="18.75" customHeight="1" x14ac:dyDescent="0.25">
      <c r="A2" s="778" t="str">
        <f>IF(L4=1,K8,L8)</f>
        <v>STAMMDATENBLATT</v>
      </c>
      <c r="B2" s="147"/>
      <c r="C2" s="147"/>
      <c r="D2" s="147"/>
      <c r="E2" s="147"/>
      <c r="F2" s="148"/>
      <c r="G2" s="147"/>
      <c r="H2" s="149"/>
      <c r="I2" s="150"/>
      <c r="J2" s="193"/>
      <c r="K2" s="194"/>
      <c r="L2" s="194"/>
      <c r="M2" s="195"/>
      <c r="N2" s="195"/>
      <c r="O2" s="195"/>
      <c r="P2" s="195"/>
      <c r="Q2" s="195"/>
      <c r="R2" s="195"/>
      <c r="S2" s="195"/>
      <c r="T2" s="195"/>
      <c r="U2" s="195"/>
      <c r="V2" s="195"/>
      <c r="W2" s="195"/>
      <c r="X2" s="195"/>
      <c r="Y2" s="195"/>
      <c r="Z2" s="163"/>
      <c r="AA2" s="163"/>
      <c r="AB2" s="163"/>
      <c r="AC2" s="195"/>
      <c r="AD2" s="195"/>
      <c r="AE2" s="195"/>
      <c r="AF2" s="195"/>
      <c r="AG2" s="195"/>
      <c r="AH2" s="195"/>
      <c r="AI2" s="195"/>
      <c r="AJ2" s="195"/>
      <c r="AK2" s="195"/>
      <c r="AL2" s="195"/>
      <c r="AM2" s="195"/>
      <c r="AN2" s="195"/>
      <c r="AO2" s="195"/>
      <c r="AP2" s="195"/>
      <c r="AQ2" s="195"/>
      <c r="AR2" s="195"/>
      <c r="AS2" s="195"/>
      <c r="AT2" s="195"/>
      <c r="AU2" s="195"/>
      <c r="AV2" s="195"/>
      <c r="AW2" s="195"/>
      <c r="AX2" s="195"/>
      <c r="AY2" s="195"/>
      <c r="AZ2" s="195"/>
    </row>
    <row r="3" spans="1:52" s="14" customFormat="1" ht="12.75" customHeight="1" x14ac:dyDescent="0.2">
      <c r="A3" s="146"/>
      <c r="B3" s="147"/>
      <c r="C3" s="147"/>
      <c r="D3" s="147"/>
      <c r="E3" s="147"/>
      <c r="F3" s="148"/>
      <c r="G3" s="147"/>
      <c r="H3" s="149"/>
      <c r="I3" s="150"/>
      <c r="J3" s="193"/>
      <c r="K3" s="194"/>
      <c r="L3" s="194"/>
      <c r="M3" s="195"/>
      <c r="N3" s="195"/>
      <c r="O3" s="195"/>
      <c r="P3" s="195"/>
      <c r="Q3" s="195"/>
      <c r="R3" s="195"/>
      <c r="S3" s="195"/>
      <c r="T3" s="195"/>
      <c r="U3" s="195"/>
      <c r="V3" s="195"/>
      <c r="W3" s="195"/>
      <c r="X3" s="195"/>
      <c r="Y3" s="195"/>
      <c r="Z3" s="163"/>
      <c r="AA3" s="163"/>
      <c r="AB3" s="163"/>
      <c r="AC3" s="195"/>
      <c r="AD3" s="195"/>
      <c r="AE3" s="195"/>
      <c r="AF3" s="195"/>
      <c r="AG3" s="195"/>
      <c r="AH3" s="195"/>
      <c r="AI3" s="195"/>
      <c r="AJ3" s="195"/>
      <c r="AK3" s="195"/>
      <c r="AL3" s="195"/>
      <c r="AM3" s="195"/>
      <c r="AN3" s="195"/>
      <c r="AO3" s="195"/>
      <c r="AP3" s="195"/>
      <c r="AQ3" s="195"/>
      <c r="AR3" s="195"/>
      <c r="AS3" s="195"/>
      <c r="AT3" s="195"/>
      <c r="AU3" s="195"/>
      <c r="AV3" s="195"/>
      <c r="AW3" s="195"/>
      <c r="AX3" s="195"/>
      <c r="AY3" s="195"/>
      <c r="AZ3" s="195"/>
    </row>
    <row r="4" spans="1:52" s="14" customFormat="1" ht="12.75" customHeight="1" x14ac:dyDescent="0.2">
      <c r="A4" s="151"/>
      <c r="B4" s="152"/>
      <c r="C4" s="147"/>
      <c r="D4" s="147"/>
      <c r="E4" s="147"/>
      <c r="F4" s="153" t="s">
        <v>1204</v>
      </c>
      <c r="G4" s="147"/>
      <c r="H4" s="149"/>
      <c r="I4" s="150"/>
      <c r="J4" s="193"/>
      <c r="K4" s="186" t="s">
        <v>296</v>
      </c>
      <c r="L4" s="776">
        <v>1</v>
      </c>
      <c r="M4" s="195"/>
      <c r="N4" s="195"/>
      <c r="O4" s="195"/>
      <c r="P4" s="195"/>
      <c r="Q4" s="195"/>
      <c r="R4" s="195"/>
      <c r="S4" s="195"/>
      <c r="T4" s="195"/>
      <c r="U4" s="195"/>
      <c r="V4" s="195"/>
      <c r="W4" s="195"/>
      <c r="X4" s="195"/>
      <c r="Y4" s="195"/>
      <c r="Z4" s="163"/>
      <c r="AA4" s="163"/>
      <c r="AB4" s="163"/>
      <c r="AC4" s="195"/>
      <c r="AD4" s="195"/>
      <c r="AE4" s="195"/>
      <c r="AF4" s="195"/>
      <c r="AG4" s="195"/>
      <c r="AH4" s="195"/>
      <c r="AI4" s="195"/>
      <c r="AJ4" s="195"/>
      <c r="AK4" s="195"/>
      <c r="AL4" s="195"/>
      <c r="AM4" s="195"/>
      <c r="AN4" s="195"/>
      <c r="AO4" s="195"/>
      <c r="AP4" s="195"/>
      <c r="AQ4" s="195"/>
      <c r="AR4" s="195"/>
      <c r="AS4" s="195"/>
      <c r="AT4" s="195"/>
      <c r="AU4" s="195"/>
      <c r="AV4" s="195"/>
      <c r="AW4" s="195"/>
      <c r="AX4" s="195"/>
      <c r="AY4" s="195"/>
      <c r="AZ4" s="195"/>
    </row>
    <row r="5" spans="1:52" s="14" customFormat="1" x14ac:dyDescent="0.2">
      <c r="A5" s="779" t="s">
        <v>303</v>
      </c>
      <c r="B5" s="152"/>
      <c r="C5" s="147"/>
      <c r="D5" s="147"/>
      <c r="E5" s="147"/>
      <c r="F5" s="153"/>
      <c r="G5" s="147"/>
      <c r="H5" s="149"/>
      <c r="I5" s="150"/>
      <c r="J5" s="193"/>
      <c r="K5" s="186" t="s">
        <v>297</v>
      </c>
      <c r="L5" s="186"/>
      <c r="M5" s="195"/>
      <c r="N5" s="195"/>
      <c r="O5" s="195"/>
      <c r="P5" s="195"/>
      <c r="Q5" s="195"/>
      <c r="R5" s="195"/>
      <c r="S5" s="195"/>
      <c r="T5" s="195"/>
      <c r="U5" s="195"/>
      <c r="V5" s="195"/>
      <c r="W5" s="195"/>
      <c r="X5" s="195"/>
      <c r="Y5" s="195"/>
      <c r="Z5" s="163"/>
      <c r="AA5" s="163"/>
      <c r="AB5" s="163"/>
      <c r="AC5" s="195"/>
      <c r="AD5" s="195"/>
      <c r="AE5" s="195"/>
      <c r="AF5" s="195"/>
      <c r="AG5" s="195"/>
      <c r="AH5" s="195"/>
      <c r="AI5" s="195"/>
      <c r="AJ5" s="195"/>
      <c r="AK5" s="195"/>
      <c r="AL5" s="195"/>
      <c r="AM5" s="195"/>
      <c r="AN5" s="195"/>
      <c r="AO5" s="195"/>
      <c r="AP5" s="195"/>
      <c r="AQ5" s="195"/>
      <c r="AR5" s="195"/>
      <c r="AS5" s="195"/>
      <c r="AT5" s="195"/>
      <c r="AU5" s="195"/>
      <c r="AV5" s="195"/>
      <c r="AW5" s="195"/>
      <c r="AX5" s="195"/>
      <c r="AY5" s="195"/>
      <c r="AZ5" s="195"/>
    </row>
    <row r="6" spans="1:52" s="14" customFormat="1" ht="9.75" customHeight="1" x14ac:dyDescent="0.2">
      <c r="A6" s="151"/>
      <c r="B6" s="152"/>
      <c r="C6" s="147"/>
      <c r="D6" s="147"/>
      <c r="E6" s="147"/>
      <c r="F6" s="153"/>
      <c r="G6" s="147"/>
      <c r="H6" s="149"/>
      <c r="I6" s="150"/>
      <c r="J6" s="193"/>
      <c r="K6" s="186"/>
      <c r="L6" s="186"/>
      <c r="M6" s="195"/>
      <c r="N6" s="195"/>
      <c r="O6" s="195"/>
      <c r="P6" s="195"/>
      <c r="Q6" s="195"/>
      <c r="R6" s="195"/>
      <c r="S6" s="195"/>
      <c r="T6" s="195"/>
      <c r="U6" s="195"/>
      <c r="V6" s="195"/>
      <c r="W6" s="195"/>
      <c r="X6" s="195"/>
      <c r="Y6" s="195"/>
      <c r="Z6" s="163"/>
      <c r="AA6" s="163"/>
      <c r="AB6" s="163"/>
      <c r="AC6" s="195"/>
      <c r="AD6" s="195"/>
      <c r="AE6" s="195"/>
      <c r="AF6" s="195"/>
      <c r="AG6" s="195"/>
      <c r="AH6" s="195"/>
      <c r="AI6" s="195"/>
      <c r="AJ6" s="195"/>
      <c r="AK6" s="195"/>
      <c r="AL6" s="195"/>
      <c r="AM6" s="195"/>
      <c r="AN6" s="195"/>
      <c r="AO6" s="195"/>
      <c r="AP6" s="195"/>
      <c r="AQ6" s="195"/>
      <c r="AR6" s="195"/>
      <c r="AS6" s="195"/>
      <c r="AT6" s="195"/>
      <c r="AU6" s="195"/>
      <c r="AV6" s="195"/>
      <c r="AW6" s="195"/>
      <c r="AX6" s="195"/>
      <c r="AY6" s="195"/>
      <c r="AZ6" s="195"/>
    </row>
    <row r="7" spans="1:52" s="14" customFormat="1" ht="12.75" customHeight="1" x14ac:dyDescent="0.2">
      <c r="A7" s="154" t="str">
        <f>IF($L$4=1,K9,L9)</f>
        <v>Spielfilm</v>
      </c>
      <c r="B7" s="147"/>
      <c r="C7" s="147"/>
      <c r="D7" s="677" t="s">
        <v>710</v>
      </c>
      <c r="E7" s="147"/>
      <c r="F7" s="444"/>
      <c r="G7" s="147"/>
      <c r="H7" s="156" t="s">
        <v>141</v>
      </c>
      <c r="I7" s="777" t="b">
        <v>1</v>
      </c>
      <c r="J7" s="193"/>
      <c r="K7" s="186"/>
      <c r="L7" s="186"/>
      <c r="M7" s="195"/>
      <c r="N7" s="195"/>
      <c r="O7" s="195"/>
      <c r="P7" s="195"/>
      <c r="Q7" s="195"/>
      <c r="R7" s="195"/>
      <c r="S7" s="195"/>
      <c r="T7" s="195"/>
      <c r="U7" s="195"/>
      <c r="V7" s="195"/>
      <c r="W7" s="195"/>
      <c r="X7" s="195"/>
      <c r="Y7" s="195"/>
      <c r="Z7" s="163"/>
      <c r="AA7" s="163"/>
      <c r="AB7" s="163"/>
      <c r="AC7" s="195"/>
      <c r="AD7" s="195"/>
      <c r="AE7" s="195"/>
      <c r="AF7" s="195"/>
      <c r="AG7" s="195"/>
      <c r="AH7" s="195"/>
      <c r="AI7" s="195"/>
      <c r="AJ7" s="195"/>
      <c r="AK7" s="195"/>
      <c r="AL7" s="195"/>
      <c r="AM7" s="195"/>
      <c r="AN7" s="195"/>
      <c r="AO7" s="195"/>
      <c r="AP7" s="195"/>
      <c r="AQ7" s="195"/>
      <c r="AR7" s="195"/>
      <c r="AS7" s="195"/>
      <c r="AT7" s="195"/>
      <c r="AU7" s="195"/>
      <c r="AV7" s="195"/>
      <c r="AW7" s="195"/>
      <c r="AX7" s="195"/>
      <c r="AY7" s="195"/>
      <c r="AZ7" s="195"/>
    </row>
    <row r="8" spans="1:52" s="14" customFormat="1" ht="12.75" customHeight="1" x14ac:dyDescent="0.2">
      <c r="A8" s="154" t="str">
        <f>IF($L$4=1,K10,L10)</f>
        <v>Dokumentarfilm</v>
      </c>
      <c r="B8" s="147"/>
      <c r="C8" s="147"/>
      <c r="D8" s="147"/>
      <c r="E8" s="147"/>
      <c r="F8" s="155"/>
      <c r="G8" s="147"/>
      <c r="H8" s="156" t="s">
        <v>808</v>
      </c>
      <c r="I8" s="777" t="b">
        <v>0</v>
      </c>
      <c r="J8" s="193"/>
      <c r="K8" s="196" t="s">
        <v>712</v>
      </c>
      <c r="L8" s="196" t="s">
        <v>713</v>
      </c>
      <c r="M8" s="197"/>
      <c r="N8" s="195"/>
      <c r="O8" s="195"/>
      <c r="P8" s="195"/>
      <c r="Q8" s="195"/>
      <c r="R8" s="195"/>
      <c r="S8" s="195"/>
      <c r="T8" s="195"/>
      <c r="U8" s="195"/>
      <c r="V8" s="195"/>
      <c r="W8" s="195"/>
      <c r="X8" s="195"/>
      <c r="Y8" s="195"/>
      <c r="Z8" s="163"/>
      <c r="AA8" s="163"/>
      <c r="AB8" s="163"/>
      <c r="AC8" s="195"/>
      <c r="AD8" s="195"/>
      <c r="AE8" s="195"/>
      <c r="AF8" s="195"/>
      <c r="AG8" s="195"/>
      <c r="AH8" s="195"/>
      <c r="AI8" s="195"/>
      <c r="AJ8" s="195"/>
      <c r="AK8" s="195"/>
      <c r="AL8" s="195"/>
      <c r="AM8" s="195"/>
      <c r="AN8" s="195"/>
      <c r="AO8" s="195"/>
      <c r="AP8" s="195"/>
      <c r="AQ8" s="195"/>
      <c r="AR8" s="195"/>
      <c r="AS8" s="195"/>
      <c r="AT8" s="195"/>
      <c r="AU8" s="195"/>
      <c r="AV8" s="195"/>
      <c r="AW8" s="195"/>
      <c r="AX8" s="195"/>
      <c r="AY8" s="195"/>
      <c r="AZ8" s="195"/>
    </row>
    <row r="9" spans="1:52" s="14" customFormat="1" ht="12.75" customHeight="1" x14ac:dyDescent="0.2">
      <c r="A9" s="154" t="str">
        <f>IF($L$4=1,K11,L11)</f>
        <v>Werkstattprojekt</v>
      </c>
      <c r="B9" s="147"/>
      <c r="C9" s="147"/>
      <c r="D9" s="445" t="str">
        <f>IF($L$4=1,K12,L12)</f>
        <v>gefördert durch BMWKMS/if</v>
      </c>
      <c r="E9" s="774"/>
      <c r="F9" s="775"/>
      <c r="G9" s="147"/>
      <c r="H9" s="156" t="s">
        <v>723</v>
      </c>
      <c r="I9" s="777" t="b">
        <v>0</v>
      </c>
      <c r="J9" s="193"/>
      <c r="K9" s="196" t="s">
        <v>141</v>
      </c>
      <c r="L9" s="196" t="s">
        <v>306</v>
      </c>
      <c r="M9" s="205"/>
      <c r="N9" s="195"/>
      <c r="O9" s="195"/>
      <c r="P9" s="195"/>
      <c r="Q9" s="195"/>
      <c r="R9" s="195"/>
      <c r="S9" s="195"/>
      <c r="T9" s="195"/>
      <c r="U9" s="195"/>
      <c r="V9" s="195"/>
      <c r="W9" s="195"/>
      <c r="X9" s="195"/>
      <c r="Y9" s="195"/>
      <c r="Z9" s="163"/>
      <c r="AA9" s="163"/>
      <c r="AB9" s="163"/>
      <c r="AC9" s="195"/>
      <c r="AD9" s="195"/>
      <c r="AE9" s="195"/>
      <c r="AF9" s="195"/>
      <c r="AG9" s="195"/>
      <c r="AH9" s="195"/>
      <c r="AI9" s="195"/>
      <c r="AJ9" s="195"/>
      <c r="AK9" s="195"/>
      <c r="AL9" s="195"/>
      <c r="AM9" s="195"/>
      <c r="AN9" s="195"/>
      <c r="AO9" s="195"/>
      <c r="AP9" s="195"/>
      <c r="AQ9" s="195"/>
      <c r="AR9" s="195"/>
      <c r="AS9" s="195"/>
      <c r="AT9" s="195"/>
      <c r="AU9" s="195"/>
      <c r="AV9" s="195"/>
      <c r="AW9" s="195"/>
      <c r="AX9" s="195"/>
      <c r="AY9" s="195"/>
      <c r="AZ9" s="195"/>
    </row>
    <row r="10" spans="1:52" s="14" customFormat="1" ht="12.75" customHeight="1" x14ac:dyDescent="0.2">
      <c r="A10" s="780"/>
      <c r="B10" s="147"/>
      <c r="C10" s="147"/>
      <c r="D10" s="147"/>
      <c r="E10" s="147"/>
      <c r="F10" s="158"/>
      <c r="G10" s="147"/>
      <c r="H10" s="156" t="s">
        <v>1206</v>
      </c>
      <c r="I10" s="777" t="b">
        <v>0</v>
      </c>
      <c r="J10" s="193"/>
      <c r="K10" s="196" t="s">
        <v>140</v>
      </c>
      <c r="L10" s="196" t="s">
        <v>305</v>
      </c>
      <c r="M10" s="205"/>
      <c r="N10" s="195"/>
      <c r="O10" s="195"/>
      <c r="P10" s="195"/>
      <c r="Q10" s="195"/>
      <c r="R10" s="195"/>
      <c r="S10" s="195"/>
      <c r="T10" s="195"/>
      <c r="U10" s="195"/>
      <c r="V10" s="195"/>
      <c r="W10" s="195"/>
      <c r="X10" s="195"/>
      <c r="Y10" s="195"/>
      <c r="Z10" s="163"/>
      <c r="AA10" s="163"/>
      <c r="AB10" s="163"/>
      <c r="AC10" s="195"/>
      <c r="AD10" s="195"/>
      <c r="AE10" s="195"/>
      <c r="AF10" s="195"/>
      <c r="AG10" s="195"/>
      <c r="AH10" s="195"/>
      <c r="AI10" s="195"/>
      <c r="AJ10" s="195"/>
      <c r="AK10" s="195"/>
      <c r="AL10" s="195"/>
      <c r="AM10" s="195"/>
      <c r="AN10" s="195"/>
      <c r="AO10" s="195"/>
      <c r="AP10" s="195"/>
      <c r="AQ10" s="195"/>
      <c r="AR10" s="195"/>
      <c r="AS10" s="195"/>
      <c r="AT10" s="195"/>
      <c r="AU10" s="195"/>
      <c r="AV10" s="195"/>
      <c r="AW10" s="195"/>
      <c r="AX10" s="195"/>
      <c r="AY10" s="195"/>
      <c r="AZ10" s="195"/>
    </row>
    <row r="11" spans="1:52" s="14" customFormat="1" ht="12.75" customHeight="1" x14ac:dyDescent="0.2">
      <c r="A11" s="154" t="str">
        <f>IF($L$4=1,K14,L14)</f>
        <v>Produktionsfirma</v>
      </c>
      <c r="B11" s="1376"/>
      <c r="C11" s="1377"/>
      <c r="D11" s="1377"/>
      <c r="E11" s="1377"/>
      <c r="F11" s="1381"/>
      <c r="G11" s="147"/>
      <c r="H11" s="156"/>
      <c r="I11" s="157"/>
      <c r="J11" s="199"/>
      <c r="K11" s="196" t="s">
        <v>547</v>
      </c>
      <c r="L11" s="196" t="s">
        <v>304</v>
      </c>
      <c r="M11" s="205"/>
      <c r="N11" s="195"/>
      <c r="O11" s="195"/>
      <c r="P11" s="195"/>
      <c r="Q11" s="195"/>
      <c r="R11" s="195"/>
      <c r="S11" s="195"/>
      <c r="T11" s="195"/>
      <c r="U11" s="195"/>
      <c r="V11" s="195"/>
      <c r="W11" s="195"/>
      <c r="X11" s="195"/>
      <c r="Y11" s="195"/>
      <c r="Z11" s="163"/>
      <c r="AA11" s="163"/>
      <c r="AB11" s="163"/>
      <c r="AC11" s="195"/>
      <c r="AD11" s="195"/>
      <c r="AE11" s="195"/>
      <c r="AF11" s="195"/>
      <c r="AG11" s="195"/>
      <c r="AH11" s="195"/>
      <c r="AI11" s="195"/>
      <c r="AJ11" s="195"/>
      <c r="AK11" s="195"/>
      <c r="AL11" s="195"/>
      <c r="AM11" s="195"/>
      <c r="AN11" s="195"/>
      <c r="AO11" s="195"/>
      <c r="AP11" s="195"/>
      <c r="AQ11" s="195"/>
      <c r="AR11" s="195"/>
      <c r="AS11" s="195"/>
      <c r="AT11" s="195"/>
      <c r="AU11" s="195"/>
      <c r="AV11" s="195"/>
      <c r="AW11" s="195"/>
      <c r="AX11" s="195"/>
      <c r="AY11" s="195"/>
      <c r="AZ11" s="195"/>
    </row>
    <row r="12" spans="1:52" s="14" customFormat="1" ht="12.75" customHeight="1" x14ac:dyDescent="0.2">
      <c r="A12" s="780"/>
      <c r="B12" s="147"/>
      <c r="C12" s="147"/>
      <c r="D12" s="147"/>
      <c r="E12" s="147"/>
      <c r="F12" s="147"/>
      <c r="G12" s="147"/>
      <c r="H12" s="156"/>
      <c r="I12" s="157"/>
      <c r="J12" s="199"/>
      <c r="K12" s="196" t="s">
        <v>1167</v>
      </c>
      <c r="L12" s="196" t="s">
        <v>1168</v>
      </c>
      <c r="M12" s="197"/>
      <c r="N12" s="195"/>
      <c r="O12" s="195"/>
      <c r="P12" s="195"/>
      <c r="Q12" s="195"/>
      <c r="R12" s="195"/>
      <c r="S12" s="195"/>
      <c r="T12" s="195"/>
      <c r="U12" s="195"/>
      <c r="V12" s="195"/>
      <c r="W12" s="195"/>
      <c r="X12" s="195"/>
      <c r="Y12" s="195"/>
      <c r="Z12" s="163"/>
      <c r="AA12" s="163"/>
      <c r="AB12" s="163"/>
      <c r="AC12" s="195"/>
      <c r="AD12" s="195"/>
      <c r="AE12" s="195"/>
      <c r="AF12" s="195"/>
      <c r="AG12" s="195"/>
      <c r="AH12" s="195"/>
      <c r="AI12" s="195"/>
      <c r="AJ12" s="195"/>
      <c r="AK12" s="195"/>
      <c r="AL12" s="195"/>
      <c r="AM12" s="195"/>
      <c r="AN12" s="195"/>
      <c r="AO12" s="195"/>
      <c r="AP12" s="195"/>
      <c r="AQ12" s="195"/>
      <c r="AR12" s="195"/>
      <c r="AS12" s="195"/>
      <c r="AT12" s="195"/>
      <c r="AU12" s="195"/>
      <c r="AV12" s="195"/>
      <c r="AW12" s="195"/>
      <c r="AX12" s="195"/>
      <c r="AY12" s="195"/>
      <c r="AZ12" s="195"/>
    </row>
    <row r="13" spans="1:52" s="14" customFormat="1" ht="12.75" customHeight="1" x14ac:dyDescent="0.2">
      <c r="A13" s="154" t="str">
        <f t="shared" ref="A13" si="0">IF($L$4=1,K15,L15)</f>
        <v>Regie</v>
      </c>
      <c r="B13" s="1376"/>
      <c r="C13" s="1377"/>
      <c r="D13" s="1377"/>
      <c r="E13" s="1377"/>
      <c r="F13" s="125"/>
      <c r="G13" s="147"/>
      <c r="H13" s="156" t="s">
        <v>142</v>
      </c>
      <c r="I13" s="157" t="s">
        <v>825</v>
      </c>
      <c r="J13" s="199"/>
      <c r="K13" s="196"/>
      <c r="L13" s="196"/>
      <c r="M13" s="197"/>
      <c r="N13" s="195"/>
      <c r="O13" s="195"/>
      <c r="P13" s="195"/>
      <c r="Q13" s="195"/>
      <c r="R13" s="195"/>
      <c r="S13" s="195"/>
      <c r="T13" s="195"/>
      <c r="U13" s="195"/>
      <c r="V13" s="195"/>
      <c r="W13" s="195"/>
      <c r="X13" s="195"/>
      <c r="Y13" s="195"/>
      <c r="Z13" s="163"/>
      <c r="AA13" s="163"/>
      <c r="AB13" s="163"/>
      <c r="AC13" s="195"/>
      <c r="AD13" s="195"/>
      <c r="AE13" s="195"/>
      <c r="AF13" s="195"/>
      <c r="AG13" s="195"/>
      <c r="AH13" s="195"/>
      <c r="AI13" s="195"/>
      <c r="AJ13" s="195"/>
      <c r="AK13" s="195"/>
      <c r="AL13" s="195"/>
      <c r="AM13" s="195"/>
      <c r="AN13" s="195"/>
      <c r="AO13" s="195"/>
      <c r="AP13" s="195"/>
      <c r="AQ13" s="195"/>
      <c r="AR13" s="195"/>
      <c r="AS13" s="195"/>
      <c r="AT13" s="195"/>
      <c r="AU13" s="195"/>
      <c r="AV13" s="195"/>
      <c r="AW13" s="195"/>
      <c r="AX13" s="195"/>
      <c r="AY13" s="195"/>
      <c r="AZ13" s="195"/>
    </row>
    <row r="14" spans="1:52" s="14" customFormat="1" ht="12.75" customHeight="1" x14ac:dyDescent="0.2">
      <c r="A14" s="159"/>
      <c r="B14" s="164" t="str">
        <f t="shared" ref="B14" si="1">IF($L$4=1,K16,L16)</f>
        <v>Debutfilm (1. abendfüllender Kinofilm)</v>
      </c>
      <c r="C14" s="165"/>
      <c r="D14" s="165"/>
      <c r="E14" s="165"/>
      <c r="F14" s="166"/>
      <c r="G14" s="147"/>
      <c r="H14" s="156" t="s">
        <v>711</v>
      </c>
      <c r="I14" s="777" t="b">
        <v>0</v>
      </c>
      <c r="J14" s="199"/>
      <c r="K14" s="196" t="s">
        <v>709</v>
      </c>
      <c r="L14" s="196" t="s">
        <v>277</v>
      </c>
      <c r="M14" s="198"/>
      <c r="N14" s="195"/>
      <c r="O14" s="195"/>
      <c r="P14" s="195"/>
      <c r="Q14" s="195"/>
      <c r="R14" s="195"/>
      <c r="S14" s="195"/>
      <c r="T14" s="195"/>
      <c r="U14" s="195"/>
      <c r="V14" s="195"/>
      <c r="W14" s="195"/>
      <c r="X14" s="195"/>
      <c r="Y14" s="195"/>
      <c r="Z14" s="163"/>
      <c r="AA14" s="163"/>
      <c r="AB14" s="163"/>
      <c r="AC14" s="195"/>
      <c r="AD14" s="195"/>
      <c r="AE14" s="195"/>
      <c r="AF14" s="195"/>
      <c r="AG14" s="195"/>
      <c r="AH14" s="195"/>
      <c r="AI14" s="195"/>
      <c r="AJ14" s="195"/>
      <c r="AK14" s="195"/>
      <c r="AL14" s="195"/>
      <c r="AM14" s="195"/>
      <c r="AN14" s="195"/>
      <c r="AO14" s="195"/>
      <c r="AP14" s="195"/>
      <c r="AQ14" s="195"/>
      <c r="AR14" s="195"/>
      <c r="AS14" s="195"/>
      <c r="AT14" s="195"/>
      <c r="AU14" s="195"/>
      <c r="AV14" s="195"/>
      <c r="AW14" s="195"/>
      <c r="AX14" s="195"/>
      <c r="AY14" s="195"/>
      <c r="AZ14" s="195"/>
    </row>
    <row r="15" spans="1:52" s="15" customFormat="1" ht="12.75" customHeight="1" x14ac:dyDescent="0.2">
      <c r="A15" s="154" t="str">
        <f>IF($L$4=1,K17,L17)</f>
        <v>Drehbuch</v>
      </c>
      <c r="B15" s="1368"/>
      <c r="C15" s="1369"/>
      <c r="D15" s="1369"/>
      <c r="E15" s="1369"/>
      <c r="F15" s="124"/>
      <c r="G15" s="179"/>
      <c r="H15" s="156" t="s">
        <v>35</v>
      </c>
      <c r="I15" s="157" t="s">
        <v>824</v>
      </c>
      <c r="J15" s="199"/>
      <c r="K15" s="196" t="s">
        <v>142</v>
      </c>
      <c r="L15" s="196" t="s">
        <v>278</v>
      </c>
      <c r="M15" s="198"/>
      <c r="N15" s="195"/>
      <c r="O15" s="195"/>
      <c r="P15" s="195"/>
      <c r="Q15" s="200"/>
      <c r="R15" s="200"/>
      <c r="S15" s="200"/>
      <c r="T15" s="200"/>
      <c r="U15" s="200"/>
      <c r="V15" s="200"/>
      <c r="W15" s="200"/>
      <c r="X15" s="200"/>
      <c r="Y15" s="200"/>
      <c r="Z15" s="163"/>
      <c r="AA15" s="163"/>
      <c r="AB15" s="163"/>
      <c r="AC15" s="200"/>
      <c r="AD15" s="200"/>
      <c r="AE15" s="200"/>
      <c r="AF15" s="200"/>
      <c r="AG15" s="200"/>
      <c r="AH15" s="200"/>
      <c r="AI15" s="200"/>
      <c r="AJ15" s="200"/>
      <c r="AK15" s="200"/>
      <c r="AL15" s="200"/>
      <c r="AM15" s="200"/>
      <c r="AN15" s="200"/>
      <c r="AO15" s="200"/>
      <c r="AP15" s="200"/>
      <c r="AQ15" s="200"/>
      <c r="AR15" s="200"/>
      <c r="AS15" s="200"/>
      <c r="AT15" s="200"/>
      <c r="AU15" s="200"/>
      <c r="AV15" s="200"/>
      <c r="AW15" s="200"/>
      <c r="AX15" s="200"/>
      <c r="AY15" s="200"/>
      <c r="AZ15" s="200"/>
    </row>
    <row r="16" spans="1:52" s="15" customFormat="1" ht="12.75" customHeight="1" x14ac:dyDescent="0.2">
      <c r="A16" s="154"/>
      <c r="B16" s="164" t="str">
        <f>IF($L$4=1,K18,L18)</f>
        <v>Debut (Drehbuch)</v>
      </c>
      <c r="C16" s="165"/>
      <c r="D16" s="165"/>
      <c r="E16" s="165"/>
      <c r="F16" s="166"/>
      <c r="G16" s="179"/>
      <c r="H16" s="156" t="s">
        <v>814</v>
      </c>
      <c r="I16" s="777" t="b">
        <v>0</v>
      </c>
      <c r="J16" s="199"/>
      <c r="K16" s="196" t="s">
        <v>715</v>
      </c>
      <c r="L16" s="196" t="s">
        <v>817</v>
      </c>
      <c r="M16" s="198"/>
      <c r="N16" s="195"/>
      <c r="O16" s="195"/>
      <c r="P16" s="195"/>
      <c r="Q16" s="200"/>
      <c r="R16" s="200"/>
      <c r="S16" s="200"/>
      <c r="T16" s="200"/>
      <c r="U16" s="200"/>
      <c r="V16" s="200"/>
      <c r="W16" s="200"/>
      <c r="X16" s="200"/>
      <c r="Y16" s="200"/>
      <c r="Z16" s="163"/>
      <c r="AA16" s="163"/>
      <c r="AB16" s="163"/>
      <c r="AC16" s="200"/>
      <c r="AD16" s="200"/>
      <c r="AE16" s="200"/>
      <c r="AF16" s="200"/>
      <c r="AG16" s="200"/>
      <c r="AH16" s="200"/>
      <c r="AI16" s="200"/>
      <c r="AJ16" s="200"/>
      <c r="AK16" s="200"/>
      <c r="AL16" s="200"/>
      <c r="AM16" s="200"/>
      <c r="AN16" s="200"/>
      <c r="AO16" s="200"/>
      <c r="AP16" s="200"/>
      <c r="AQ16" s="200"/>
      <c r="AR16" s="200"/>
      <c r="AS16" s="200"/>
      <c r="AT16" s="200"/>
      <c r="AU16" s="200"/>
      <c r="AV16" s="200"/>
      <c r="AW16" s="200"/>
      <c r="AX16" s="200"/>
      <c r="AY16" s="200"/>
      <c r="AZ16" s="200"/>
    </row>
    <row r="17" spans="1:52" s="15" customFormat="1" ht="12.75" customHeight="1" x14ac:dyDescent="0.2">
      <c r="A17" s="154" t="str">
        <f>IF($L$4=1,K19,L19)</f>
        <v>Herstellungsleitung</v>
      </c>
      <c r="B17" s="1368"/>
      <c r="C17" s="1369"/>
      <c r="D17" s="1369"/>
      <c r="E17" s="1369"/>
      <c r="F17" s="124"/>
      <c r="G17" s="179"/>
      <c r="H17" s="156" t="s">
        <v>818</v>
      </c>
      <c r="I17" s="157" t="s">
        <v>821</v>
      </c>
      <c r="J17" s="199"/>
      <c r="K17" s="196" t="s">
        <v>35</v>
      </c>
      <c r="L17" s="196" t="s">
        <v>279</v>
      </c>
      <c r="M17" s="198"/>
      <c r="N17" s="195"/>
      <c r="O17" s="195"/>
      <c r="P17" s="195"/>
      <c r="Q17" s="200"/>
      <c r="R17" s="200"/>
      <c r="S17" s="200"/>
      <c r="T17" s="200"/>
      <c r="U17" s="200"/>
      <c r="V17" s="200"/>
      <c r="W17" s="200"/>
      <c r="X17" s="200"/>
      <c r="Y17" s="200"/>
      <c r="Z17" s="163"/>
      <c r="AA17" s="163"/>
      <c r="AB17" s="163"/>
      <c r="AC17" s="200"/>
      <c r="AD17" s="200"/>
      <c r="AE17" s="200"/>
      <c r="AF17" s="200"/>
      <c r="AG17" s="200"/>
      <c r="AH17" s="200"/>
      <c r="AI17" s="200"/>
      <c r="AJ17" s="200"/>
      <c r="AK17" s="200"/>
      <c r="AL17" s="200"/>
      <c r="AM17" s="200"/>
      <c r="AN17" s="200"/>
      <c r="AO17" s="200"/>
      <c r="AP17" s="200"/>
      <c r="AQ17" s="200"/>
      <c r="AR17" s="200"/>
      <c r="AS17" s="200"/>
      <c r="AT17" s="200"/>
      <c r="AU17" s="200"/>
      <c r="AV17" s="200"/>
      <c r="AW17" s="200"/>
      <c r="AX17" s="200"/>
      <c r="AY17" s="200"/>
      <c r="AZ17" s="200"/>
    </row>
    <row r="18" spans="1:52" s="15" customFormat="1" ht="12.75" customHeight="1" x14ac:dyDescent="0.2">
      <c r="A18" s="154" t="str">
        <f>IF($L$4=1,K20,L20)</f>
        <v>Produktionsleitung</v>
      </c>
      <c r="B18" s="1368"/>
      <c r="C18" s="1369"/>
      <c r="D18" s="1369"/>
      <c r="E18" s="1369"/>
      <c r="F18" s="1384"/>
      <c r="G18" s="179"/>
      <c r="H18" s="156" t="s">
        <v>819</v>
      </c>
      <c r="I18" s="157" t="s">
        <v>822</v>
      </c>
      <c r="J18" s="199"/>
      <c r="K18" s="196" t="s">
        <v>816</v>
      </c>
      <c r="L18" s="196" t="s">
        <v>815</v>
      </c>
      <c r="M18" s="198"/>
      <c r="N18" s="195"/>
      <c r="O18" s="195"/>
      <c r="P18" s="195"/>
      <c r="Q18" s="200"/>
      <c r="R18" s="200"/>
      <c r="S18" s="200"/>
      <c r="T18" s="200"/>
      <c r="U18" s="200"/>
      <c r="V18" s="200"/>
      <c r="W18" s="200"/>
      <c r="X18" s="200"/>
      <c r="Y18" s="200"/>
      <c r="Z18" s="163"/>
      <c r="AA18" s="163"/>
      <c r="AB18" s="163"/>
      <c r="AC18" s="200"/>
      <c r="AD18" s="200"/>
      <c r="AE18" s="200"/>
      <c r="AF18" s="200"/>
      <c r="AG18" s="200"/>
      <c r="AH18" s="200"/>
      <c r="AI18" s="200"/>
      <c r="AJ18" s="200"/>
      <c r="AK18" s="200"/>
      <c r="AL18" s="200"/>
      <c r="AM18" s="200"/>
      <c r="AN18" s="200"/>
      <c r="AO18" s="200"/>
      <c r="AP18" s="200"/>
      <c r="AQ18" s="200"/>
      <c r="AR18" s="200"/>
      <c r="AS18" s="200"/>
      <c r="AT18" s="200"/>
      <c r="AU18" s="200"/>
      <c r="AV18" s="200"/>
      <c r="AW18" s="200"/>
      <c r="AX18" s="200"/>
      <c r="AY18" s="200"/>
      <c r="AZ18" s="200"/>
    </row>
    <row r="19" spans="1:52" s="15" customFormat="1" ht="12.75" customHeight="1" x14ac:dyDescent="0.2">
      <c r="A19" s="154" t="str">
        <f>IF($L$4=1,K21,L21)</f>
        <v>Filmgeschäftsführung</v>
      </c>
      <c r="B19" s="1370"/>
      <c r="C19" s="1371"/>
      <c r="D19" s="1371"/>
      <c r="E19" s="1371"/>
      <c r="F19" s="1372"/>
      <c r="G19" s="179"/>
      <c r="H19" s="156" t="s">
        <v>820</v>
      </c>
      <c r="I19" s="157" t="s">
        <v>823</v>
      </c>
      <c r="J19" s="199"/>
      <c r="K19" s="196" t="s">
        <v>148</v>
      </c>
      <c r="L19" s="196" t="s">
        <v>280</v>
      </c>
      <c r="M19" s="198"/>
      <c r="N19" s="195"/>
      <c r="O19" s="200"/>
      <c r="P19" s="200"/>
      <c r="Q19" s="200"/>
      <c r="R19" s="200"/>
      <c r="S19" s="200"/>
      <c r="T19" s="200"/>
      <c r="U19" s="200"/>
      <c r="V19" s="200"/>
      <c r="W19" s="200"/>
      <c r="X19" s="200"/>
      <c r="Y19" s="200"/>
      <c r="Z19" s="163"/>
      <c r="AA19" s="163"/>
      <c r="AB19" s="163"/>
      <c r="AC19" s="200"/>
      <c r="AD19" s="200"/>
      <c r="AE19" s="200"/>
      <c r="AF19" s="200"/>
      <c r="AG19" s="200"/>
      <c r="AH19" s="200"/>
      <c r="AI19" s="200"/>
      <c r="AJ19" s="200"/>
      <c r="AK19" s="200"/>
      <c r="AL19" s="200"/>
      <c r="AM19" s="200"/>
      <c r="AN19" s="200"/>
      <c r="AO19" s="200"/>
      <c r="AP19" s="200"/>
      <c r="AQ19" s="200"/>
      <c r="AR19" s="200"/>
      <c r="AS19" s="200"/>
      <c r="AT19" s="200"/>
      <c r="AU19" s="200"/>
      <c r="AV19" s="200"/>
      <c r="AW19" s="200"/>
      <c r="AX19" s="200"/>
      <c r="AY19" s="200"/>
      <c r="AZ19" s="200"/>
    </row>
    <row r="20" spans="1:52" s="15" customFormat="1" ht="12.75" customHeight="1" x14ac:dyDescent="0.2">
      <c r="A20" s="781"/>
      <c r="B20" s="167"/>
      <c r="C20" s="167"/>
      <c r="D20" s="167"/>
      <c r="E20" s="167"/>
      <c r="F20" s="167"/>
      <c r="G20" s="179"/>
      <c r="H20" s="180"/>
      <c r="I20" s="181"/>
      <c r="J20" s="199"/>
      <c r="K20" s="196" t="s">
        <v>143</v>
      </c>
      <c r="L20" s="196" t="s">
        <v>281</v>
      </c>
      <c r="M20" s="198"/>
      <c r="N20" s="200"/>
      <c r="O20" s="200"/>
      <c r="P20" s="200"/>
      <c r="Q20" s="200"/>
      <c r="R20" s="200"/>
      <c r="S20" s="200"/>
      <c r="T20" s="200"/>
      <c r="U20" s="200"/>
      <c r="V20" s="200"/>
      <c r="W20" s="200"/>
      <c r="X20" s="200"/>
      <c r="Y20" s="200"/>
      <c r="Z20" s="163"/>
      <c r="AA20" s="163"/>
      <c r="AB20" s="163"/>
      <c r="AC20" s="200"/>
      <c r="AD20" s="200"/>
      <c r="AE20" s="200"/>
      <c r="AF20" s="200"/>
      <c r="AG20" s="200"/>
      <c r="AH20" s="200"/>
      <c r="AI20" s="200"/>
      <c r="AJ20" s="200"/>
      <c r="AK20" s="200"/>
      <c r="AL20" s="200"/>
      <c r="AM20" s="200"/>
      <c r="AN20" s="200"/>
      <c r="AO20" s="200"/>
      <c r="AP20" s="200"/>
      <c r="AQ20" s="200"/>
      <c r="AR20" s="200"/>
      <c r="AS20" s="200"/>
      <c r="AT20" s="200"/>
      <c r="AU20" s="200"/>
      <c r="AV20" s="200"/>
      <c r="AW20" s="200"/>
      <c r="AX20" s="200"/>
      <c r="AY20" s="200"/>
      <c r="AZ20" s="200"/>
    </row>
    <row r="21" spans="1:52" s="15" customFormat="1" ht="12.75" customHeight="1" x14ac:dyDescent="0.2">
      <c r="A21" s="161" t="str">
        <f>IF($L$4=1,K23,L23)</f>
        <v>Kalkulation vom (Datum)</v>
      </c>
      <c r="B21" s="123"/>
      <c r="C21" s="168"/>
      <c r="D21" s="161" t="str">
        <f>IF($L$4=1,K24,L24)</f>
        <v>Erstellt von</v>
      </c>
      <c r="E21" s="1382"/>
      <c r="F21" s="1383"/>
      <c r="G21" s="179"/>
      <c r="H21" s="180"/>
      <c r="I21" s="181"/>
      <c r="J21" s="199"/>
      <c r="K21" s="196" t="s">
        <v>180</v>
      </c>
      <c r="L21" s="196" t="s">
        <v>282</v>
      </c>
      <c r="M21" s="198"/>
      <c r="N21" s="200"/>
      <c r="O21" s="200"/>
      <c r="P21" s="200"/>
      <c r="Q21" s="200"/>
      <c r="R21" s="200"/>
      <c r="S21" s="200"/>
      <c r="T21" s="200"/>
      <c r="U21" s="200"/>
      <c r="V21" s="200"/>
      <c r="W21" s="200"/>
      <c r="X21" s="200"/>
      <c r="Y21" s="200"/>
      <c r="Z21" s="163"/>
      <c r="AA21" s="163"/>
      <c r="AB21" s="163"/>
      <c r="AC21" s="200"/>
      <c r="AD21" s="200"/>
      <c r="AE21" s="200"/>
      <c r="AF21" s="200"/>
      <c r="AG21" s="200"/>
      <c r="AH21" s="200"/>
      <c r="AI21" s="200"/>
      <c r="AJ21" s="200"/>
      <c r="AK21" s="200"/>
      <c r="AL21" s="200"/>
      <c r="AM21" s="200"/>
      <c r="AN21" s="200"/>
      <c r="AO21" s="200"/>
      <c r="AP21" s="200"/>
      <c r="AQ21" s="200"/>
      <c r="AR21" s="200"/>
      <c r="AS21" s="200"/>
      <c r="AT21" s="200"/>
      <c r="AU21" s="200"/>
      <c r="AV21" s="200"/>
      <c r="AW21" s="200"/>
      <c r="AX21" s="200"/>
      <c r="AY21" s="200"/>
      <c r="AZ21" s="200"/>
    </row>
    <row r="22" spans="1:52" s="15" customFormat="1" ht="12.75" customHeight="1" x14ac:dyDescent="0.2">
      <c r="A22" s="782"/>
      <c r="B22" s="169"/>
      <c r="C22" s="168"/>
      <c r="D22" s="170"/>
      <c r="E22" s="171"/>
      <c r="F22" s="171"/>
      <c r="G22" s="179"/>
      <c r="H22" s="180"/>
      <c r="I22" s="181"/>
      <c r="J22" s="199"/>
      <c r="K22" s="196"/>
      <c r="L22" s="196"/>
      <c r="M22" s="198"/>
      <c r="N22" s="200"/>
      <c r="O22" s="200"/>
      <c r="P22" s="200"/>
      <c r="Q22" s="200"/>
      <c r="R22" s="200"/>
      <c r="S22" s="200"/>
      <c r="T22" s="200"/>
      <c r="U22" s="200"/>
      <c r="V22" s="200"/>
      <c r="W22" s="200"/>
      <c r="X22" s="200"/>
      <c r="Y22" s="200"/>
      <c r="Z22" s="163"/>
      <c r="AA22" s="163"/>
      <c r="AB22" s="163"/>
      <c r="AC22" s="200"/>
      <c r="AD22" s="200"/>
      <c r="AE22" s="200"/>
      <c r="AF22" s="200"/>
      <c r="AG22" s="200"/>
      <c r="AH22" s="200"/>
      <c r="AI22" s="200"/>
      <c r="AJ22" s="200"/>
      <c r="AK22" s="200"/>
      <c r="AL22" s="200"/>
      <c r="AM22" s="200"/>
      <c r="AN22" s="200"/>
      <c r="AO22" s="200"/>
      <c r="AP22" s="200"/>
      <c r="AQ22" s="200"/>
      <c r="AR22" s="200"/>
      <c r="AS22" s="200"/>
      <c r="AT22" s="200"/>
      <c r="AU22" s="200"/>
      <c r="AV22" s="200"/>
      <c r="AW22" s="200"/>
      <c r="AX22" s="200"/>
      <c r="AY22" s="200"/>
      <c r="AZ22" s="200"/>
    </row>
    <row r="23" spans="1:52" s="15" customFormat="1" ht="12.75" customHeight="1" x14ac:dyDescent="0.2">
      <c r="A23" s="154" t="str">
        <f>IF($L$4=1,K25,L25)</f>
        <v>Darsteller</v>
      </c>
      <c r="B23" s="1378"/>
      <c r="C23" s="1379"/>
      <c r="D23" s="1379"/>
      <c r="E23" s="1379"/>
      <c r="F23" s="1380"/>
      <c r="G23" s="179"/>
      <c r="H23" s="180"/>
      <c r="I23" s="187" t="s">
        <v>184</v>
      </c>
      <c r="J23" s="199"/>
      <c r="K23" s="196" t="s">
        <v>146</v>
      </c>
      <c r="L23" s="196" t="s">
        <v>285</v>
      </c>
      <c r="M23" s="198"/>
      <c r="N23" s="200"/>
      <c r="O23" s="200"/>
      <c r="P23" s="200"/>
      <c r="Q23" s="200"/>
      <c r="R23" s="200"/>
      <c r="S23" s="200"/>
      <c r="T23" s="200"/>
      <c r="U23" s="200"/>
      <c r="V23" s="200"/>
      <c r="W23" s="200"/>
      <c r="X23" s="200"/>
      <c r="Y23" s="200"/>
      <c r="Z23" s="163"/>
      <c r="AA23" s="163"/>
      <c r="AB23" s="163"/>
      <c r="AC23" s="200"/>
      <c r="AD23" s="200"/>
      <c r="AE23" s="200"/>
      <c r="AF23" s="200"/>
      <c r="AG23" s="200"/>
      <c r="AH23" s="200"/>
      <c r="AI23" s="200"/>
      <c r="AJ23" s="200"/>
      <c r="AK23" s="200"/>
      <c r="AL23" s="200"/>
      <c r="AM23" s="200"/>
      <c r="AN23" s="200"/>
      <c r="AO23" s="200"/>
      <c r="AP23" s="200"/>
      <c r="AQ23" s="200"/>
      <c r="AR23" s="200"/>
      <c r="AS23" s="200"/>
      <c r="AT23" s="200"/>
      <c r="AU23" s="200"/>
      <c r="AV23" s="200"/>
      <c r="AW23" s="200"/>
      <c r="AX23" s="200"/>
      <c r="AY23" s="200"/>
      <c r="AZ23" s="200"/>
    </row>
    <row r="24" spans="1:52" s="15" customFormat="1" ht="12.75" customHeight="1" x14ac:dyDescent="0.2">
      <c r="A24" s="782"/>
      <c r="B24" s="1370"/>
      <c r="C24" s="1371"/>
      <c r="D24" s="1371"/>
      <c r="E24" s="1371"/>
      <c r="F24" s="1372"/>
      <c r="G24" s="179"/>
      <c r="H24" s="183"/>
      <c r="I24" s="187" t="s">
        <v>187</v>
      </c>
      <c r="J24" s="199"/>
      <c r="K24" s="196" t="s">
        <v>289</v>
      </c>
      <c r="L24" s="196" t="s">
        <v>298</v>
      </c>
      <c r="M24" s="198"/>
      <c r="N24" s="200"/>
      <c r="O24" s="200"/>
      <c r="P24" s="200"/>
      <c r="Q24" s="200"/>
      <c r="R24" s="200"/>
      <c r="S24" s="200"/>
      <c r="T24" s="200"/>
      <c r="U24" s="200"/>
      <c r="V24" s="200"/>
      <c r="W24" s="200"/>
      <c r="X24" s="200"/>
      <c r="Y24" s="200"/>
      <c r="Z24" s="163"/>
      <c r="AA24" s="163"/>
      <c r="AB24" s="163"/>
      <c r="AC24" s="200"/>
      <c r="AD24" s="200"/>
      <c r="AE24" s="200"/>
      <c r="AF24" s="200"/>
      <c r="AG24" s="200"/>
      <c r="AH24" s="200"/>
      <c r="AI24" s="200"/>
      <c r="AJ24" s="200"/>
      <c r="AK24" s="200"/>
      <c r="AL24" s="200"/>
      <c r="AM24" s="200"/>
      <c r="AN24" s="200"/>
      <c r="AO24" s="200"/>
      <c r="AP24" s="200"/>
      <c r="AQ24" s="200"/>
      <c r="AR24" s="200"/>
      <c r="AS24" s="200"/>
      <c r="AT24" s="200"/>
      <c r="AU24" s="200"/>
      <c r="AV24" s="200"/>
      <c r="AW24" s="200"/>
      <c r="AX24" s="200"/>
      <c r="AY24" s="200"/>
      <c r="AZ24" s="200"/>
    </row>
    <row r="25" spans="1:52" s="15" customFormat="1" ht="12.75" customHeight="1" x14ac:dyDescent="0.2">
      <c r="A25" s="781"/>
      <c r="B25" s="160"/>
      <c r="C25" s="160"/>
      <c r="D25" s="160"/>
      <c r="E25" s="160"/>
      <c r="F25" s="160"/>
      <c r="G25" s="179"/>
      <c r="H25" s="183"/>
      <c r="I25" s="187" t="s">
        <v>185</v>
      </c>
      <c r="J25" s="199"/>
      <c r="K25" s="196" t="s">
        <v>151</v>
      </c>
      <c r="L25" s="196" t="s">
        <v>283</v>
      </c>
      <c r="M25" s="198"/>
      <c r="N25" s="200"/>
      <c r="O25" s="200"/>
      <c r="P25" s="200"/>
      <c r="Q25" s="200"/>
      <c r="R25" s="200"/>
      <c r="S25" s="200"/>
      <c r="T25" s="200"/>
      <c r="U25" s="200"/>
      <c r="V25" s="200"/>
      <c r="W25" s="200"/>
      <c r="X25" s="200"/>
      <c r="Y25" s="200"/>
      <c r="Z25" s="163"/>
      <c r="AA25" s="163"/>
      <c r="AB25" s="163"/>
      <c r="AC25" s="200"/>
      <c r="AD25" s="200"/>
      <c r="AE25" s="200"/>
      <c r="AF25" s="200"/>
      <c r="AG25" s="200"/>
      <c r="AH25" s="200"/>
      <c r="AI25" s="200"/>
      <c r="AJ25" s="200"/>
      <c r="AK25" s="200"/>
      <c r="AL25" s="200"/>
      <c r="AM25" s="200"/>
      <c r="AN25" s="200"/>
      <c r="AO25" s="200"/>
      <c r="AP25" s="200"/>
      <c r="AQ25" s="200"/>
      <c r="AR25" s="200"/>
      <c r="AS25" s="200"/>
      <c r="AT25" s="200"/>
      <c r="AU25" s="200"/>
      <c r="AV25" s="200"/>
      <c r="AW25" s="200"/>
      <c r="AX25" s="200"/>
      <c r="AY25" s="200"/>
      <c r="AZ25" s="200"/>
    </row>
    <row r="26" spans="1:52" s="15" customFormat="1" ht="12.75" customHeight="1" x14ac:dyDescent="0.2">
      <c r="A26" s="161" t="str">
        <f>IF($L$4=1,K27,L27)</f>
        <v>Laufzeit (in Minuten)</v>
      </c>
      <c r="B26" s="126"/>
      <c r="C26" s="172"/>
      <c r="D26" s="173" t="str">
        <f>IF($L$4=1,K29,L29)</f>
        <v>Aufnahmeformat</v>
      </c>
      <c r="E26" s="1373"/>
      <c r="F26" s="1373"/>
      <c r="G26" s="179"/>
      <c r="H26" s="787">
        <v>5</v>
      </c>
      <c r="I26" s="187" t="s">
        <v>188</v>
      </c>
      <c r="J26" s="201"/>
      <c r="K26" s="196"/>
      <c r="L26" s="196"/>
      <c r="M26" s="198"/>
      <c r="N26" s="200"/>
      <c r="O26" s="200"/>
      <c r="P26" s="200"/>
      <c r="Q26" s="200"/>
      <c r="R26" s="200"/>
      <c r="S26" s="200"/>
      <c r="T26" s="200"/>
      <c r="U26" s="200"/>
      <c r="V26" s="200"/>
      <c r="W26" s="200"/>
      <c r="X26" s="200"/>
      <c r="Y26" s="200"/>
      <c r="Z26" s="163"/>
      <c r="AA26" s="163"/>
      <c r="AB26" s="163"/>
      <c r="AC26" s="200"/>
      <c r="AD26" s="200"/>
      <c r="AE26" s="200"/>
      <c r="AF26" s="200"/>
      <c r="AG26" s="200"/>
      <c r="AH26" s="200"/>
      <c r="AI26" s="200"/>
      <c r="AJ26" s="200"/>
      <c r="AK26" s="200"/>
      <c r="AL26" s="200"/>
      <c r="AM26" s="200"/>
      <c r="AN26" s="200"/>
      <c r="AO26" s="200"/>
      <c r="AP26" s="200"/>
      <c r="AQ26" s="200"/>
      <c r="AR26" s="200"/>
      <c r="AS26" s="200"/>
      <c r="AT26" s="200"/>
      <c r="AU26" s="200"/>
      <c r="AV26" s="200"/>
      <c r="AW26" s="200"/>
      <c r="AX26" s="200"/>
      <c r="AY26" s="200"/>
      <c r="AZ26" s="200"/>
    </row>
    <row r="27" spans="1:52" s="15" customFormat="1" ht="12.75" customHeight="1" x14ac:dyDescent="0.2">
      <c r="A27" s="161" t="str">
        <f>IF($L$4=1,K28,L28)</f>
        <v>Seitenverhältnis</v>
      </c>
      <c r="B27" s="127"/>
      <c r="C27" s="172"/>
      <c r="D27" s="173" t="str">
        <f>IF($L$4=1,K30,L30)</f>
        <v>Kopienformat</v>
      </c>
      <c r="E27" s="1373"/>
      <c r="F27" s="1373"/>
      <c r="G27" s="179"/>
      <c r="H27" s="787">
        <v>5</v>
      </c>
      <c r="I27" s="187" t="s">
        <v>186</v>
      </c>
      <c r="J27" s="201"/>
      <c r="K27" s="196" t="s">
        <v>144</v>
      </c>
      <c r="L27" s="196" t="s">
        <v>284</v>
      </c>
      <c r="M27" s="198"/>
      <c r="N27" s="203"/>
      <c r="O27" s="200"/>
      <c r="P27" s="204"/>
      <c r="Q27" s="200"/>
      <c r="R27" s="200"/>
      <c r="S27" s="200"/>
      <c r="T27" s="200"/>
      <c r="U27" s="200"/>
      <c r="V27" s="200"/>
      <c r="W27" s="200"/>
      <c r="X27" s="200"/>
      <c r="Y27" s="200"/>
      <c r="Z27" s="163"/>
      <c r="AA27" s="163"/>
      <c r="AB27" s="163"/>
      <c r="AC27" s="200"/>
      <c r="AD27" s="200"/>
      <c r="AE27" s="200"/>
      <c r="AF27" s="200"/>
      <c r="AG27" s="200"/>
      <c r="AH27" s="200"/>
      <c r="AI27" s="200"/>
      <c r="AJ27" s="200"/>
      <c r="AK27" s="200"/>
      <c r="AL27" s="200"/>
      <c r="AM27" s="200"/>
      <c r="AN27" s="200"/>
      <c r="AO27" s="200"/>
      <c r="AP27" s="200"/>
      <c r="AQ27" s="200"/>
      <c r="AR27" s="200"/>
      <c r="AS27" s="200"/>
      <c r="AT27" s="200"/>
      <c r="AU27" s="200"/>
      <c r="AV27" s="200"/>
      <c r="AW27" s="200"/>
      <c r="AX27" s="200"/>
      <c r="AY27" s="200"/>
      <c r="AZ27" s="200"/>
    </row>
    <row r="28" spans="1:52" s="15" customFormat="1" ht="12.75" customHeight="1" x14ac:dyDescent="0.2">
      <c r="A28" s="783"/>
      <c r="B28" s="1374"/>
      <c r="C28" s="1375"/>
      <c r="D28" s="1375"/>
      <c r="E28" s="1375"/>
      <c r="F28" s="1375"/>
      <c r="G28" s="179"/>
      <c r="H28" s="183"/>
      <c r="I28" s="187" t="s">
        <v>189</v>
      </c>
      <c r="J28" s="189"/>
      <c r="K28" s="196" t="s">
        <v>145</v>
      </c>
      <c r="L28" s="196" t="s">
        <v>286</v>
      </c>
      <c r="M28" s="198"/>
      <c r="N28" s="203"/>
      <c r="O28" s="200"/>
      <c r="P28" s="200"/>
      <c r="Q28" s="200"/>
      <c r="R28" s="200"/>
      <c r="S28" s="200"/>
      <c r="T28" s="200"/>
      <c r="U28" s="200"/>
      <c r="V28" s="200"/>
      <c r="W28" s="200"/>
      <c r="X28" s="200"/>
      <c r="Y28" s="200"/>
      <c r="Z28" s="163"/>
      <c r="AA28" s="163"/>
      <c r="AB28" s="163"/>
      <c r="AC28" s="200"/>
      <c r="AD28" s="200"/>
      <c r="AE28" s="200"/>
      <c r="AF28" s="200"/>
      <c r="AG28" s="200"/>
      <c r="AH28" s="200"/>
      <c r="AI28" s="200"/>
      <c r="AJ28" s="200"/>
      <c r="AK28" s="200"/>
      <c r="AL28" s="200"/>
      <c r="AM28" s="200"/>
      <c r="AN28" s="200"/>
      <c r="AO28" s="200"/>
      <c r="AP28" s="200"/>
      <c r="AQ28" s="200"/>
      <c r="AR28" s="200"/>
      <c r="AS28" s="200"/>
      <c r="AT28" s="200"/>
      <c r="AU28" s="200"/>
      <c r="AV28" s="200"/>
      <c r="AW28" s="200"/>
      <c r="AX28" s="200"/>
      <c r="AY28" s="200"/>
      <c r="AZ28" s="200"/>
    </row>
    <row r="29" spans="1:52" s="15" customFormat="1" ht="12.75" customHeight="1" x14ac:dyDescent="0.2">
      <c r="A29" s="783" t="s">
        <v>150</v>
      </c>
      <c r="B29" s="174"/>
      <c r="C29" s="174"/>
      <c r="D29" s="175"/>
      <c r="E29" s="175"/>
      <c r="F29" s="175"/>
      <c r="G29" s="179"/>
      <c r="H29" s="185"/>
      <c r="I29" s="182"/>
      <c r="J29" s="189"/>
      <c r="K29" s="196" t="s">
        <v>182</v>
      </c>
      <c r="L29" s="196" t="s">
        <v>287</v>
      </c>
      <c r="M29" s="202"/>
      <c r="N29" s="162"/>
      <c r="O29" s="200"/>
      <c r="P29" s="200"/>
      <c r="Q29" s="200"/>
      <c r="R29" s="200"/>
      <c r="S29" s="200"/>
      <c r="T29" s="200"/>
      <c r="U29" s="200"/>
      <c r="V29" s="200"/>
      <c r="W29" s="200"/>
      <c r="X29" s="200"/>
      <c r="Y29" s="200"/>
      <c r="Z29" s="163"/>
      <c r="AA29" s="163"/>
      <c r="AB29" s="163"/>
      <c r="AC29" s="200"/>
      <c r="AD29" s="200"/>
      <c r="AE29" s="200"/>
      <c r="AF29" s="200"/>
      <c r="AG29" s="200"/>
      <c r="AH29" s="200"/>
      <c r="AI29" s="200"/>
      <c r="AJ29" s="200"/>
      <c r="AK29" s="200"/>
      <c r="AL29" s="200"/>
      <c r="AM29" s="200"/>
      <c r="AN29" s="200"/>
      <c r="AO29" s="200"/>
      <c r="AP29" s="200"/>
      <c r="AQ29" s="200"/>
      <c r="AR29" s="200"/>
      <c r="AS29" s="200"/>
      <c r="AT29" s="200"/>
      <c r="AU29" s="200"/>
      <c r="AV29" s="200"/>
      <c r="AW29" s="200"/>
      <c r="AX29" s="200"/>
      <c r="AY29" s="200"/>
      <c r="AZ29" s="200"/>
    </row>
    <row r="30" spans="1:52" s="8" customFormat="1" ht="12.75" customHeight="1" x14ac:dyDescent="0.2">
      <c r="A30" s="784"/>
      <c r="B30" s="176" t="str">
        <f>IF($L$4=1,K32,L32)</f>
        <v>Österreichische Produktion</v>
      </c>
      <c r="C30" s="162"/>
      <c r="D30" s="162"/>
      <c r="E30" s="175"/>
      <c r="F30" s="162"/>
      <c r="G30" s="184"/>
      <c r="H30" s="156" t="s">
        <v>810</v>
      </c>
      <c r="I30" s="776" t="b">
        <v>0</v>
      </c>
      <c r="J30" s="189"/>
      <c r="K30" s="196" t="s">
        <v>183</v>
      </c>
      <c r="L30" s="196" t="s">
        <v>529</v>
      </c>
      <c r="M30" s="202"/>
      <c r="N30" s="162"/>
      <c r="O30" s="203"/>
      <c r="P30" s="203"/>
      <c r="Q30" s="203"/>
      <c r="R30" s="203"/>
      <c r="S30" s="203"/>
      <c r="T30" s="203"/>
      <c r="U30" s="203"/>
      <c r="V30" s="203"/>
      <c r="W30" s="203"/>
      <c r="X30" s="203"/>
      <c r="Y30" s="203"/>
      <c r="Z30" s="163"/>
      <c r="AA30" s="163"/>
      <c r="AB30" s="163"/>
      <c r="AC30" s="203"/>
      <c r="AD30" s="203"/>
      <c r="AE30" s="203"/>
      <c r="AF30" s="203"/>
      <c r="AG30" s="203"/>
      <c r="AH30" s="203"/>
      <c r="AI30" s="203"/>
      <c r="AJ30" s="203"/>
      <c r="AK30" s="203"/>
      <c r="AL30" s="203"/>
      <c r="AM30" s="203"/>
      <c r="AN30" s="203"/>
      <c r="AO30" s="203"/>
      <c r="AP30" s="203"/>
      <c r="AQ30" s="203"/>
      <c r="AR30" s="203"/>
      <c r="AS30" s="203"/>
      <c r="AT30" s="203"/>
      <c r="AU30" s="203"/>
      <c r="AV30" s="203"/>
      <c r="AW30" s="203"/>
      <c r="AX30" s="203"/>
      <c r="AY30" s="203"/>
      <c r="AZ30" s="203"/>
    </row>
    <row r="31" spans="1:52" s="8" customFormat="1" ht="12.75" customHeight="1" x14ac:dyDescent="0.2">
      <c r="A31" s="784"/>
      <c r="B31" s="176" t="str">
        <f>IF($L$4=1,K33,L33)</f>
        <v>Koproduktion / Kofinanzierung</v>
      </c>
      <c r="C31" s="162"/>
      <c r="D31" s="162"/>
      <c r="E31" s="175"/>
      <c r="F31" s="177"/>
      <c r="G31" s="184"/>
      <c r="H31" s="156" t="s">
        <v>809</v>
      </c>
      <c r="I31" s="776" t="b">
        <v>0</v>
      </c>
      <c r="J31" s="189"/>
      <c r="K31" s="196"/>
      <c r="L31" s="196"/>
      <c r="M31" s="202"/>
      <c r="N31" s="162"/>
      <c r="O31" s="203"/>
      <c r="P31" s="203"/>
      <c r="Q31" s="203"/>
      <c r="R31" s="203"/>
      <c r="S31" s="203"/>
      <c r="T31" s="203"/>
      <c r="U31" s="203"/>
      <c r="V31" s="203"/>
      <c r="W31" s="203"/>
      <c r="X31" s="203"/>
      <c r="Y31" s="203"/>
      <c r="Z31" s="163"/>
      <c r="AA31" s="163"/>
      <c r="AB31" s="163"/>
      <c r="AC31" s="203"/>
      <c r="AD31" s="203"/>
      <c r="AE31" s="203"/>
      <c r="AF31" s="203"/>
      <c r="AG31" s="203"/>
      <c r="AH31" s="203"/>
      <c r="AI31" s="203"/>
      <c r="AJ31" s="203"/>
      <c r="AK31" s="203"/>
      <c r="AL31" s="203"/>
      <c r="AM31" s="203"/>
      <c r="AN31" s="203"/>
      <c r="AO31" s="203"/>
      <c r="AP31" s="203"/>
      <c r="AQ31" s="203"/>
      <c r="AR31" s="203"/>
      <c r="AS31" s="203"/>
      <c r="AT31" s="203"/>
      <c r="AU31" s="203"/>
      <c r="AV31" s="203"/>
      <c r="AW31" s="203"/>
      <c r="AX31" s="203"/>
      <c r="AY31" s="203"/>
      <c r="AZ31" s="203"/>
    </row>
    <row r="32" spans="1:52" s="16" customFormat="1" ht="18" customHeight="1" x14ac:dyDescent="0.2">
      <c r="A32" s="784"/>
      <c r="B32" s="788" t="str">
        <f>IF(I31=TRUE,"BITTE KO-PARTNER ANFÜHREN","")</f>
        <v/>
      </c>
      <c r="C32" s="162"/>
      <c r="D32" s="162"/>
      <c r="E32" s="175"/>
      <c r="F32" s="177"/>
      <c r="G32" s="162"/>
      <c r="H32" s="156"/>
      <c r="I32" s="186"/>
      <c r="J32" s="189"/>
      <c r="K32" s="196" t="s">
        <v>136</v>
      </c>
      <c r="L32" s="196" t="s">
        <v>288</v>
      </c>
      <c r="M32" s="205"/>
      <c r="N32" s="162"/>
      <c r="O32" s="162"/>
      <c r="P32" s="162"/>
      <c r="Q32" s="162"/>
      <c r="R32" s="162"/>
      <c r="S32" s="162"/>
      <c r="T32" s="162"/>
      <c r="U32" s="162"/>
      <c r="V32" s="162"/>
      <c r="W32" s="162"/>
      <c r="X32" s="162"/>
      <c r="Y32" s="162"/>
      <c r="Z32" s="163"/>
      <c r="AA32" s="163"/>
      <c r="AB32" s="163"/>
      <c r="AC32" s="162"/>
      <c r="AD32" s="162"/>
      <c r="AE32" s="162"/>
      <c r="AF32" s="162"/>
      <c r="AG32" s="162"/>
      <c r="AH32" s="162"/>
      <c r="AI32" s="162"/>
      <c r="AJ32" s="162"/>
      <c r="AK32" s="162"/>
      <c r="AL32" s="162"/>
      <c r="AM32" s="162"/>
      <c r="AN32" s="162"/>
      <c r="AO32" s="162"/>
      <c r="AP32" s="162"/>
      <c r="AQ32" s="162"/>
      <c r="AR32" s="162"/>
      <c r="AS32" s="162"/>
      <c r="AT32" s="162"/>
      <c r="AU32" s="162"/>
      <c r="AV32" s="162"/>
      <c r="AW32" s="162"/>
      <c r="AX32" s="162"/>
      <c r="AY32" s="162"/>
      <c r="AZ32" s="162"/>
    </row>
    <row r="33" spans="1:52" s="16" customFormat="1" ht="12.75" customHeight="1" x14ac:dyDescent="0.2">
      <c r="A33" s="160" t="str">
        <f>IF($L$4=1,K35,L35)</f>
        <v>Ko-Partner 1</v>
      </c>
      <c r="B33" s="1367" t="s">
        <v>258</v>
      </c>
      <c r="C33" s="1367"/>
      <c r="D33" s="1367"/>
      <c r="E33" s="1367"/>
      <c r="F33" s="1367"/>
      <c r="G33" s="162"/>
      <c r="H33" s="187"/>
      <c r="I33" s="188"/>
      <c r="J33" s="189"/>
      <c r="K33" s="196" t="s">
        <v>137</v>
      </c>
      <c r="L33" s="196" t="s">
        <v>299</v>
      </c>
      <c r="M33" s="205"/>
      <c r="N33" s="162"/>
      <c r="O33" s="162"/>
      <c r="P33" s="162"/>
      <c r="Q33" s="162"/>
      <c r="R33" s="162"/>
      <c r="S33" s="162"/>
      <c r="T33" s="162"/>
      <c r="U33" s="162"/>
      <c r="V33" s="162"/>
      <c r="W33" s="162"/>
      <c r="X33" s="162"/>
      <c r="Y33" s="162"/>
      <c r="Z33" s="163"/>
      <c r="AA33" s="163"/>
      <c r="AB33" s="163"/>
      <c r="AC33" s="162"/>
      <c r="AD33" s="162"/>
      <c r="AE33" s="162"/>
      <c r="AF33" s="162"/>
      <c r="AG33" s="162"/>
      <c r="AH33" s="162"/>
      <c r="AI33" s="162"/>
      <c r="AJ33" s="162"/>
      <c r="AK33" s="162"/>
      <c r="AL33" s="162"/>
      <c r="AM33" s="162"/>
      <c r="AN33" s="162"/>
      <c r="AO33" s="162"/>
      <c r="AP33" s="162"/>
      <c r="AQ33" s="162"/>
      <c r="AR33" s="162"/>
      <c r="AS33" s="162"/>
      <c r="AT33" s="162"/>
      <c r="AU33" s="162"/>
      <c r="AV33" s="162"/>
      <c r="AW33" s="162"/>
      <c r="AX33" s="162"/>
      <c r="AY33" s="162"/>
      <c r="AZ33" s="162"/>
    </row>
    <row r="34" spans="1:52" s="16" customFormat="1" ht="12.75" customHeight="1" x14ac:dyDescent="0.2">
      <c r="A34" s="160" t="str">
        <f>IF($L$4=1,K36,L36)</f>
        <v>Ko-Partner 2</v>
      </c>
      <c r="B34" s="1367" t="s">
        <v>259</v>
      </c>
      <c r="C34" s="1367"/>
      <c r="D34" s="1367"/>
      <c r="E34" s="1367"/>
      <c r="F34" s="1367"/>
      <c r="G34" s="162"/>
      <c r="H34" s="187"/>
      <c r="I34" s="188"/>
      <c r="J34" s="189"/>
      <c r="K34" s="196"/>
      <c r="L34" s="196"/>
      <c r="M34" s="205"/>
      <c r="N34" s="162"/>
      <c r="O34" s="162"/>
      <c r="P34" s="162"/>
      <c r="Q34" s="162"/>
      <c r="R34" s="162"/>
      <c r="S34" s="162"/>
      <c r="T34" s="162"/>
      <c r="U34" s="162"/>
      <c r="V34" s="162"/>
      <c r="W34" s="162"/>
      <c r="X34" s="162"/>
      <c r="Y34" s="162"/>
      <c r="Z34" s="163"/>
      <c r="AA34" s="163"/>
      <c r="AB34" s="163"/>
      <c r="AC34" s="162"/>
      <c r="AD34" s="162"/>
      <c r="AE34" s="162"/>
      <c r="AF34" s="162"/>
      <c r="AG34" s="162"/>
      <c r="AH34" s="162"/>
      <c r="AI34" s="162"/>
      <c r="AJ34" s="162"/>
      <c r="AK34" s="162"/>
      <c r="AL34" s="162"/>
      <c r="AM34" s="162"/>
      <c r="AN34" s="162"/>
      <c r="AO34" s="162"/>
      <c r="AP34" s="162"/>
      <c r="AQ34" s="162"/>
      <c r="AR34" s="162"/>
      <c r="AS34" s="162"/>
      <c r="AT34" s="162"/>
      <c r="AU34" s="162"/>
      <c r="AV34" s="162"/>
      <c r="AW34" s="162"/>
      <c r="AX34" s="162"/>
      <c r="AY34" s="162"/>
      <c r="AZ34" s="162"/>
    </row>
    <row r="35" spans="1:52" s="16" customFormat="1" ht="12.75" customHeight="1" x14ac:dyDescent="0.2">
      <c r="A35" s="160" t="str">
        <f>IF($L$4=1,K37,L37)</f>
        <v>Ko-Partner 3</v>
      </c>
      <c r="B35" s="1367" t="s">
        <v>260</v>
      </c>
      <c r="C35" s="1367"/>
      <c r="D35" s="1367"/>
      <c r="E35" s="1367"/>
      <c r="F35" s="1367"/>
      <c r="G35" s="162"/>
      <c r="H35" s="187"/>
      <c r="I35" s="188"/>
      <c r="J35" s="189"/>
      <c r="K35" s="196" t="s">
        <v>138</v>
      </c>
      <c r="L35" s="196" t="s">
        <v>309</v>
      </c>
      <c r="M35" s="205"/>
      <c r="N35" s="162"/>
      <c r="O35" s="162"/>
      <c r="P35" s="162"/>
      <c r="Q35" s="162"/>
      <c r="R35" s="162"/>
      <c r="S35" s="162"/>
      <c r="T35" s="162"/>
      <c r="U35" s="162"/>
      <c r="V35" s="162"/>
      <c r="W35" s="162"/>
      <c r="X35" s="162"/>
      <c r="Y35" s="162"/>
      <c r="Z35" s="163"/>
      <c r="AA35" s="163"/>
      <c r="AB35" s="163"/>
      <c r="AC35" s="162"/>
      <c r="AD35" s="162"/>
      <c r="AE35" s="162"/>
      <c r="AF35" s="162"/>
      <c r="AG35" s="162"/>
      <c r="AH35" s="162"/>
      <c r="AI35" s="162"/>
      <c r="AJ35" s="162"/>
      <c r="AK35" s="162"/>
      <c r="AL35" s="162"/>
      <c r="AM35" s="162"/>
      <c r="AN35" s="162"/>
      <c r="AO35" s="162"/>
      <c r="AP35" s="162"/>
      <c r="AQ35" s="162"/>
      <c r="AR35" s="162"/>
      <c r="AS35" s="162"/>
      <c r="AT35" s="162"/>
      <c r="AU35" s="162"/>
      <c r="AV35" s="162"/>
      <c r="AW35" s="162"/>
      <c r="AX35" s="162"/>
      <c r="AY35" s="162"/>
      <c r="AZ35" s="162"/>
    </row>
    <row r="36" spans="1:52" s="16" customFormat="1" x14ac:dyDescent="0.2">
      <c r="A36" s="189"/>
      <c r="B36" s="162"/>
      <c r="C36" s="162"/>
      <c r="D36" s="162"/>
      <c r="E36" s="162"/>
      <c r="F36" s="162"/>
      <c r="G36" s="162"/>
      <c r="H36" s="187"/>
      <c r="I36" s="188"/>
      <c r="J36" s="189"/>
      <c r="K36" s="196" t="s">
        <v>139</v>
      </c>
      <c r="L36" s="196" t="s">
        <v>310</v>
      </c>
      <c r="M36" s="205"/>
      <c r="N36" s="162"/>
      <c r="O36" s="162"/>
      <c r="P36" s="162"/>
      <c r="Q36" s="162"/>
      <c r="R36" s="162"/>
      <c r="S36" s="162"/>
      <c r="T36" s="162"/>
      <c r="U36" s="162"/>
      <c r="V36" s="162"/>
      <c r="W36" s="162"/>
      <c r="X36" s="162"/>
      <c r="Y36" s="162"/>
      <c r="Z36" s="163"/>
      <c r="AA36" s="163"/>
      <c r="AB36" s="163"/>
      <c r="AC36" s="162"/>
      <c r="AD36" s="162"/>
      <c r="AE36" s="162"/>
      <c r="AF36" s="162"/>
      <c r="AG36" s="162"/>
      <c r="AH36" s="162"/>
      <c r="AI36" s="162"/>
      <c r="AJ36" s="162"/>
      <c r="AK36" s="162"/>
      <c r="AL36" s="162"/>
      <c r="AM36" s="162"/>
      <c r="AN36" s="162"/>
      <c r="AO36" s="162"/>
      <c r="AP36" s="162"/>
      <c r="AQ36" s="162"/>
      <c r="AR36" s="162"/>
      <c r="AS36" s="162"/>
      <c r="AT36" s="162"/>
      <c r="AU36" s="162"/>
      <c r="AV36" s="162"/>
      <c r="AW36" s="162"/>
      <c r="AX36" s="162"/>
      <c r="AY36" s="162"/>
      <c r="AZ36" s="162"/>
    </row>
    <row r="37" spans="1:52" s="16" customFormat="1" x14ac:dyDescent="0.2">
      <c r="A37" s="785"/>
      <c r="B37" s="178" t="str">
        <f>IF($L$4=1,K39,L39)</f>
        <v>TERMINPLAN</v>
      </c>
      <c r="C37" s="162"/>
      <c r="D37" s="709" t="s">
        <v>308</v>
      </c>
      <c r="E37" s="786" t="s">
        <v>201</v>
      </c>
      <c r="F37" s="786" t="s">
        <v>1035</v>
      </c>
      <c r="G37" s="162"/>
      <c r="H37" s="156"/>
      <c r="I37" s="186"/>
      <c r="J37" s="189"/>
      <c r="K37" s="196" t="s">
        <v>203</v>
      </c>
      <c r="L37" s="196" t="s">
        <v>311</v>
      </c>
      <c r="M37" s="205"/>
      <c r="N37" s="162"/>
      <c r="O37" s="162"/>
      <c r="P37" s="162"/>
      <c r="Q37" s="162"/>
      <c r="R37" s="162"/>
      <c r="S37" s="162"/>
      <c r="T37" s="162"/>
      <c r="U37" s="162"/>
      <c r="V37" s="162"/>
      <c r="W37" s="162"/>
      <c r="X37" s="162"/>
      <c r="Y37" s="162"/>
      <c r="Z37" s="163"/>
      <c r="AA37" s="163"/>
      <c r="AB37" s="163"/>
      <c r="AC37" s="162"/>
      <c r="AD37" s="162"/>
      <c r="AE37" s="162"/>
      <c r="AF37" s="162"/>
      <c r="AG37" s="162"/>
      <c r="AH37" s="162"/>
      <c r="AI37" s="162"/>
      <c r="AJ37" s="162"/>
      <c r="AK37" s="162"/>
      <c r="AL37" s="162"/>
      <c r="AM37" s="162"/>
      <c r="AN37" s="162"/>
      <c r="AO37" s="162"/>
      <c r="AP37" s="162"/>
      <c r="AQ37" s="162"/>
      <c r="AR37" s="162"/>
      <c r="AS37" s="162"/>
      <c r="AT37" s="162"/>
      <c r="AU37" s="162"/>
      <c r="AV37" s="162"/>
      <c r="AW37" s="162"/>
      <c r="AX37" s="162"/>
      <c r="AY37" s="162"/>
      <c r="AZ37" s="162"/>
    </row>
    <row r="38" spans="1:52" s="16" customFormat="1" ht="12" customHeight="1" x14ac:dyDescent="0.2">
      <c r="A38" s="161" t="str">
        <f t="shared" ref="A38:A43" si="2">IF($L$4=1,K40,L40)</f>
        <v>Produktionsbeginn</v>
      </c>
      <c r="B38" s="710"/>
      <c r="C38" s="162"/>
      <c r="D38" s="128"/>
      <c r="E38" s="794"/>
      <c r="F38" s="131"/>
      <c r="G38" s="162"/>
      <c r="H38" s="156"/>
      <c r="I38" s="186"/>
      <c r="J38" s="189"/>
      <c r="K38" s="196"/>
      <c r="L38" s="196"/>
      <c r="M38" s="205"/>
      <c r="N38" s="162"/>
      <c r="O38" s="162"/>
      <c r="P38" s="162"/>
      <c r="Q38" s="162"/>
      <c r="R38" s="162"/>
      <c r="S38" s="162"/>
      <c r="T38" s="162"/>
      <c r="U38" s="162"/>
      <c r="V38" s="162"/>
      <c r="W38" s="162"/>
      <c r="X38" s="162"/>
      <c r="Y38" s="162"/>
      <c r="Z38" s="163"/>
      <c r="AA38" s="163"/>
      <c r="AB38" s="163"/>
      <c r="AC38" s="162"/>
      <c r="AD38" s="162"/>
      <c r="AE38" s="162"/>
      <c r="AF38" s="162"/>
      <c r="AG38" s="162"/>
      <c r="AH38" s="162"/>
      <c r="AI38" s="162"/>
      <c r="AJ38" s="162"/>
      <c r="AK38" s="162"/>
      <c r="AL38" s="162"/>
      <c r="AM38" s="162"/>
      <c r="AN38" s="162"/>
      <c r="AO38" s="162"/>
      <c r="AP38" s="162"/>
      <c r="AQ38" s="162"/>
      <c r="AR38" s="162"/>
      <c r="AS38" s="162"/>
      <c r="AT38" s="162"/>
      <c r="AU38" s="162"/>
      <c r="AV38" s="162"/>
      <c r="AW38" s="162"/>
      <c r="AX38" s="162"/>
      <c r="AY38" s="162"/>
      <c r="AZ38" s="162"/>
    </row>
    <row r="39" spans="1:52" s="16" customFormat="1" ht="12.75" customHeight="1" x14ac:dyDescent="0.2">
      <c r="A39" s="161" t="str">
        <f t="shared" si="2"/>
        <v>Drehbeginn</v>
      </c>
      <c r="B39" s="710"/>
      <c r="C39" s="162"/>
      <c r="D39" s="128"/>
      <c r="E39" s="794"/>
      <c r="F39" s="131"/>
      <c r="G39" s="162"/>
      <c r="H39" s="156"/>
      <c r="I39" s="186"/>
      <c r="J39" s="189"/>
      <c r="K39" s="206" t="s">
        <v>181</v>
      </c>
      <c r="L39" s="206" t="s">
        <v>301</v>
      </c>
      <c r="M39" s="205"/>
      <c r="N39" s="162"/>
      <c r="O39" s="162"/>
      <c r="P39" s="162"/>
      <c r="Q39" s="162"/>
      <c r="R39" s="162"/>
      <c r="S39" s="162"/>
      <c r="T39" s="162"/>
      <c r="U39" s="162"/>
      <c r="V39" s="162"/>
      <c r="W39" s="162"/>
      <c r="X39" s="162"/>
      <c r="Y39" s="162"/>
      <c r="Z39" s="163"/>
      <c r="AA39" s="163"/>
      <c r="AB39" s="163"/>
      <c r="AC39" s="162"/>
      <c r="AD39" s="162"/>
      <c r="AE39" s="162"/>
      <c r="AF39" s="162"/>
      <c r="AG39" s="162"/>
      <c r="AH39" s="162"/>
      <c r="AI39" s="162"/>
      <c r="AJ39" s="162"/>
      <c r="AK39" s="162"/>
      <c r="AL39" s="162"/>
      <c r="AM39" s="162"/>
      <c r="AN39" s="162"/>
      <c r="AO39" s="162"/>
      <c r="AP39" s="162"/>
      <c r="AQ39" s="162"/>
      <c r="AR39" s="162"/>
      <c r="AS39" s="162"/>
      <c r="AT39" s="162"/>
      <c r="AU39" s="162"/>
      <c r="AV39" s="162"/>
      <c r="AW39" s="162"/>
      <c r="AX39" s="162"/>
      <c r="AY39" s="162"/>
      <c r="AZ39" s="162"/>
    </row>
    <row r="40" spans="1:52" s="16" customFormat="1" ht="12.75" customHeight="1" x14ac:dyDescent="0.2">
      <c r="A40" s="161" t="str">
        <f t="shared" si="2"/>
        <v>Drehmitte</v>
      </c>
      <c r="B40" s="710"/>
      <c r="C40" s="162"/>
      <c r="D40" s="128"/>
      <c r="E40" s="794"/>
      <c r="F40" s="131"/>
      <c r="G40" s="162"/>
      <c r="H40" s="156"/>
      <c r="I40" s="186"/>
      <c r="J40" s="189"/>
      <c r="K40" s="196" t="s">
        <v>249</v>
      </c>
      <c r="L40" s="196" t="s">
        <v>290</v>
      </c>
      <c r="M40" s="205"/>
      <c r="N40" s="162"/>
      <c r="O40" s="162"/>
      <c r="P40" s="162"/>
      <c r="Q40" s="162"/>
      <c r="R40" s="162"/>
      <c r="S40" s="162"/>
      <c r="T40" s="162"/>
      <c r="U40" s="162"/>
      <c r="V40" s="162"/>
      <c r="W40" s="162"/>
      <c r="X40" s="162"/>
      <c r="Y40" s="162"/>
      <c r="Z40" s="163"/>
      <c r="AA40" s="163"/>
      <c r="AB40" s="163"/>
      <c r="AC40" s="162"/>
      <c r="AD40" s="162"/>
      <c r="AE40" s="162"/>
      <c r="AF40" s="162"/>
      <c r="AG40" s="162"/>
      <c r="AH40" s="162"/>
      <c r="AI40" s="162"/>
      <c r="AJ40" s="162"/>
      <c r="AK40" s="162"/>
      <c r="AL40" s="162"/>
      <c r="AM40" s="162"/>
      <c r="AN40" s="162"/>
      <c r="AO40" s="162"/>
      <c r="AP40" s="162"/>
      <c r="AQ40" s="162"/>
      <c r="AR40" s="162"/>
      <c r="AS40" s="162"/>
      <c r="AT40" s="162"/>
      <c r="AU40" s="162"/>
      <c r="AV40" s="162"/>
      <c r="AW40" s="162"/>
      <c r="AX40" s="162"/>
      <c r="AY40" s="162"/>
      <c r="AZ40" s="162"/>
    </row>
    <row r="41" spans="1:52" s="16" customFormat="1" ht="12.75" customHeight="1" x14ac:dyDescent="0.2">
      <c r="A41" s="161" t="str">
        <f t="shared" si="2"/>
        <v>Drehende</v>
      </c>
      <c r="B41" s="710"/>
      <c r="C41" s="162"/>
      <c r="D41" s="128"/>
      <c r="E41" s="794"/>
      <c r="F41" s="131"/>
      <c r="G41" s="162"/>
      <c r="H41" s="156"/>
      <c r="I41" s="186"/>
      <c r="J41" s="189"/>
      <c r="K41" s="196" t="s">
        <v>173</v>
      </c>
      <c r="L41" s="196" t="s">
        <v>291</v>
      </c>
      <c r="M41" s="205"/>
      <c r="N41" s="162"/>
      <c r="O41" s="162"/>
      <c r="P41" s="162"/>
      <c r="Q41" s="162"/>
      <c r="R41" s="162"/>
      <c r="S41" s="162"/>
      <c r="T41" s="162"/>
      <c r="U41" s="162"/>
      <c r="V41" s="162"/>
      <c r="W41" s="162"/>
      <c r="X41" s="162"/>
      <c r="Y41" s="162"/>
      <c r="Z41" s="163"/>
      <c r="AA41" s="163"/>
      <c r="AB41" s="163"/>
      <c r="AC41" s="162"/>
      <c r="AD41" s="162"/>
      <c r="AE41" s="162"/>
      <c r="AF41" s="162"/>
      <c r="AG41" s="162"/>
      <c r="AH41" s="162"/>
      <c r="AI41" s="162"/>
      <c r="AJ41" s="162"/>
      <c r="AK41" s="162"/>
      <c r="AL41" s="162"/>
      <c r="AM41" s="162"/>
      <c r="AN41" s="162"/>
      <c r="AO41" s="162"/>
      <c r="AP41" s="162"/>
      <c r="AQ41" s="162"/>
      <c r="AR41" s="162"/>
      <c r="AS41" s="162"/>
      <c r="AT41" s="162"/>
      <c r="AU41" s="162"/>
      <c r="AV41" s="162"/>
      <c r="AW41" s="162"/>
      <c r="AX41" s="162"/>
      <c r="AY41" s="162"/>
      <c r="AZ41" s="162"/>
    </row>
    <row r="42" spans="1:52" s="16" customFormat="1" ht="12.75" customHeight="1" x14ac:dyDescent="0.2">
      <c r="A42" s="161" t="str">
        <f t="shared" si="2"/>
        <v>Rohschnittvorführung</v>
      </c>
      <c r="B42" s="710"/>
      <c r="C42" s="162"/>
      <c r="D42" s="129"/>
      <c r="E42" s="794"/>
      <c r="F42" s="132"/>
      <c r="G42" s="162"/>
      <c r="H42" s="156"/>
      <c r="I42" s="186"/>
      <c r="J42" s="189"/>
      <c r="K42" s="196" t="s">
        <v>174</v>
      </c>
      <c r="L42" s="196" t="s">
        <v>292</v>
      </c>
      <c r="M42" s="205"/>
      <c r="N42" s="162"/>
      <c r="O42" s="162"/>
      <c r="P42" s="162"/>
      <c r="Q42" s="162"/>
      <c r="R42" s="162"/>
      <c r="S42" s="162"/>
      <c r="T42" s="162"/>
      <c r="U42" s="162"/>
      <c r="V42" s="162"/>
      <c r="W42" s="162"/>
      <c r="X42" s="162"/>
      <c r="Y42" s="162"/>
      <c r="Z42" s="163"/>
      <c r="AA42" s="163"/>
      <c r="AB42" s="163"/>
      <c r="AC42" s="162"/>
      <c r="AD42" s="162"/>
      <c r="AE42" s="162"/>
      <c r="AF42" s="162"/>
      <c r="AG42" s="162"/>
      <c r="AH42" s="162"/>
      <c r="AI42" s="162"/>
      <c r="AJ42" s="162"/>
      <c r="AK42" s="162"/>
      <c r="AL42" s="162"/>
      <c r="AM42" s="162"/>
      <c r="AN42" s="162"/>
      <c r="AO42" s="162"/>
      <c r="AP42" s="162"/>
      <c r="AQ42" s="162"/>
      <c r="AR42" s="162"/>
      <c r="AS42" s="162"/>
      <c r="AT42" s="162"/>
      <c r="AU42" s="162"/>
      <c r="AV42" s="162"/>
      <c r="AW42" s="162"/>
      <c r="AX42" s="162"/>
      <c r="AY42" s="162"/>
      <c r="AZ42" s="162"/>
    </row>
    <row r="43" spans="1:52" s="16" customFormat="1" ht="12.75" customHeight="1" x14ac:dyDescent="0.2">
      <c r="A43" s="161" t="str">
        <f t="shared" si="2"/>
        <v>Fertigstellung</v>
      </c>
      <c r="B43" s="742"/>
      <c r="C43" s="162"/>
      <c r="D43" s="129"/>
      <c r="E43" s="794"/>
      <c r="F43" s="132"/>
      <c r="G43" s="162"/>
      <c r="H43" s="189"/>
      <c r="I43" s="190"/>
      <c r="J43" s="189"/>
      <c r="K43" s="196" t="s">
        <v>175</v>
      </c>
      <c r="L43" s="196" t="s">
        <v>293</v>
      </c>
      <c r="M43" s="205"/>
      <c r="N43" s="162"/>
      <c r="O43" s="162"/>
      <c r="P43" s="162"/>
      <c r="Q43" s="162"/>
      <c r="R43" s="162"/>
      <c r="S43" s="162"/>
      <c r="T43" s="162"/>
      <c r="U43" s="162"/>
      <c r="V43" s="162"/>
      <c r="W43" s="162"/>
      <c r="X43" s="162"/>
      <c r="Y43" s="162"/>
      <c r="Z43" s="163"/>
      <c r="AA43" s="163"/>
      <c r="AB43" s="163"/>
      <c r="AC43" s="162"/>
      <c r="AD43" s="162"/>
      <c r="AE43" s="162"/>
      <c r="AF43" s="162"/>
      <c r="AG43" s="162"/>
      <c r="AH43" s="162"/>
      <c r="AI43" s="162"/>
      <c r="AJ43" s="162"/>
      <c r="AK43" s="162"/>
      <c r="AL43" s="162"/>
      <c r="AM43" s="162"/>
      <c r="AN43" s="162"/>
      <c r="AO43" s="162"/>
      <c r="AP43" s="162"/>
      <c r="AQ43" s="162"/>
      <c r="AR43" s="162"/>
      <c r="AS43" s="162"/>
      <c r="AT43" s="162"/>
      <c r="AU43" s="162"/>
      <c r="AV43" s="162"/>
      <c r="AW43" s="162"/>
      <c r="AX43" s="162"/>
      <c r="AY43" s="162"/>
      <c r="AZ43" s="162"/>
    </row>
    <row r="44" spans="1:52" s="16" customFormat="1" ht="12.75" customHeight="1" x14ac:dyDescent="0.2">
      <c r="A44" s="162"/>
      <c r="B44" s="162"/>
      <c r="C44" s="162"/>
      <c r="D44" s="129"/>
      <c r="E44" s="794"/>
      <c r="F44" s="132"/>
      <c r="G44" s="162"/>
      <c r="H44" s="189"/>
      <c r="I44" s="190"/>
      <c r="J44" s="189"/>
      <c r="K44" s="196" t="s">
        <v>177</v>
      </c>
      <c r="L44" s="196" t="s">
        <v>294</v>
      </c>
      <c r="M44" s="205"/>
      <c r="N44" s="162"/>
      <c r="O44" s="162"/>
      <c r="P44" s="162"/>
      <c r="Q44" s="162"/>
      <c r="R44" s="162"/>
      <c r="S44" s="162"/>
      <c r="T44" s="162"/>
      <c r="U44" s="162"/>
      <c r="V44" s="162"/>
      <c r="W44" s="162"/>
      <c r="X44" s="162"/>
      <c r="Y44" s="162"/>
      <c r="Z44" s="163"/>
      <c r="AA44" s="163"/>
      <c r="AB44" s="163"/>
      <c r="AC44" s="162"/>
      <c r="AD44" s="162"/>
      <c r="AE44" s="162"/>
      <c r="AF44" s="162"/>
      <c r="AG44" s="162"/>
      <c r="AH44" s="162"/>
      <c r="AI44" s="162"/>
      <c r="AJ44" s="162"/>
      <c r="AK44" s="162"/>
      <c r="AL44" s="162"/>
      <c r="AM44" s="162"/>
      <c r="AN44" s="162"/>
      <c r="AO44" s="162"/>
      <c r="AP44" s="162"/>
      <c r="AQ44" s="162"/>
      <c r="AR44" s="162"/>
      <c r="AS44" s="162"/>
      <c r="AT44" s="162"/>
      <c r="AU44" s="162"/>
      <c r="AV44" s="162"/>
      <c r="AW44" s="162"/>
      <c r="AX44" s="162"/>
      <c r="AY44" s="162"/>
      <c r="AZ44" s="162"/>
    </row>
    <row r="45" spans="1:52" s="16" customFormat="1" ht="12.75" customHeight="1" x14ac:dyDescent="0.2">
      <c r="A45" s="162"/>
      <c r="B45" s="162"/>
      <c r="C45" s="162"/>
      <c r="D45" s="129"/>
      <c r="E45" s="794"/>
      <c r="F45" s="132"/>
      <c r="G45" s="162"/>
      <c r="H45" s="189"/>
      <c r="I45" s="190"/>
      <c r="J45" s="189"/>
      <c r="K45" s="196" t="s">
        <v>176</v>
      </c>
      <c r="L45" s="196" t="s">
        <v>295</v>
      </c>
      <c r="M45" s="205"/>
      <c r="N45" s="162"/>
      <c r="O45" s="162"/>
      <c r="P45" s="162"/>
      <c r="Q45" s="162"/>
      <c r="R45" s="162"/>
      <c r="S45" s="162"/>
      <c r="T45" s="162"/>
      <c r="U45" s="162"/>
      <c r="V45" s="162"/>
      <c r="W45" s="162"/>
      <c r="X45" s="162"/>
      <c r="Y45" s="162"/>
      <c r="Z45" s="163"/>
      <c r="AA45" s="163"/>
      <c r="AB45" s="163"/>
      <c r="AC45" s="162"/>
      <c r="AD45" s="162"/>
      <c r="AE45" s="162"/>
      <c r="AF45" s="162"/>
      <c r="AG45" s="162"/>
      <c r="AH45" s="162"/>
      <c r="AI45" s="162"/>
      <c r="AJ45" s="162"/>
      <c r="AK45" s="162"/>
      <c r="AL45" s="162"/>
      <c r="AM45" s="162"/>
      <c r="AN45" s="162"/>
      <c r="AO45" s="162"/>
      <c r="AP45" s="162"/>
      <c r="AQ45" s="162"/>
      <c r="AR45" s="162"/>
      <c r="AS45" s="162"/>
      <c r="AT45" s="162"/>
      <c r="AU45" s="162"/>
      <c r="AV45" s="162"/>
      <c r="AW45" s="162"/>
      <c r="AX45" s="162"/>
      <c r="AY45" s="162"/>
      <c r="AZ45" s="162"/>
    </row>
    <row r="46" spans="1:52" s="16" customFormat="1" ht="12.75" customHeight="1" x14ac:dyDescent="0.2">
      <c r="A46" s="162"/>
      <c r="B46" s="162"/>
      <c r="C46" s="162"/>
      <c r="D46" s="130"/>
      <c r="E46" s="795"/>
      <c r="F46" s="793"/>
      <c r="G46" s="162"/>
      <c r="H46" s="189"/>
      <c r="I46" s="190"/>
      <c r="J46" s="189"/>
      <c r="K46" s="196"/>
      <c r="L46" s="196"/>
      <c r="M46" s="205"/>
      <c r="N46" s="162"/>
      <c r="O46" s="162"/>
      <c r="P46" s="162"/>
      <c r="Q46" s="162"/>
      <c r="R46" s="162"/>
      <c r="S46" s="162"/>
      <c r="T46" s="162"/>
      <c r="U46" s="162"/>
      <c r="V46" s="162"/>
      <c r="W46" s="162"/>
      <c r="X46" s="162"/>
      <c r="Y46" s="162"/>
      <c r="Z46" s="163"/>
      <c r="AA46" s="163"/>
      <c r="AB46" s="163"/>
      <c r="AC46" s="162"/>
      <c r="AD46" s="162"/>
      <c r="AE46" s="162"/>
      <c r="AF46" s="162"/>
      <c r="AG46" s="162"/>
      <c r="AH46" s="162"/>
      <c r="AI46" s="162"/>
      <c r="AJ46" s="162"/>
      <c r="AK46" s="162"/>
      <c r="AL46" s="162"/>
      <c r="AM46" s="162"/>
      <c r="AN46" s="162"/>
      <c r="AO46" s="162"/>
      <c r="AP46" s="162"/>
      <c r="AQ46" s="162"/>
      <c r="AR46" s="162"/>
      <c r="AS46" s="162"/>
      <c r="AT46" s="162"/>
      <c r="AU46" s="162"/>
      <c r="AV46" s="162"/>
      <c r="AW46" s="162"/>
      <c r="AX46" s="162"/>
      <c r="AY46" s="162"/>
      <c r="AZ46" s="162"/>
    </row>
    <row r="47" spans="1:52" s="16" customFormat="1" ht="12.75" customHeight="1" x14ac:dyDescent="0.2">
      <c r="A47" s="162"/>
      <c r="B47" s="162"/>
      <c r="C47" s="162"/>
      <c r="D47" s="191" t="str">
        <f>IF(K4=1,J50,K49)</f>
        <v>Σ-Drehtage</v>
      </c>
      <c r="E47" s="191">
        <f>SUM(E38:E46)</f>
        <v>0</v>
      </c>
      <c r="F47" s="192">
        <f>SUM(F38:F46)</f>
        <v>0</v>
      </c>
      <c r="G47" s="162"/>
      <c r="H47" s="189"/>
      <c r="I47" s="189"/>
      <c r="J47" s="189"/>
      <c r="K47" s="196" t="s">
        <v>308</v>
      </c>
      <c r="L47" s="196" t="s">
        <v>300</v>
      </c>
      <c r="M47" s="205"/>
      <c r="N47" s="162"/>
      <c r="O47" s="162"/>
      <c r="P47" s="162"/>
      <c r="Q47" s="162"/>
      <c r="R47" s="162"/>
      <c r="S47" s="162"/>
      <c r="T47" s="162"/>
      <c r="U47" s="162"/>
      <c r="V47" s="162"/>
      <c r="W47" s="162"/>
      <c r="X47" s="162"/>
      <c r="Y47" s="162"/>
      <c r="Z47" s="163"/>
      <c r="AA47" s="163"/>
      <c r="AB47" s="163"/>
      <c r="AC47" s="162"/>
      <c r="AD47" s="162"/>
      <c r="AE47" s="162"/>
      <c r="AF47" s="162"/>
      <c r="AG47" s="162"/>
      <c r="AH47" s="162"/>
      <c r="AI47" s="162"/>
      <c r="AJ47" s="162"/>
      <c r="AK47" s="162"/>
      <c r="AL47" s="162"/>
      <c r="AM47" s="162"/>
      <c r="AN47" s="162"/>
      <c r="AO47" s="162"/>
      <c r="AP47" s="162"/>
      <c r="AQ47" s="162"/>
      <c r="AR47" s="162"/>
      <c r="AS47" s="162"/>
      <c r="AT47" s="162"/>
      <c r="AU47" s="162"/>
      <c r="AV47" s="162"/>
      <c r="AW47" s="162"/>
      <c r="AX47" s="162"/>
      <c r="AY47" s="162"/>
      <c r="AZ47" s="162"/>
    </row>
    <row r="48" spans="1:52" s="16" customFormat="1" ht="12.75" customHeight="1" x14ac:dyDescent="0.2">
      <c r="A48" s="163"/>
      <c r="B48" s="163"/>
      <c r="C48" s="163"/>
      <c r="D48" s="163"/>
      <c r="E48" s="162"/>
      <c r="F48" s="162"/>
      <c r="G48" s="162"/>
      <c r="H48" s="189"/>
      <c r="I48" s="189"/>
      <c r="J48" s="189"/>
      <c r="K48" s="196" t="s">
        <v>201</v>
      </c>
      <c r="L48" s="196" t="s">
        <v>307</v>
      </c>
      <c r="M48" s="205"/>
      <c r="N48" s="162"/>
      <c r="O48" s="162"/>
      <c r="P48" s="162"/>
      <c r="Q48" s="162"/>
      <c r="R48" s="162"/>
      <c r="S48" s="162"/>
      <c r="T48" s="162"/>
      <c r="U48" s="162"/>
      <c r="V48" s="162"/>
      <c r="W48" s="162"/>
      <c r="X48" s="162"/>
      <c r="Y48" s="162"/>
      <c r="Z48" s="163"/>
      <c r="AA48" s="163"/>
      <c r="AB48" s="163"/>
      <c r="AC48" s="162"/>
      <c r="AD48" s="162"/>
      <c r="AE48" s="162"/>
      <c r="AF48" s="162"/>
      <c r="AG48" s="162"/>
      <c r="AH48" s="162"/>
      <c r="AI48" s="162"/>
      <c r="AJ48" s="162"/>
      <c r="AK48" s="162"/>
      <c r="AL48" s="162"/>
      <c r="AM48" s="162"/>
      <c r="AN48" s="162"/>
      <c r="AO48" s="162"/>
      <c r="AP48" s="162"/>
      <c r="AQ48" s="162"/>
      <c r="AR48" s="162"/>
      <c r="AS48" s="162"/>
      <c r="AT48" s="162"/>
      <c r="AU48" s="162"/>
      <c r="AV48" s="162"/>
      <c r="AW48" s="162"/>
      <c r="AX48" s="162"/>
      <c r="AY48" s="162"/>
      <c r="AZ48" s="162"/>
    </row>
    <row r="49" spans="1:52" s="16" customFormat="1" ht="12.75" customHeight="1" x14ac:dyDescent="0.2">
      <c r="A49" s="163"/>
      <c r="B49" s="163"/>
      <c r="C49" s="163"/>
      <c r="D49" s="163"/>
      <c r="E49" s="162"/>
      <c r="F49" s="162"/>
      <c r="G49" s="162"/>
      <c r="H49" s="189"/>
      <c r="I49" s="189"/>
      <c r="J49" s="189"/>
      <c r="K49" s="206" t="s">
        <v>202</v>
      </c>
      <c r="L49" s="196" t="s">
        <v>302</v>
      </c>
      <c r="M49" s="205"/>
      <c r="N49" s="162"/>
      <c r="O49" s="162"/>
      <c r="P49" s="162"/>
      <c r="Q49" s="162"/>
      <c r="R49" s="162"/>
      <c r="S49" s="162"/>
      <c r="T49" s="162"/>
      <c r="U49" s="162"/>
      <c r="V49" s="162"/>
      <c r="W49" s="162"/>
      <c r="X49" s="162"/>
      <c r="Y49" s="162"/>
      <c r="Z49" s="163"/>
      <c r="AA49" s="163"/>
      <c r="AB49" s="163"/>
      <c r="AC49" s="162"/>
      <c r="AD49" s="162"/>
      <c r="AE49" s="162"/>
      <c r="AF49" s="162"/>
      <c r="AG49" s="162"/>
      <c r="AH49" s="162"/>
      <c r="AI49" s="162"/>
      <c r="AJ49" s="162"/>
      <c r="AK49" s="162"/>
      <c r="AL49" s="162"/>
      <c r="AM49" s="162"/>
      <c r="AN49" s="162"/>
      <c r="AO49" s="162"/>
      <c r="AP49" s="162"/>
      <c r="AQ49" s="162"/>
      <c r="AR49" s="162"/>
      <c r="AS49" s="162"/>
      <c r="AT49" s="162"/>
      <c r="AU49" s="162"/>
      <c r="AV49" s="162"/>
      <c r="AW49" s="162"/>
      <c r="AX49" s="162"/>
      <c r="AY49" s="162"/>
      <c r="AZ49" s="162"/>
    </row>
    <row r="50" spans="1:52" s="16" customFormat="1" ht="12.75" customHeight="1" x14ac:dyDescent="0.2">
      <c r="A50" s="163"/>
      <c r="B50" s="163"/>
      <c r="C50" s="163"/>
      <c r="D50" s="163"/>
      <c r="E50" s="162"/>
      <c r="F50" s="162"/>
      <c r="G50" s="162"/>
      <c r="H50" s="189"/>
      <c r="I50" s="189"/>
      <c r="J50" s="189"/>
      <c r="K50" s="194"/>
      <c r="L50" s="194"/>
      <c r="M50" s="205"/>
      <c r="N50" s="162"/>
      <c r="O50" s="162"/>
      <c r="P50" s="162"/>
      <c r="Q50" s="162"/>
      <c r="R50" s="162"/>
      <c r="S50" s="162"/>
      <c r="T50" s="162"/>
      <c r="U50" s="162"/>
      <c r="V50" s="162"/>
      <c r="W50" s="162"/>
      <c r="X50" s="162"/>
      <c r="Y50" s="162"/>
      <c r="Z50" s="163"/>
      <c r="AA50" s="163"/>
      <c r="AB50" s="163"/>
      <c r="AC50" s="162"/>
      <c r="AD50" s="162"/>
      <c r="AE50" s="162"/>
      <c r="AF50" s="162"/>
      <c r="AG50" s="162"/>
      <c r="AH50" s="162"/>
      <c r="AI50" s="162"/>
      <c r="AJ50" s="162"/>
      <c r="AK50" s="162"/>
      <c r="AL50" s="162"/>
      <c r="AM50" s="162"/>
      <c r="AN50" s="162"/>
      <c r="AO50" s="162"/>
      <c r="AP50" s="162"/>
      <c r="AQ50" s="162"/>
      <c r="AR50" s="162"/>
      <c r="AS50" s="162"/>
      <c r="AT50" s="162"/>
      <c r="AU50" s="162"/>
      <c r="AV50" s="162"/>
      <c r="AW50" s="162"/>
      <c r="AX50" s="162"/>
      <c r="AY50" s="162"/>
      <c r="AZ50" s="162"/>
    </row>
    <row r="51" spans="1:52" s="16" customFormat="1" ht="12.75" customHeight="1" x14ac:dyDescent="0.2">
      <c r="A51" s="163"/>
      <c r="B51" s="163"/>
      <c r="C51" s="163"/>
      <c r="D51" s="163"/>
      <c r="E51" s="162"/>
      <c r="F51" s="162"/>
      <c r="G51" s="162"/>
      <c r="H51" s="189"/>
      <c r="I51" s="189"/>
      <c r="J51" s="162"/>
      <c r="K51" s="194"/>
      <c r="L51" s="194"/>
      <c r="M51" s="205"/>
      <c r="N51" s="162"/>
      <c r="O51" s="162"/>
      <c r="P51" s="162"/>
      <c r="Q51" s="162"/>
      <c r="R51" s="162"/>
      <c r="S51" s="162"/>
      <c r="T51" s="162"/>
      <c r="U51" s="162"/>
      <c r="V51" s="162"/>
      <c r="W51" s="162"/>
      <c r="X51" s="162"/>
      <c r="Y51" s="162"/>
      <c r="Z51" s="163"/>
      <c r="AA51" s="163"/>
      <c r="AB51" s="163"/>
      <c r="AC51" s="162"/>
      <c r="AD51" s="162"/>
      <c r="AE51" s="162"/>
      <c r="AF51" s="162"/>
      <c r="AG51" s="162"/>
      <c r="AH51" s="162"/>
      <c r="AI51" s="162"/>
      <c r="AJ51" s="162"/>
      <c r="AK51" s="162"/>
      <c r="AL51" s="162"/>
      <c r="AM51" s="162"/>
      <c r="AN51" s="162"/>
      <c r="AO51" s="162"/>
      <c r="AP51" s="162"/>
      <c r="AQ51" s="162"/>
      <c r="AR51" s="162"/>
      <c r="AS51" s="162"/>
      <c r="AT51" s="162"/>
      <c r="AU51" s="162"/>
      <c r="AV51" s="162"/>
      <c r="AW51" s="162"/>
      <c r="AX51" s="162"/>
      <c r="AY51" s="162"/>
      <c r="AZ51" s="162"/>
    </row>
    <row r="52" spans="1:52" s="16" customFormat="1" ht="12.75" customHeight="1" x14ac:dyDescent="0.2">
      <c r="A52" s="163"/>
      <c r="B52" s="163"/>
      <c r="C52" s="163"/>
      <c r="D52" s="163"/>
      <c r="E52" s="163"/>
      <c r="F52" s="163"/>
      <c r="G52" s="162"/>
      <c r="H52" s="189"/>
      <c r="I52" s="189"/>
      <c r="J52" s="162"/>
      <c r="K52" s="194"/>
      <c r="L52" s="194"/>
      <c r="M52" s="205"/>
      <c r="N52" s="162"/>
      <c r="O52" s="162"/>
      <c r="P52" s="162"/>
      <c r="Q52" s="162"/>
      <c r="R52" s="162"/>
      <c r="S52" s="162"/>
      <c r="T52" s="162"/>
      <c r="U52" s="162"/>
      <c r="V52" s="162"/>
      <c r="W52" s="162"/>
      <c r="X52" s="162"/>
      <c r="Y52" s="162"/>
      <c r="Z52" s="163"/>
      <c r="AA52" s="163"/>
      <c r="AB52" s="163"/>
      <c r="AC52" s="162"/>
      <c r="AD52" s="162"/>
      <c r="AE52" s="162"/>
      <c r="AF52" s="162"/>
      <c r="AG52" s="162"/>
      <c r="AH52" s="162"/>
      <c r="AI52" s="162"/>
      <c r="AJ52" s="162"/>
      <c r="AK52" s="162"/>
      <c r="AL52" s="162"/>
      <c r="AM52" s="162"/>
      <c r="AN52" s="162"/>
      <c r="AO52" s="162"/>
      <c r="AP52" s="162"/>
      <c r="AQ52" s="162"/>
      <c r="AR52" s="162"/>
      <c r="AS52" s="162"/>
      <c r="AT52" s="162"/>
      <c r="AU52" s="162"/>
      <c r="AV52" s="162"/>
      <c r="AW52" s="162"/>
      <c r="AX52" s="162"/>
      <c r="AY52" s="162"/>
      <c r="AZ52" s="162"/>
    </row>
    <row r="53" spans="1:52" s="16" customFormat="1" ht="12.75" customHeight="1" x14ac:dyDescent="0.2">
      <c r="A53" s="163"/>
      <c r="B53" s="163"/>
      <c r="C53" s="163"/>
      <c r="D53" s="163"/>
      <c r="E53" s="163"/>
      <c r="F53" s="163"/>
      <c r="G53" s="162"/>
      <c r="H53" s="162"/>
      <c r="I53" s="162"/>
      <c r="J53" s="162"/>
      <c r="K53" s="194"/>
      <c r="L53" s="194"/>
      <c r="M53" s="163"/>
      <c r="N53" s="162"/>
      <c r="O53" s="162"/>
      <c r="P53" s="162"/>
      <c r="Q53" s="162"/>
      <c r="R53" s="162"/>
      <c r="S53" s="162"/>
      <c r="T53" s="162"/>
      <c r="U53" s="162"/>
      <c r="V53" s="162"/>
      <c r="W53" s="162"/>
      <c r="X53" s="162"/>
      <c r="Y53" s="162"/>
      <c r="Z53" s="163"/>
      <c r="AA53" s="163"/>
      <c r="AB53" s="163"/>
      <c r="AC53" s="162"/>
      <c r="AD53" s="162"/>
      <c r="AE53" s="162"/>
      <c r="AF53" s="162"/>
      <c r="AG53" s="162"/>
      <c r="AH53" s="162"/>
      <c r="AI53" s="162"/>
      <c r="AJ53" s="162"/>
      <c r="AK53" s="162"/>
      <c r="AL53" s="162"/>
      <c r="AM53" s="162"/>
      <c r="AN53" s="162"/>
      <c r="AO53" s="162"/>
      <c r="AP53" s="162"/>
      <c r="AQ53" s="162"/>
      <c r="AR53" s="162"/>
      <c r="AS53" s="162"/>
      <c r="AT53" s="162"/>
      <c r="AU53" s="162"/>
      <c r="AV53" s="162"/>
      <c r="AW53" s="162"/>
      <c r="AX53" s="162"/>
      <c r="AY53" s="162"/>
      <c r="AZ53" s="162"/>
    </row>
    <row r="54" spans="1:52" s="16" customFormat="1" ht="12.75" customHeight="1" x14ac:dyDescent="0.2">
      <c r="A54" s="163"/>
      <c r="B54" s="163"/>
      <c r="C54" s="163"/>
      <c r="D54" s="163"/>
      <c r="E54" s="163"/>
      <c r="F54" s="163"/>
      <c r="G54" s="162"/>
      <c r="H54" s="162"/>
      <c r="I54" s="162"/>
      <c r="J54" s="163"/>
      <c r="K54" s="194"/>
      <c r="L54" s="194"/>
      <c r="M54" s="163"/>
      <c r="N54" s="162"/>
      <c r="O54" s="162"/>
      <c r="P54" s="162"/>
      <c r="Q54" s="162"/>
      <c r="R54" s="162"/>
      <c r="S54" s="162"/>
      <c r="T54" s="162"/>
      <c r="U54" s="162"/>
      <c r="V54" s="162"/>
      <c r="W54" s="162"/>
      <c r="X54" s="162"/>
      <c r="Y54" s="162"/>
      <c r="Z54" s="163"/>
      <c r="AA54" s="163"/>
      <c r="AB54" s="163"/>
      <c r="AC54" s="162"/>
      <c r="AD54" s="162"/>
      <c r="AE54" s="162"/>
      <c r="AF54" s="162"/>
      <c r="AG54" s="162"/>
      <c r="AH54" s="162"/>
      <c r="AI54" s="162"/>
      <c r="AJ54" s="162"/>
      <c r="AK54" s="162"/>
      <c r="AL54" s="162"/>
      <c r="AM54" s="162"/>
      <c r="AN54" s="162"/>
      <c r="AO54" s="162"/>
      <c r="AP54" s="162"/>
      <c r="AQ54" s="162"/>
      <c r="AR54" s="162"/>
      <c r="AS54" s="162"/>
      <c r="AT54" s="162"/>
      <c r="AU54" s="162"/>
      <c r="AV54" s="162"/>
      <c r="AW54" s="162"/>
      <c r="AX54" s="162"/>
      <c r="AY54" s="162"/>
      <c r="AZ54" s="162"/>
    </row>
    <row r="55" spans="1:52" s="16" customFormat="1" ht="12.75" customHeight="1" x14ac:dyDescent="0.2">
      <c r="A55" s="163"/>
      <c r="B55" s="163"/>
      <c r="C55" s="163"/>
      <c r="D55" s="163"/>
      <c r="E55" s="163"/>
      <c r="F55" s="163"/>
      <c r="G55" s="163"/>
      <c r="H55" s="162"/>
      <c r="I55" s="162"/>
      <c r="J55" s="163"/>
      <c r="K55" s="194"/>
      <c r="L55" s="194"/>
      <c r="M55" s="163"/>
      <c r="N55" s="163"/>
      <c r="O55" s="162"/>
      <c r="P55" s="162"/>
      <c r="Q55" s="162"/>
      <c r="R55" s="162"/>
      <c r="S55" s="162"/>
      <c r="T55" s="162"/>
      <c r="U55" s="162"/>
      <c r="V55" s="162"/>
      <c r="W55" s="162"/>
      <c r="X55" s="162"/>
      <c r="Y55" s="162"/>
      <c r="Z55" s="163"/>
      <c r="AA55" s="163"/>
      <c r="AB55" s="163"/>
      <c r="AC55" s="162"/>
      <c r="AD55" s="162"/>
      <c r="AE55" s="162"/>
      <c r="AF55" s="162"/>
      <c r="AG55" s="162"/>
      <c r="AH55" s="162"/>
      <c r="AI55" s="162"/>
      <c r="AJ55" s="162"/>
      <c r="AK55" s="162"/>
      <c r="AL55" s="162"/>
      <c r="AM55" s="162"/>
      <c r="AN55" s="162"/>
      <c r="AO55" s="162"/>
      <c r="AP55" s="162"/>
      <c r="AQ55" s="162"/>
      <c r="AR55" s="162"/>
      <c r="AS55" s="162"/>
      <c r="AT55" s="162"/>
      <c r="AU55" s="162"/>
      <c r="AV55" s="162"/>
      <c r="AW55" s="162"/>
      <c r="AX55" s="162"/>
      <c r="AY55" s="162"/>
      <c r="AZ55" s="162"/>
    </row>
    <row r="56" spans="1:52" s="16" customFormat="1" ht="12.75" customHeight="1" x14ac:dyDescent="0.2">
      <c r="A56" s="163"/>
      <c r="B56" s="163"/>
      <c r="C56" s="163"/>
      <c r="D56" s="163"/>
      <c r="E56" s="163"/>
      <c r="F56" s="163"/>
      <c r="G56" s="163"/>
      <c r="H56" s="163"/>
      <c r="I56" s="163"/>
      <c r="J56" s="163"/>
      <c r="K56" s="194"/>
      <c r="L56" s="194"/>
      <c r="M56" s="163"/>
      <c r="N56" s="163"/>
      <c r="O56" s="162"/>
      <c r="P56" s="162"/>
      <c r="Q56" s="162"/>
      <c r="R56" s="162"/>
      <c r="S56" s="162"/>
      <c r="T56" s="162"/>
      <c r="U56" s="162"/>
      <c r="V56" s="162"/>
      <c r="W56" s="162"/>
      <c r="X56" s="162"/>
      <c r="Y56" s="162"/>
      <c r="Z56" s="163"/>
      <c r="AA56" s="163"/>
      <c r="AB56" s="163"/>
      <c r="AC56" s="162"/>
      <c r="AD56" s="162"/>
      <c r="AE56" s="162"/>
      <c r="AF56" s="162"/>
      <c r="AG56" s="162"/>
      <c r="AH56" s="162"/>
      <c r="AI56" s="162"/>
      <c r="AJ56" s="162"/>
      <c r="AK56" s="162"/>
      <c r="AL56" s="162"/>
      <c r="AM56" s="162"/>
      <c r="AN56" s="162"/>
      <c r="AO56" s="162"/>
      <c r="AP56" s="162"/>
      <c r="AQ56" s="162"/>
      <c r="AR56" s="162"/>
      <c r="AS56" s="162"/>
      <c r="AT56" s="162"/>
      <c r="AU56" s="162"/>
      <c r="AV56" s="162"/>
      <c r="AW56" s="162"/>
      <c r="AX56" s="162"/>
      <c r="AY56" s="162"/>
      <c r="AZ56" s="162"/>
    </row>
    <row r="57" spans="1:52" s="16" customFormat="1" ht="12.75" customHeight="1" x14ac:dyDescent="0.2">
      <c r="A57" s="163"/>
      <c r="B57" s="163"/>
      <c r="C57" s="163"/>
      <c r="D57" s="163"/>
      <c r="E57" s="163"/>
      <c r="F57" s="163"/>
      <c r="G57" s="163"/>
      <c r="H57" s="163"/>
      <c r="I57" s="163"/>
      <c r="J57" s="163"/>
      <c r="K57" s="194"/>
      <c r="L57" s="194"/>
      <c r="M57" s="163"/>
      <c r="N57" s="163"/>
      <c r="O57" s="162"/>
      <c r="P57" s="162"/>
      <c r="Q57" s="162"/>
      <c r="R57" s="162"/>
      <c r="S57" s="162"/>
      <c r="T57" s="162"/>
      <c r="U57" s="162"/>
      <c r="V57" s="162"/>
      <c r="W57" s="162"/>
      <c r="X57" s="162"/>
      <c r="Y57" s="162"/>
      <c r="Z57" s="163"/>
      <c r="AA57" s="163"/>
      <c r="AB57" s="163"/>
      <c r="AC57" s="162"/>
      <c r="AD57" s="162"/>
      <c r="AE57" s="162"/>
      <c r="AF57" s="162"/>
      <c r="AG57" s="162"/>
      <c r="AH57" s="162"/>
      <c r="AI57" s="162"/>
      <c r="AJ57" s="162"/>
      <c r="AK57" s="162"/>
      <c r="AL57" s="162"/>
      <c r="AM57" s="162"/>
      <c r="AN57" s="162"/>
      <c r="AO57" s="162"/>
      <c r="AP57" s="162"/>
      <c r="AQ57" s="162"/>
      <c r="AR57" s="162"/>
      <c r="AS57" s="162"/>
      <c r="AT57" s="162"/>
      <c r="AU57" s="162"/>
      <c r="AV57" s="162"/>
      <c r="AW57" s="162"/>
      <c r="AX57" s="162"/>
      <c r="AY57" s="162"/>
      <c r="AZ57" s="162"/>
    </row>
    <row r="58" spans="1:52" x14ac:dyDescent="0.2">
      <c r="A58" s="163"/>
      <c r="B58" s="163"/>
      <c r="C58" s="163"/>
      <c r="D58" s="163"/>
      <c r="E58" s="163"/>
      <c r="F58" s="163"/>
      <c r="G58" s="163"/>
      <c r="H58" s="163"/>
      <c r="I58" s="163"/>
      <c r="J58" s="163"/>
      <c r="K58" s="194"/>
      <c r="L58" s="194"/>
      <c r="M58" s="163"/>
      <c r="N58" s="163"/>
      <c r="O58" s="163"/>
      <c r="P58" s="163"/>
      <c r="Q58" s="163"/>
      <c r="R58" s="163"/>
      <c r="S58" s="163"/>
      <c r="T58" s="163"/>
      <c r="U58" s="163"/>
      <c r="V58" s="163"/>
      <c r="W58" s="163"/>
      <c r="X58" s="163"/>
      <c r="Y58" s="163"/>
      <c r="Z58" s="163"/>
      <c r="AA58" s="163"/>
      <c r="AB58" s="163"/>
      <c r="AC58" s="163"/>
      <c r="AD58" s="163"/>
      <c r="AE58" s="163"/>
      <c r="AF58" s="163"/>
      <c r="AG58" s="163"/>
      <c r="AH58" s="163"/>
      <c r="AI58" s="163"/>
      <c r="AJ58" s="163"/>
      <c r="AK58" s="163"/>
      <c r="AL58" s="163"/>
      <c r="AM58" s="163"/>
      <c r="AN58" s="163"/>
      <c r="AO58" s="163"/>
      <c r="AP58" s="163"/>
      <c r="AQ58" s="163"/>
      <c r="AR58" s="163"/>
      <c r="AS58" s="163"/>
      <c r="AT58" s="163"/>
      <c r="AU58" s="163"/>
      <c r="AV58" s="163"/>
      <c r="AW58" s="163"/>
      <c r="AX58" s="163"/>
      <c r="AY58" s="163"/>
      <c r="AZ58" s="163"/>
    </row>
    <row r="59" spans="1:52" x14ac:dyDescent="0.2">
      <c r="A59" s="163"/>
      <c r="B59" s="163"/>
      <c r="C59" s="163"/>
      <c r="D59" s="163"/>
      <c r="E59" s="163"/>
      <c r="F59" s="163"/>
      <c r="G59" s="163"/>
      <c r="H59" s="163"/>
      <c r="I59" s="163"/>
      <c r="J59" s="163"/>
      <c r="K59" s="194"/>
      <c r="L59" s="194"/>
      <c r="M59" s="163"/>
      <c r="N59" s="163"/>
      <c r="O59" s="163"/>
      <c r="P59" s="163"/>
      <c r="Q59" s="163"/>
      <c r="R59" s="163"/>
      <c r="S59" s="163"/>
      <c r="T59" s="163"/>
      <c r="U59" s="163"/>
      <c r="V59" s="163"/>
      <c r="W59" s="163"/>
      <c r="X59" s="163"/>
      <c r="Y59" s="163"/>
      <c r="Z59" s="163"/>
      <c r="AA59" s="163"/>
      <c r="AB59" s="163"/>
      <c r="AC59" s="163"/>
      <c r="AD59" s="163"/>
      <c r="AE59" s="163"/>
      <c r="AF59" s="163"/>
      <c r="AG59" s="163"/>
      <c r="AH59" s="163"/>
      <c r="AI59" s="163"/>
      <c r="AJ59" s="163"/>
      <c r="AK59" s="163"/>
      <c r="AL59" s="163"/>
      <c r="AM59" s="163"/>
      <c r="AN59" s="163"/>
      <c r="AO59" s="163"/>
      <c r="AP59" s="163"/>
      <c r="AQ59" s="163"/>
      <c r="AR59" s="163"/>
      <c r="AS59" s="163"/>
      <c r="AT59" s="163"/>
      <c r="AU59" s="163"/>
      <c r="AV59" s="163"/>
      <c r="AW59" s="163"/>
      <c r="AX59" s="163"/>
      <c r="AY59" s="163"/>
      <c r="AZ59" s="163"/>
    </row>
    <row r="60" spans="1:52" x14ac:dyDescent="0.2">
      <c r="A60" s="163"/>
      <c r="B60" s="163"/>
      <c r="C60" s="163"/>
      <c r="D60" s="163"/>
      <c r="E60" s="163"/>
      <c r="F60" s="163"/>
      <c r="G60" s="163"/>
      <c r="H60" s="163"/>
      <c r="I60" s="163"/>
      <c r="J60" s="163"/>
      <c r="K60" s="194"/>
      <c r="L60" s="194"/>
      <c r="M60" s="163"/>
      <c r="N60" s="163"/>
      <c r="O60" s="163"/>
      <c r="P60" s="163"/>
      <c r="Q60" s="163"/>
      <c r="R60" s="163"/>
      <c r="S60" s="163"/>
      <c r="T60" s="163"/>
      <c r="U60" s="163"/>
      <c r="V60" s="163"/>
      <c r="W60" s="163"/>
      <c r="X60" s="163"/>
      <c r="Y60" s="163"/>
      <c r="Z60" s="163"/>
      <c r="AA60" s="163"/>
      <c r="AB60" s="163"/>
      <c r="AC60" s="163"/>
      <c r="AD60" s="163"/>
      <c r="AE60" s="163"/>
      <c r="AF60" s="163"/>
      <c r="AG60" s="163"/>
      <c r="AH60" s="163"/>
      <c r="AI60" s="163"/>
      <c r="AJ60" s="163"/>
      <c r="AK60" s="163"/>
      <c r="AL60" s="163"/>
      <c r="AM60" s="163"/>
      <c r="AN60" s="163"/>
      <c r="AO60" s="163"/>
      <c r="AP60" s="163"/>
      <c r="AQ60" s="163"/>
      <c r="AR60" s="163"/>
      <c r="AS60" s="163"/>
      <c r="AT60" s="163"/>
      <c r="AU60" s="163"/>
      <c r="AV60" s="163"/>
      <c r="AW60" s="163"/>
      <c r="AX60" s="163"/>
      <c r="AY60" s="163"/>
      <c r="AZ60" s="163"/>
    </row>
    <row r="61" spans="1:52" x14ac:dyDescent="0.2">
      <c r="A61" s="163"/>
      <c r="B61" s="163"/>
      <c r="C61" s="163"/>
      <c r="D61" s="163"/>
      <c r="E61" s="163"/>
      <c r="F61" s="163"/>
      <c r="G61" s="163"/>
      <c r="H61" s="163"/>
      <c r="I61" s="163"/>
      <c r="J61" s="163"/>
      <c r="K61" s="194"/>
      <c r="L61" s="194"/>
      <c r="M61" s="163"/>
      <c r="N61" s="163"/>
      <c r="O61" s="163"/>
      <c r="P61" s="163"/>
      <c r="Q61" s="163"/>
      <c r="R61" s="163"/>
      <c r="S61" s="163"/>
      <c r="T61" s="163"/>
      <c r="U61" s="163"/>
      <c r="V61" s="163"/>
      <c r="W61" s="163"/>
      <c r="X61" s="163"/>
      <c r="Y61" s="163"/>
      <c r="Z61" s="163"/>
      <c r="AA61" s="163"/>
      <c r="AB61" s="163"/>
      <c r="AC61" s="163"/>
      <c r="AD61" s="163"/>
      <c r="AE61" s="163"/>
      <c r="AF61" s="163"/>
      <c r="AG61" s="163"/>
      <c r="AH61" s="163"/>
      <c r="AI61" s="163"/>
      <c r="AJ61" s="163"/>
      <c r="AK61" s="163"/>
      <c r="AL61" s="163"/>
      <c r="AM61" s="163"/>
      <c r="AN61" s="163"/>
      <c r="AO61" s="163"/>
      <c r="AP61" s="163"/>
      <c r="AQ61" s="163"/>
      <c r="AR61" s="163"/>
      <c r="AS61" s="163"/>
      <c r="AT61" s="163"/>
      <c r="AU61" s="163"/>
      <c r="AV61" s="163"/>
      <c r="AW61" s="163"/>
      <c r="AX61" s="163"/>
      <c r="AY61" s="163"/>
      <c r="AZ61" s="163"/>
    </row>
    <row r="62" spans="1:52" x14ac:dyDescent="0.2">
      <c r="A62" s="163"/>
      <c r="B62" s="163"/>
      <c r="C62" s="163"/>
      <c r="D62" s="163"/>
      <c r="E62" s="163"/>
      <c r="F62" s="163"/>
      <c r="G62" s="163"/>
      <c r="H62" s="163"/>
      <c r="I62" s="163"/>
      <c r="J62" s="163"/>
      <c r="K62" s="194"/>
      <c r="L62" s="194"/>
      <c r="M62" s="163"/>
      <c r="N62" s="163"/>
      <c r="O62" s="163"/>
      <c r="P62" s="163"/>
      <c r="Q62" s="163"/>
      <c r="R62" s="163"/>
      <c r="S62" s="163"/>
      <c r="T62" s="163"/>
      <c r="U62" s="163"/>
      <c r="V62" s="163"/>
      <c r="W62" s="163"/>
      <c r="X62" s="163"/>
      <c r="Y62" s="163"/>
      <c r="Z62" s="163"/>
      <c r="AA62" s="163"/>
      <c r="AB62" s="163"/>
      <c r="AC62" s="163"/>
      <c r="AD62" s="163"/>
      <c r="AE62" s="163"/>
      <c r="AF62" s="163"/>
      <c r="AG62" s="163"/>
      <c r="AH62" s="163"/>
      <c r="AI62" s="163"/>
      <c r="AJ62" s="163"/>
      <c r="AK62" s="163"/>
      <c r="AL62" s="163"/>
      <c r="AM62" s="163"/>
      <c r="AN62" s="163"/>
      <c r="AO62" s="163"/>
      <c r="AP62" s="163"/>
      <c r="AQ62" s="163"/>
      <c r="AR62" s="163"/>
      <c r="AS62" s="163"/>
      <c r="AT62" s="163"/>
      <c r="AU62" s="163"/>
      <c r="AV62" s="163"/>
      <c r="AW62" s="163"/>
      <c r="AX62" s="163"/>
      <c r="AY62" s="163"/>
      <c r="AZ62" s="163"/>
    </row>
    <row r="63" spans="1:52" x14ac:dyDescent="0.2">
      <c r="A63" s="163"/>
      <c r="B63" s="163"/>
      <c r="C63" s="163"/>
      <c r="D63" s="163"/>
      <c r="E63" s="163"/>
      <c r="F63" s="163"/>
      <c r="G63" s="163"/>
      <c r="H63" s="163"/>
      <c r="I63" s="163"/>
      <c r="J63" s="163"/>
      <c r="K63" s="194"/>
      <c r="L63" s="194"/>
      <c r="M63" s="163"/>
      <c r="N63" s="163"/>
      <c r="O63" s="163"/>
      <c r="P63" s="163"/>
      <c r="Q63" s="163"/>
      <c r="R63" s="163"/>
      <c r="S63" s="163"/>
      <c r="T63" s="163"/>
      <c r="U63" s="163"/>
      <c r="V63" s="163"/>
      <c r="W63" s="163"/>
      <c r="X63" s="163"/>
      <c r="Y63" s="163"/>
      <c r="Z63" s="163"/>
      <c r="AA63" s="163"/>
      <c r="AB63" s="163"/>
      <c r="AC63" s="163"/>
      <c r="AD63" s="163"/>
      <c r="AE63" s="163"/>
      <c r="AF63" s="163"/>
      <c r="AG63" s="163"/>
      <c r="AH63" s="163"/>
      <c r="AI63" s="163"/>
      <c r="AJ63" s="163"/>
      <c r="AK63" s="163"/>
      <c r="AL63" s="163"/>
      <c r="AM63" s="163"/>
      <c r="AN63" s="163"/>
      <c r="AO63" s="163"/>
      <c r="AP63" s="163"/>
      <c r="AQ63" s="163"/>
      <c r="AR63" s="163"/>
      <c r="AS63" s="163"/>
      <c r="AT63" s="163"/>
      <c r="AU63" s="163"/>
      <c r="AV63" s="163"/>
      <c r="AW63" s="163"/>
      <c r="AX63" s="163"/>
      <c r="AY63" s="163"/>
      <c r="AZ63" s="163"/>
    </row>
    <row r="64" spans="1:52" x14ac:dyDescent="0.2">
      <c r="A64" s="163"/>
      <c r="B64" s="163"/>
      <c r="C64" s="163"/>
      <c r="D64" s="163"/>
      <c r="E64" s="163"/>
      <c r="F64" s="163"/>
      <c r="G64" s="163"/>
      <c r="H64" s="163"/>
      <c r="I64" s="163"/>
      <c r="J64" s="163"/>
      <c r="K64" s="194"/>
      <c r="L64" s="194"/>
      <c r="M64" s="163"/>
      <c r="N64" s="163"/>
      <c r="O64" s="163"/>
      <c r="P64" s="163"/>
      <c r="Q64" s="163"/>
      <c r="R64" s="163"/>
      <c r="S64" s="163"/>
      <c r="T64" s="163"/>
      <c r="U64" s="163"/>
      <c r="V64" s="163"/>
      <c r="W64" s="163"/>
      <c r="X64" s="163"/>
      <c r="Y64" s="163"/>
      <c r="Z64" s="163"/>
      <c r="AA64" s="163"/>
      <c r="AB64" s="163"/>
      <c r="AC64" s="163"/>
      <c r="AD64" s="163"/>
      <c r="AE64" s="163"/>
      <c r="AF64" s="163"/>
      <c r="AG64" s="163"/>
      <c r="AH64" s="163"/>
      <c r="AI64" s="163"/>
      <c r="AJ64" s="163"/>
      <c r="AK64" s="163"/>
      <c r="AL64" s="163"/>
      <c r="AM64" s="163"/>
      <c r="AN64" s="163"/>
      <c r="AO64" s="163"/>
      <c r="AP64" s="163"/>
      <c r="AQ64" s="163"/>
      <c r="AR64" s="163"/>
      <c r="AS64" s="163"/>
      <c r="AT64" s="163"/>
      <c r="AU64" s="163"/>
      <c r="AV64" s="163"/>
      <c r="AW64" s="163"/>
      <c r="AX64" s="163"/>
      <c r="AY64" s="163"/>
      <c r="AZ64" s="163"/>
    </row>
    <row r="65" spans="1:52" x14ac:dyDescent="0.2">
      <c r="A65" s="163"/>
      <c r="B65" s="163"/>
      <c r="C65" s="163"/>
      <c r="D65" s="163"/>
      <c r="E65" s="163"/>
      <c r="F65" s="163"/>
      <c r="G65" s="163"/>
      <c r="H65" s="163"/>
      <c r="I65" s="163"/>
      <c r="J65" s="163"/>
      <c r="K65" s="194"/>
      <c r="L65" s="194"/>
      <c r="M65" s="163"/>
      <c r="N65" s="163"/>
      <c r="O65" s="163"/>
      <c r="P65" s="163"/>
      <c r="Q65" s="163"/>
      <c r="R65" s="163"/>
      <c r="S65" s="163"/>
      <c r="T65" s="163"/>
      <c r="U65" s="163"/>
      <c r="V65" s="163"/>
      <c r="W65" s="163"/>
      <c r="X65" s="163"/>
      <c r="Y65" s="163"/>
      <c r="Z65" s="163"/>
      <c r="AA65" s="163"/>
      <c r="AB65" s="163"/>
      <c r="AC65" s="163"/>
      <c r="AD65" s="163"/>
      <c r="AE65" s="163"/>
      <c r="AF65" s="163"/>
      <c r="AG65" s="163"/>
      <c r="AH65" s="163"/>
      <c r="AI65" s="163"/>
      <c r="AJ65" s="163"/>
      <c r="AK65" s="163"/>
      <c r="AL65" s="163"/>
      <c r="AM65" s="163"/>
      <c r="AN65" s="163"/>
      <c r="AO65" s="163"/>
      <c r="AP65" s="163"/>
      <c r="AQ65" s="163"/>
      <c r="AR65" s="163"/>
      <c r="AS65" s="163"/>
      <c r="AT65" s="163"/>
      <c r="AU65" s="163"/>
      <c r="AV65" s="163"/>
      <c r="AW65" s="163"/>
      <c r="AX65" s="163"/>
      <c r="AY65" s="163"/>
      <c r="AZ65" s="163"/>
    </row>
    <row r="66" spans="1:52" x14ac:dyDescent="0.2">
      <c r="A66" s="163"/>
      <c r="B66" s="163"/>
      <c r="C66" s="163"/>
      <c r="D66" s="163"/>
      <c r="E66" s="163"/>
      <c r="F66" s="163"/>
      <c r="G66" s="163"/>
      <c r="H66" s="163"/>
      <c r="I66" s="163"/>
      <c r="J66" s="163"/>
      <c r="K66" s="194"/>
      <c r="L66" s="194"/>
      <c r="M66" s="163"/>
      <c r="N66" s="163"/>
      <c r="O66" s="163"/>
      <c r="P66" s="163"/>
      <c r="Q66" s="163"/>
      <c r="R66" s="163"/>
      <c r="S66" s="163"/>
      <c r="T66" s="163"/>
      <c r="U66" s="163"/>
      <c r="V66" s="163"/>
      <c r="W66" s="163"/>
      <c r="X66" s="163"/>
      <c r="Y66" s="163"/>
      <c r="Z66" s="163"/>
      <c r="AA66" s="163"/>
      <c r="AB66" s="163"/>
      <c r="AC66" s="163"/>
      <c r="AD66" s="163"/>
      <c r="AE66" s="163"/>
      <c r="AF66" s="163"/>
      <c r="AG66" s="163"/>
      <c r="AH66" s="163"/>
      <c r="AI66" s="163"/>
      <c r="AJ66" s="163"/>
      <c r="AK66" s="163"/>
      <c r="AL66" s="163"/>
      <c r="AM66" s="163"/>
      <c r="AN66" s="163"/>
      <c r="AO66" s="163"/>
      <c r="AP66" s="163"/>
      <c r="AQ66" s="163"/>
      <c r="AR66" s="163"/>
      <c r="AS66" s="163"/>
      <c r="AT66" s="163"/>
      <c r="AU66" s="163"/>
      <c r="AV66" s="163"/>
      <c r="AW66" s="163"/>
      <c r="AX66" s="163"/>
      <c r="AY66" s="163"/>
      <c r="AZ66" s="163"/>
    </row>
    <row r="67" spans="1:52" x14ac:dyDescent="0.2">
      <c r="A67" s="163"/>
      <c r="B67" s="163"/>
      <c r="C67" s="163"/>
      <c r="D67" s="163"/>
      <c r="E67" s="163"/>
      <c r="F67" s="163"/>
      <c r="G67" s="163"/>
      <c r="H67" s="163"/>
      <c r="I67" s="163"/>
      <c r="J67" s="163"/>
      <c r="K67" s="194"/>
      <c r="L67" s="194"/>
      <c r="M67" s="163"/>
      <c r="N67" s="163"/>
      <c r="O67" s="163"/>
      <c r="P67" s="163"/>
      <c r="Q67" s="163"/>
      <c r="R67" s="163"/>
      <c r="S67" s="163"/>
      <c r="T67" s="163"/>
      <c r="U67" s="163"/>
      <c r="V67" s="163"/>
      <c r="W67" s="163"/>
      <c r="X67" s="163"/>
      <c r="Y67" s="163"/>
      <c r="Z67" s="163"/>
      <c r="AA67" s="163"/>
      <c r="AB67" s="163"/>
      <c r="AC67" s="163"/>
      <c r="AD67" s="163"/>
      <c r="AE67" s="163"/>
      <c r="AF67" s="163"/>
      <c r="AG67" s="163"/>
      <c r="AH67" s="163"/>
      <c r="AI67" s="163"/>
      <c r="AJ67" s="163"/>
      <c r="AK67" s="163"/>
      <c r="AL67" s="163"/>
      <c r="AM67" s="163"/>
      <c r="AN67" s="163"/>
      <c r="AO67" s="163"/>
      <c r="AP67" s="163"/>
      <c r="AQ67" s="163"/>
      <c r="AR67" s="163"/>
      <c r="AS67" s="163"/>
      <c r="AT67" s="163"/>
      <c r="AU67" s="163"/>
      <c r="AV67" s="163"/>
      <c r="AW67" s="163"/>
      <c r="AX67" s="163"/>
      <c r="AY67" s="163"/>
      <c r="AZ67" s="163"/>
    </row>
    <row r="68" spans="1:52" x14ac:dyDescent="0.2">
      <c r="A68" s="163"/>
      <c r="B68" s="163"/>
      <c r="C68" s="163"/>
      <c r="D68" s="163"/>
      <c r="E68" s="163"/>
      <c r="F68" s="163"/>
      <c r="G68" s="163"/>
      <c r="H68" s="163"/>
      <c r="I68" s="163"/>
      <c r="J68" s="163"/>
      <c r="K68" s="194"/>
      <c r="L68" s="194"/>
      <c r="M68" s="163"/>
      <c r="N68" s="163"/>
      <c r="O68" s="163"/>
      <c r="P68" s="163"/>
      <c r="Q68" s="163"/>
      <c r="R68" s="163"/>
      <c r="S68" s="163"/>
      <c r="T68" s="163"/>
      <c r="U68" s="163"/>
      <c r="V68" s="163"/>
      <c r="W68" s="163"/>
      <c r="X68" s="163"/>
      <c r="Y68" s="163"/>
      <c r="Z68" s="163"/>
      <c r="AA68" s="163"/>
      <c r="AB68" s="163"/>
      <c r="AC68" s="163"/>
      <c r="AD68" s="163"/>
      <c r="AE68" s="163"/>
      <c r="AF68" s="163"/>
      <c r="AG68" s="163"/>
      <c r="AH68" s="163"/>
      <c r="AI68" s="163"/>
      <c r="AJ68" s="163"/>
      <c r="AK68" s="163"/>
      <c r="AL68" s="163"/>
      <c r="AM68" s="163"/>
      <c r="AN68" s="163"/>
      <c r="AO68" s="163"/>
      <c r="AP68" s="163"/>
      <c r="AQ68" s="163"/>
      <c r="AR68" s="163"/>
      <c r="AS68" s="163"/>
      <c r="AT68" s="163"/>
      <c r="AU68" s="163"/>
      <c r="AV68" s="163"/>
      <c r="AW68" s="163"/>
      <c r="AX68" s="163"/>
      <c r="AY68" s="163"/>
      <c r="AZ68" s="163"/>
    </row>
    <row r="69" spans="1:52" x14ac:dyDescent="0.2">
      <c r="A69" s="163"/>
      <c r="B69" s="163"/>
      <c r="C69" s="163"/>
      <c r="D69" s="163"/>
      <c r="E69" s="163"/>
      <c r="F69" s="163"/>
      <c r="G69" s="163"/>
      <c r="H69" s="163"/>
      <c r="I69" s="163"/>
      <c r="J69" s="163"/>
      <c r="K69" s="194"/>
      <c r="L69" s="194"/>
      <c r="M69" s="163"/>
      <c r="N69" s="163"/>
      <c r="O69" s="163"/>
      <c r="P69" s="163"/>
      <c r="Q69" s="163"/>
      <c r="R69" s="163"/>
      <c r="S69" s="163"/>
      <c r="T69" s="163"/>
      <c r="U69" s="163"/>
      <c r="V69" s="163"/>
      <c r="W69" s="163"/>
      <c r="X69" s="163"/>
      <c r="Y69" s="163"/>
      <c r="Z69" s="163"/>
      <c r="AA69" s="163"/>
      <c r="AB69" s="163"/>
      <c r="AC69" s="163"/>
      <c r="AD69" s="163"/>
      <c r="AE69" s="163"/>
      <c r="AF69" s="163"/>
      <c r="AG69" s="163"/>
      <c r="AH69" s="163"/>
      <c r="AI69" s="163"/>
      <c r="AJ69" s="163"/>
      <c r="AK69" s="163"/>
      <c r="AL69" s="163"/>
      <c r="AM69" s="163"/>
      <c r="AN69" s="163"/>
      <c r="AO69" s="163"/>
      <c r="AP69" s="163"/>
      <c r="AQ69" s="163"/>
      <c r="AR69" s="163"/>
      <c r="AS69" s="163"/>
      <c r="AT69" s="163"/>
      <c r="AU69" s="163"/>
      <c r="AV69" s="163"/>
      <c r="AW69" s="163"/>
      <c r="AX69" s="163"/>
      <c r="AY69" s="163"/>
      <c r="AZ69" s="163"/>
    </row>
    <row r="70" spans="1:52" x14ac:dyDescent="0.2">
      <c r="A70" s="163"/>
      <c r="B70" s="163"/>
      <c r="C70" s="163"/>
      <c r="D70" s="163"/>
      <c r="E70" s="163"/>
      <c r="F70" s="163"/>
      <c r="G70" s="163"/>
      <c r="H70" s="163"/>
      <c r="I70" s="163"/>
      <c r="J70" s="163"/>
      <c r="K70" s="194"/>
      <c r="L70" s="194"/>
      <c r="M70" s="163"/>
      <c r="N70" s="163"/>
      <c r="O70" s="163"/>
      <c r="P70" s="163"/>
      <c r="Q70" s="163"/>
      <c r="R70" s="163"/>
      <c r="S70" s="163"/>
      <c r="T70" s="163"/>
      <c r="U70" s="163"/>
      <c r="V70" s="163"/>
      <c r="W70" s="163"/>
      <c r="X70" s="163"/>
      <c r="Y70" s="163"/>
      <c r="Z70" s="163"/>
      <c r="AA70" s="163"/>
      <c r="AB70" s="163"/>
      <c r="AC70" s="163"/>
      <c r="AD70" s="163"/>
      <c r="AE70" s="163"/>
      <c r="AF70" s="163"/>
      <c r="AG70" s="163"/>
      <c r="AH70" s="163"/>
      <c r="AI70" s="163"/>
      <c r="AJ70" s="163"/>
      <c r="AK70" s="163"/>
      <c r="AL70" s="163"/>
      <c r="AM70" s="163"/>
      <c r="AN70" s="163"/>
      <c r="AO70" s="163"/>
      <c r="AP70" s="163"/>
      <c r="AQ70" s="163"/>
      <c r="AR70" s="163"/>
      <c r="AS70" s="163"/>
      <c r="AT70" s="163"/>
      <c r="AU70" s="163"/>
      <c r="AV70" s="163"/>
      <c r="AW70" s="163"/>
      <c r="AX70" s="163"/>
      <c r="AY70" s="163"/>
      <c r="AZ70" s="163"/>
    </row>
    <row r="71" spans="1:52" x14ac:dyDescent="0.2">
      <c r="A71" s="163"/>
      <c r="B71" s="163"/>
      <c r="C71" s="163"/>
      <c r="D71" s="163"/>
      <c r="E71" s="163"/>
      <c r="F71" s="163"/>
      <c r="G71" s="163"/>
      <c r="H71" s="163"/>
      <c r="I71" s="163"/>
      <c r="J71" s="163"/>
      <c r="K71" s="194"/>
      <c r="L71" s="194"/>
      <c r="M71" s="163"/>
      <c r="N71" s="163"/>
      <c r="O71" s="163"/>
      <c r="P71" s="163"/>
      <c r="Q71" s="163"/>
      <c r="R71" s="163"/>
      <c r="S71" s="163"/>
      <c r="T71" s="163"/>
      <c r="U71" s="163"/>
      <c r="V71" s="163"/>
      <c r="W71" s="163"/>
      <c r="X71" s="163"/>
      <c r="Y71" s="163"/>
      <c r="Z71" s="163"/>
      <c r="AA71" s="163"/>
      <c r="AB71" s="163"/>
      <c r="AC71" s="163"/>
      <c r="AD71" s="163"/>
      <c r="AE71" s="163"/>
      <c r="AF71" s="163"/>
      <c r="AG71" s="163"/>
      <c r="AH71" s="163"/>
      <c r="AI71" s="163"/>
      <c r="AJ71" s="163"/>
      <c r="AK71" s="163"/>
      <c r="AL71" s="163"/>
      <c r="AM71" s="163"/>
      <c r="AN71" s="163"/>
      <c r="AO71" s="163"/>
      <c r="AP71" s="163"/>
      <c r="AQ71" s="163"/>
      <c r="AR71" s="163"/>
      <c r="AS71" s="163"/>
      <c r="AT71" s="163"/>
      <c r="AU71" s="163"/>
      <c r="AV71" s="163"/>
      <c r="AW71" s="163"/>
      <c r="AX71" s="163"/>
      <c r="AY71" s="163"/>
      <c r="AZ71" s="163"/>
    </row>
    <row r="72" spans="1:52" x14ac:dyDescent="0.2">
      <c r="A72" s="163"/>
      <c r="B72" s="163"/>
      <c r="C72" s="163"/>
      <c r="D72" s="163"/>
      <c r="E72" s="163"/>
      <c r="F72" s="163"/>
      <c r="G72" s="163"/>
      <c r="H72" s="163"/>
      <c r="I72" s="163"/>
      <c r="J72" s="163"/>
      <c r="K72" s="194"/>
      <c r="L72" s="194"/>
      <c r="M72" s="163"/>
      <c r="N72" s="163"/>
      <c r="O72" s="163"/>
      <c r="P72" s="163"/>
      <c r="Q72" s="163"/>
      <c r="R72" s="163"/>
      <c r="S72" s="163"/>
      <c r="T72" s="163"/>
      <c r="U72" s="163"/>
      <c r="V72" s="163"/>
      <c r="W72" s="163"/>
      <c r="X72" s="163"/>
      <c r="Y72" s="163"/>
      <c r="Z72" s="163"/>
      <c r="AA72" s="163"/>
      <c r="AB72" s="163"/>
      <c r="AC72" s="163"/>
      <c r="AD72" s="163"/>
      <c r="AE72" s="163"/>
      <c r="AF72" s="163"/>
      <c r="AG72" s="163"/>
      <c r="AH72" s="163"/>
      <c r="AI72" s="163"/>
      <c r="AJ72" s="163"/>
      <c r="AK72" s="163"/>
      <c r="AL72" s="163"/>
      <c r="AM72" s="163"/>
      <c r="AN72" s="163"/>
      <c r="AO72" s="163"/>
      <c r="AP72" s="163"/>
      <c r="AQ72" s="163"/>
      <c r="AR72" s="163"/>
      <c r="AS72" s="163"/>
      <c r="AT72" s="163"/>
      <c r="AU72" s="163"/>
      <c r="AV72" s="163"/>
      <c r="AW72" s="163"/>
      <c r="AX72" s="163"/>
      <c r="AY72" s="163"/>
      <c r="AZ72" s="163"/>
    </row>
    <row r="73" spans="1:52" x14ac:dyDescent="0.2">
      <c r="A73" s="163"/>
      <c r="B73" s="163"/>
      <c r="C73" s="163"/>
      <c r="D73" s="163"/>
      <c r="E73" s="163"/>
      <c r="F73" s="163"/>
      <c r="G73" s="163"/>
      <c r="H73" s="163"/>
      <c r="I73" s="163"/>
      <c r="J73" s="163"/>
      <c r="K73" s="194"/>
      <c r="L73" s="194"/>
      <c r="M73" s="163"/>
      <c r="N73" s="163"/>
      <c r="O73" s="163"/>
      <c r="P73" s="163"/>
      <c r="Q73" s="163"/>
      <c r="R73" s="163"/>
      <c r="S73" s="163"/>
      <c r="T73" s="163"/>
      <c r="U73" s="163"/>
      <c r="V73" s="163"/>
      <c r="W73" s="163"/>
      <c r="X73" s="163"/>
      <c r="Y73" s="163"/>
      <c r="Z73" s="163"/>
      <c r="AA73" s="163"/>
      <c r="AB73" s="163"/>
      <c r="AC73" s="163"/>
      <c r="AD73" s="163"/>
      <c r="AE73" s="163"/>
      <c r="AF73" s="163"/>
      <c r="AG73" s="163"/>
      <c r="AH73" s="163"/>
      <c r="AI73" s="163"/>
      <c r="AJ73" s="163"/>
      <c r="AK73" s="163"/>
      <c r="AL73" s="163"/>
      <c r="AM73" s="163"/>
      <c r="AN73" s="163"/>
      <c r="AO73" s="163"/>
      <c r="AP73" s="163"/>
      <c r="AQ73" s="163"/>
      <c r="AR73" s="163"/>
      <c r="AS73" s="163"/>
      <c r="AT73" s="163"/>
      <c r="AU73" s="163"/>
      <c r="AV73" s="163"/>
      <c r="AW73" s="163"/>
      <c r="AX73" s="163"/>
      <c r="AY73" s="163"/>
      <c r="AZ73" s="163"/>
    </row>
    <row r="74" spans="1:52" x14ac:dyDescent="0.2">
      <c r="A74" s="163"/>
      <c r="B74" s="163"/>
      <c r="C74" s="163"/>
      <c r="D74" s="163"/>
      <c r="E74" s="163"/>
      <c r="F74" s="163"/>
      <c r="G74" s="163"/>
      <c r="H74" s="163"/>
      <c r="I74" s="163"/>
      <c r="J74" s="163"/>
      <c r="K74" s="194"/>
      <c r="L74" s="194"/>
      <c r="M74" s="163"/>
      <c r="N74" s="163"/>
      <c r="O74" s="163"/>
      <c r="P74" s="163"/>
      <c r="Q74" s="163"/>
      <c r="R74" s="163"/>
      <c r="S74" s="163"/>
      <c r="T74" s="163"/>
      <c r="U74" s="163"/>
      <c r="V74" s="163"/>
      <c r="W74" s="163"/>
      <c r="X74" s="163"/>
      <c r="Y74" s="163"/>
      <c r="Z74" s="163"/>
      <c r="AA74" s="163"/>
      <c r="AB74" s="163"/>
      <c r="AC74" s="163"/>
      <c r="AD74" s="163"/>
      <c r="AE74" s="163"/>
      <c r="AF74" s="163"/>
      <c r="AG74" s="163"/>
      <c r="AH74" s="163"/>
      <c r="AI74" s="163"/>
      <c r="AJ74" s="163"/>
      <c r="AK74" s="163"/>
      <c r="AL74" s="163"/>
      <c r="AM74" s="163"/>
      <c r="AN74" s="163"/>
      <c r="AO74" s="163"/>
      <c r="AP74" s="163"/>
      <c r="AQ74" s="163"/>
      <c r="AR74" s="163"/>
      <c r="AS74" s="163"/>
      <c r="AT74" s="163"/>
      <c r="AU74" s="163"/>
      <c r="AV74" s="163"/>
      <c r="AW74" s="163"/>
      <c r="AX74" s="163"/>
      <c r="AY74" s="163"/>
      <c r="AZ74" s="163"/>
    </row>
    <row r="75" spans="1:52" x14ac:dyDescent="0.2">
      <c r="A75" s="163"/>
      <c r="B75" s="163"/>
      <c r="C75" s="163"/>
      <c r="D75" s="163"/>
      <c r="E75" s="163"/>
      <c r="F75" s="163"/>
      <c r="G75" s="163"/>
      <c r="H75" s="163"/>
      <c r="I75" s="163"/>
      <c r="J75" s="163"/>
      <c r="K75" s="194"/>
      <c r="L75" s="194"/>
      <c r="M75" s="163"/>
      <c r="N75" s="163"/>
      <c r="O75" s="163"/>
      <c r="P75" s="163"/>
      <c r="Q75" s="163"/>
      <c r="R75" s="163"/>
      <c r="S75" s="163"/>
      <c r="T75" s="163"/>
      <c r="U75" s="163"/>
      <c r="V75" s="163"/>
      <c r="W75" s="163"/>
      <c r="X75" s="163"/>
      <c r="Y75" s="163"/>
      <c r="Z75" s="163"/>
      <c r="AA75" s="163"/>
      <c r="AB75" s="163"/>
      <c r="AC75" s="163"/>
      <c r="AD75" s="163"/>
      <c r="AE75" s="163"/>
      <c r="AF75" s="163"/>
      <c r="AG75" s="163"/>
      <c r="AH75" s="163"/>
      <c r="AI75" s="163"/>
      <c r="AJ75" s="163"/>
      <c r="AK75" s="163"/>
      <c r="AL75" s="163"/>
      <c r="AM75" s="163"/>
      <c r="AN75" s="163"/>
      <c r="AO75" s="163"/>
      <c r="AP75" s="163"/>
      <c r="AQ75" s="163"/>
      <c r="AR75" s="163"/>
      <c r="AS75" s="163"/>
      <c r="AT75" s="163"/>
      <c r="AU75" s="163"/>
      <c r="AV75" s="163"/>
      <c r="AW75" s="163"/>
      <c r="AX75" s="163"/>
      <c r="AY75" s="163"/>
      <c r="AZ75" s="163"/>
    </row>
    <row r="76" spans="1:52" x14ac:dyDescent="0.2">
      <c r="A76" s="163"/>
      <c r="B76" s="163"/>
      <c r="C76" s="163"/>
      <c r="D76" s="163"/>
      <c r="E76" s="163"/>
      <c r="F76" s="163"/>
      <c r="G76" s="163"/>
      <c r="H76" s="163"/>
      <c r="I76" s="163"/>
      <c r="J76" s="163"/>
      <c r="K76" s="194"/>
      <c r="L76" s="194"/>
      <c r="M76" s="163"/>
      <c r="N76" s="163"/>
      <c r="O76" s="163"/>
      <c r="P76" s="163"/>
      <c r="Q76" s="163"/>
      <c r="R76" s="163"/>
      <c r="S76" s="163"/>
      <c r="T76" s="163"/>
      <c r="U76" s="163"/>
      <c r="V76" s="163"/>
      <c r="W76" s="163"/>
      <c r="X76" s="163"/>
      <c r="Y76" s="163"/>
      <c r="Z76" s="163"/>
      <c r="AA76" s="163"/>
      <c r="AB76" s="163"/>
      <c r="AC76" s="163"/>
      <c r="AD76" s="163"/>
      <c r="AE76" s="163"/>
      <c r="AF76" s="163"/>
      <c r="AG76" s="163"/>
      <c r="AH76" s="163"/>
      <c r="AI76" s="163"/>
      <c r="AJ76" s="163"/>
      <c r="AK76" s="163"/>
      <c r="AL76" s="163"/>
      <c r="AM76" s="163"/>
      <c r="AN76" s="163"/>
      <c r="AO76" s="163"/>
      <c r="AP76" s="163"/>
      <c r="AQ76" s="163"/>
      <c r="AR76" s="163"/>
      <c r="AS76" s="163"/>
      <c r="AT76" s="163"/>
      <c r="AU76" s="163"/>
      <c r="AV76" s="163"/>
      <c r="AW76" s="163"/>
      <c r="AX76" s="163"/>
      <c r="AY76" s="163"/>
      <c r="AZ76" s="163"/>
    </row>
    <row r="77" spans="1:52" x14ac:dyDescent="0.2">
      <c r="A77" s="163"/>
      <c r="B77" s="163"/>
      <c r="C77" s="163"/>
      <c r="D77" s="163"/>
      <c r="E77" s="163"/>
      <c r="F77" s="163"/>
      <c r="G77" s="163"/>
      <c r="H77" s="163"/>
      <c r="I77" s="163"/>
      <c r="J77" s="163"/>
      <c r="K77" s="194"/>
      <c r="L77" s="194"/>
      <c r="M77" s="163"/>
      <c r="N77" s="163"/>
      <c r="O77" s="163"/>
      <c r="P77" s="163"/>
      <c r="Q77" s="163"/>
      <c r="R77" s="163"/>
      <c r="S77" s="163"/>
      <c r="T77" s="163"/>
      <c r="U77" s="163"/>
      <c r="V77" s="163"/>
      <c r="W77" s="163"/>
      <c r="X77" s="163"/>
      <c r="Y77" s="163"/>
      <c r="Z77" s="163"/>
      <c r="AA77" s="163"/>
      <c r="AB77" s="163"/>
      <c r="AC77" s="163"/>
      <c r="AD77" s="163"/>
      <c r="AE77" s="163"/>
      <c r="AF77" s="163"/>
      <c r="AG77" s="163"/>
      <c r="AH77" s="163"/>
      <c r="AI77" s="163"/>
      <c r="AJ77" s="163"/>
      <c r="AK77" s="163"/>
      <c r="AL77" s="163"/>
      <c r="AM77" s="163"/>
      <c r="AN77" s="163"/>
      <c r="AO77" s="163"/>
      <c r="AP77" s="163"/>
      <c r="AQ77" s="163"/>
      <c r="AR77" s="163"/>
      <c r="AS77" s="163"/>
      <c r="AT77" s="163"/>
      <c r="AU77" s="163"/>
      <c r="AV77" s="163"/>
      <c r="AW77" s="163"/>
      <c r="AX77" s="163"/>
      <c r="AY77" s="163"/>
      <c r="AZ77" s="163"/>
    </row>
    <row r="78" spans="1:52" x14ac:dyDescent="0.2">
      <c r="A78" s="163"/>
      <c r="B78" s="163"/>
      <c r="C78" s="163"/>
      <c r="D78" s="163"/>
      <c r="E78" s="163"/>
      <c r="F78" s="163"/>
      <c r="G78" s="163"/>
      <c r="H78" s="163"/>
      <c r="I78" s="163"/>
      <c r="J78" s="163"/>
      <c r="K78" s="194"/>
      <c r="L78" s="194"/>
      <c r="M78" s="163"/>
      <c r="N78" s="163"/>
      <c r="O78" s="163"/>
      <c r="P78" s="163"/>
      <c r="Q78" s="163"/>
      <c r="R78" s="163"/>
      <c r="S78" s="163"/>
      <c r="T78" s="163"/>
      <c r="U78" s="163"/>
      <c r="V78" s="163"/>
      <c r="W78" s="163"/>
      <c r="X78" s="163"/>
      <c r="Y78" s="163"/>
      <c r="Z78" s="163"/>
      <c r="AA78" s="163"/>
      <c r="AB78" s="163"/>
      <c r="AC78" s="163"/>
      <c r="AD78" s="163"/>
      <c r="AE78" s="163"/>
      <c r="AF78" s="163"/>
      <c r="AG78" s="163"/>
      <c r="AH78" s="163"/>
      <c r="AI78" s="163"/>
      <c r="AJ78" s="163"/>
      <c r="AK78" s="163"/>
      <c r="AL78" s="163"/>
      <c r="AM78" s="163"/>
      <c r="AN78" s="163"/>
      <c r="AO78" s="163"/>
      <c r="AP78" s="163"/>
      <c r="AQ78" s="163"/>
      <c r="AR78" s="163"/>
      <c r="AS78" s="163"/>
      <c r="AT78" s="163"/>
      <c r="AU78" s="163"/>
      <c r="AV78" s="163"/>
      <c r="AW78" s="163"/>
      <c r="AX78" s="163"/>
      <c r="AY78" s="163"/>
      <c r="AZ78" s="163"/>
    </row>
    <row r="79" spans="1:52" x14ac:dyDescent="0.2">
      <c r="A79" s="163"/>
      <c r="B79" s="163"/>
      <c r="C79" s="163"/>
      <c r="D79" s="163"/>
      <c r="E79" s="163"/>
      <c r="F79" s="163"/>
      <c r="G79" s="163"/>
      <c r="H79" s="163"/>
      <c r="I79" s="163"/>
      <c r="J79" s="163"/>
      <c r="K79" s="194"/>
      <c r="L79" s="194"/>
      <c r="M79" s="163"/>
      <c r="N79" s="163"/>
      <c r="O79" s="163"/>
      <c r="P79" s="163"/>
      <c r="Q79" s="163"/>
      <c r="R79" s="163"/>
      <c r="S79" s="163"/>
      <c r="T79" s="163"/>
      <c r="U79" s="163"/>
      <c r="V79" s="163"/>
      <c r="W79" s="163"/>
      <c r="X79" s="163"/>
      <c r="Y79" s="163"/>
      <c r="Z79" s="163"/>
      <c r="AA79" s="163"/>
      <c r="AB79" s="163"/>
      <c r="AC79" s="163"/>
      <c r="AD79" s="163"/>
      <c r="AE79" s="163"/>
      <c r="AF79" s="163"/>
      <c r="AG79" s="163"/>
      <c r="AH79" s="163"/>
      <c r="AI79" s="163"/>
      <c r="AJ79" s="163"/>
      <c r="AK79" s="163"/>
      <c r="AL79" s="163"/>
      <c r="AM79" s="163"/>
      <c r="AN79" s="163"/>
      <c r="AO79" s="163"/>
      <c r="AP79" s="163"/>
      <c r="AQ79" s="163"/>
      <c r="AR79" s="163"/>
      <c r="AS79" s="163"/>
      <c r="AT79" s="163"/>
      <c r="AU79" s="163"/>
      <c r="AV79" s="163"/>
      <c r="AW79" s="163"/>
      <c r="AX79" s="163"/>
      <c r="AY79" s="163"/>
      <c r="AZ79" s="163"/>
    </row>
    <row r="80" spans="1:52" x14ac:dyDescent="0.2">
      <c r="A80" s="163"/>
      <c r="B80" s="163"/>
      <c r="C80" s="163"/>
      <c r="D80" s="163"/>
      <c r="E80" s="163"/>
      <c r="F80" s="163"/>
      <c r="G80" s="163"/>
      <c r="H80" s="163"/>
      <c r="I80" s="163"/>
      <c r="J80" s="163"/>
      <c r="K80" s="194"/>
      <c r="L80" s="194"/>
      <c r="M80" s="163"/>
      <c r="N80" s="163"/>
      <c r="O80" s="163"/>
      <c r="P80" s="163"/>
      <c r="Q80" s="163"/>
      <c r="R80" s="163"/>
      <c r="S80" s="163"/>
      <c r="T80" s="163"/>
      <c r="U80" s="163"/>
      <c r="V80" s="163"/>
      <c r="W80" s="163"/>
      <c r="X80" s="163"/>
      <c r="Y80" s="163"/>
      <c r="Z80" s="163"/>
      <c r="AA80" s="163"/>
      <c r="AB80" s="163"/>
      <c r="AC80" s="163"/>
      <c r="AD80" s="163"/>
      <c r="AE80" s="163"/>
      <c r="AF80" s="163"/>
      <c r="AG80" s="163"/>
      <c r="AH80" s="163"/>
      <c r="AI80" s="163"/>
      <c r="AJ80" s="163"/>
      <c r="AK80" s="163"/>
      <c r="AL80" s="163"/>
      <c r="AM80" s="163"/>
      <c r="AN80" s="163"/>
      <c r="AO80" s="163"/>
      <c r="AP80" s="163"/>
      <c r="AQ80" s="163"/>
      <c r="AR80" s="163"/>
      <c r="AS80" s="163"/>
      <c r="AT80" s="163"/>
      <c r="AU80" s="163"/>
      <c r="AV80" s="163"/>
      <c r="AW80" s="163"/>
      <c r="AX80" s="163"/>
      <c r="AY80" s="163"/>
      <c r="AZ80" s="163"/>
    </row>
    <row r="81" spans="1:52" x14ac:dyDescent="0.2">
      <c r="A81" s="163"/>
      <c r="B81" s="163"/>
      <c r="C81" s="163"/>
      <c r="D81" s="163"/>
      <c r="E81" s="163"/>
      <c r="F81" s="163"/>
      <c r="G81" s="163"/>
      <c r="H81" s="163"/>
      <c r="I81" s="163"/>
      <c r="J81" s="163"/>
      <c r="K81" s="194"/>
      <c r="L81" s="194"/>
      <c r="M81" s="163"/>
      <c r="N81" s="163"/>
      <c r="O81" s="163"/>
      <c r="P81" s="163"/>
      <c r="Q81" s="163"/>
      <c r="R81" s="163"/>
      <c r="S81" s="163"/>
      <c r="T81" s="163"/>
      <c r="U81" s="163"/>
      <c r="V81" s="163"/>
      <c r="W81" s="163"/>
      <c r="X81" s="163"/>
      <c r="Y81" s="163"/>
      <c r="Z81" s="163"/>
      <c r="AA81" s="163"/>
      <c r="AB81" s="163"/>
      <c r="AC81" s="163"/>
      <c r="AD81" s="163"/>
      <c r="AE81" s="163"/>
      <c r="AF81" s="163"/>
      <c r="AG81" s="163"/>
      <c r="AH81" s="163"/>
      <c r="AI81" s="163"/>
      <c r="AJ81" s="163"/>
      <c r="AK81" s="163"/>
      <c r="AL81" s="163"/>
      <c r="AM81" s="163"/>
      <c r="AN81" s="163"/>
      <c r="AO81" s="163"/>
      <c r="AP81" s="163"/>
      <c r="AQ81" s="163"/>
      <c r="AR81" s="163"/>
      <c r="AS81" s="163"/>
      <c r="AT81" s="163"/>
      <c r="AU81" s="163"/>
      <c r="AV81" s="163"/>
      <c r="AW81" s="163"/>
      <c r="AX81" s="163"/>
      <c r="AY81" s="163"/>
      <c r="AZ81" s="163"/>
    </row>
    <row r="82" spans="1:52" x14ac:dyDescent="0.2">
      <c r="A82" s="163"/>
      <c r="B82" s="163"/>
      <c r="C82" s="163"/>
      <c r="D82" s="163"/>
      <c r="E82" s="163"/>
      <c r="F82" s="163"/>
      <c r="G82" s="163"/>
      <c r="H82" s="163"/>
      <c r="I82" s="163"/>
      <c r="J82" s="163"/>
      <c r="K82" s="194"/>
      <c r="L82" s="194"/>
      <c r="M82" s="163"/>
      <c r="N82" s="163"/>
      <c r="O82" s="163"/>
      <c r="P82" s="163"/>
      <c r="Q82" s="163"/>
      <c r="R82" s="163"/>
      <c r="S82" s="163"/>
      <c r="T82" s="163"/>
      <c r="U82" s="163"/>
      <c r="V82" s="163"/>
      <c r="W82" s="163"/>
      <c r="X82" s="163"/>
      <c r="Y82" s="163"/>
      <c r="Z82" s="163"/>
      <c r="AA82" s="163"/>
      <c r="AB82" s="163"/>
      <c r="AC82" s="163"/>
      <c r="AD82" s="163"/>
      <c r="AE82" s="163"/>
      <c r="AF82" s="163"/>
      <c r="AG82" s="163"/>
      <c r="AH82" s="163"/>
      <c r="AI82" s="163"/>
      <c r="AJ82" s="163"/>
      <c r="AK82" s="163"/>
      <c r="AL82" s="163"/>
      <c r="AM82" s="163"/>
      <c r="AN82" s="163"/>
      <c r="AO82" s="163"/>
      <c r="AP82" s="163"/>
      <c r="AQ82" s="163"/>
      <c r="AR82" s="163"/>
      <c r="AS82" s="163"/>
      <c r="AT82" s="163"/>
      <c r="AU82" s="163"/>
      <c r="AV82" s="163"/>
      <c r="AW82" s="163"/>
      <c r="AX82" s="163"/>
      <c r="AY82" s="163"/>
      <c r="AZ82" s="163"/>
    </row>
    <row r="83" spans="1:52" x14ac:dyDescent="0.2">
      <c r="A83" s="163"/>
      <c r="B83" s="163"/>
      <c r="C83" s="163"/>
      <c r="D83" s="163"/>
      <c r="E83" s="163"/>
      <c r="F83" s="163"/>
      <c r="G83" s="163"/>
      <c r="H83" s="163"/>
      <c r="I83" s="163"/>
      <c r="J83" s="163"/>
      <c r="K83" s="194"/>
      <c r="L83" s="194"/>
      <c r="M83" s="163"/>
      <c r="N83" s="163"/>
      <c r="O83" s="163"/>
      <c r="P83" s="163"/>
      <c r="Q83" s="163"/>
      <c r="R83" s="163"/>
      <c r="S83" s="163"/>
      <c r="T83" s="163"/>
      <c r="U83" s="163"/>
      <c r="V83" s="163"/>
      <c r="W83" s="163"/>
      <c r="X83" s="163"/>
      <c r="Y83" s="163"/>
      <c r="Z83" s="163"/>
      <c r="AA83" s="163"/>
      <c r="AB83" s="163"/>
      <c r="AC83" s="163"/>
      <c r="AD83" s="163"/>
      <c r="AE83" s="163"/>
      <c r="AF83" s="163"/>
      <c r="AG83" s="163"/>
      <c r="AH83" s="163"/>
      <c r="AI83" s="163"/>
      <c r="AJ83" s="163"/>
      <c r="AK83" s="163"/>
      <c r="AL83" s="163"/>
      <c r="AM83" s="163"/>
      <c r="AN83" s="163"/>
      <c r="AO83" s="163"/>
      <c r="AP83" s="163"/>
      <c r="AQ83" s="163"/>
      <c r="AR83" s="163"/>
      <c r="AS83" s="163"/>
      <c r="AT83" s="163"/>
      <c r="AU83" s="163"/>
      <c r="AV83" s="163"/>
      <c r="AW83" s="163"/>
      <c r="AX83" s="163"/>
      <c r="AY83" s="163"/>
      <c r="AZ83" s="163"/>
    </row>
    <row r="84" spans="1:52" x14ac:dyDescent="0.2">
      <c r="A84" s="163"/>
      <c r="B84" s="163"/>
      <c r="C84" s="163"/>
      <c r="D84" s="163"/>
      <c r="E84" s="163"/>
      <c r="F84" s="163"/>
      <c r="G84" s="163"/>
      <c r="H84" s="163"/>
      <c r="I84" s="163"/>
      <c r="J84" s="163"/>
      <c r="K84" s="194"/>
      <c r="L84" s="194"/>
      <c r="M84" s="163"/>
      <c r="N84" s="163"/>
      <c r="O84" s="163"/>
      <c r="P84" s="163"/>
      <c r="Q84" s="163"/>
      <c r="R84" s="163"/>
      <c r="S84" s="163"/>
      <c r="T84" s="163"/>
      <c r="U84" s="163"/>
      <c r="V84" s="163"/>
      <c r="W84" s="163"/>
      <c r="X84" s="163"/>
      <c r="Y84" s="163"/>
      <c r="Z84" s="163"/>
      <c r="AA84" s="163"/>
      <c r="AB84" s="163"/>
      <c r="AC84" s="163"/>
      <c r="AD84" s="163"/>
      <c r="AE84" s="163"/>
      <c r="AF84" s="163"/>
      <c r="AG84" s="163"/>
      <c r="AH84" s="163"/>
      <c r="AI84" s="163"/>
      <c r="AJ84" s="163"/>
      <c r="AK84" s="163"/>
      <c r="AL84" s="163"/>
      <c r="AM84" s="163"/>
      <c r="AN84" s="163"/>
      <c r="AO84" s="163"/>
      <c r="AP84" s="163"/>
      <c r="AQ84" s="163"/>
      <c r="AR84" s="163"/>
      <c r="AS84" s="163"/>
      <c r="AT84" s="163"/>
      <c r="AU84" s="163"/>
      <c r="AV84" s="163"/>
      <c r="AW84" s="163"/>
      <c r="AX84" s="163"/>
      <c r="AY84" s="163"/>
      <c r="AZ84" s="163"/>
    </row>
    <row r="85" spans="1:52" x14ac:dyDescent="0.2">
      <c r="A85" s="163"/>
      <c r="B85" s="163"/>
      <c r="C85" s="163"/>
      <c r="D85" s="163"/>
      <c r="E85" s="163"/>
      <c r="F85" s="163"/>
      <c r="G85" s="163"/>
      <c r="H85" s="163"/>
      <c r="I85" s="163"/>
      <c r="J85" s="163"/>
      <c r="K85" s="194"/>
      <c r="L85" s="194"/>
      <c r="M85" s="163"/>
      <c r="N85" s="163"/>
      <c r="O85" s="163"/>
      <c r="P85" s="163"/>
      <c r="Q85" s="163"/>
      <c r="R85" s="163"/>
      <c r="S85" s="163"/>
      <c r="T85" s="163"/>
      <c r="U85" s="163"/>
      <c r="V85" s="163"/>
      <c r="W85" s="163"/>
      <c r="X85" s="163"/>
      <c r="Y85" s="163"/>
      <c r="Z85" s="163"/>
      <c r="AA85" s="163"/>
      <c r="AB85" s="163"/>
      <c r="AC85" s="163"/>
      <c r="AD85" s="163"/>
      <c r="AE85" s="163"/>
      <c r="AF85" s="163"/>
      <c r="AG85" s="163"/>
      <c r="AH85" s="163"/>
      <c r="AI85" s="163"/>
      <c r="AJ85" s="163"/>
      <c r="AK85" s="163"/>
      <c r="AL85" s="163"/>
      <c r="AM85" s="163"/>
      <c r="AN85" s="163"/>
      <c r="AO85" s="163"/>
      <c r="AP85" s="163"/>
      <c r="AQ85" s="163"/>
      <c r="AR85" s="163"/>
      <c r="AS85" s="163"/>
      <c r="AT85" s="163"/>
      <c r="AU85" s="163"/>
      <c r="AV85" s="163"/>
      <c r="AW85" s="163"/>
      <c r="AX85" s="163"/>
      <c r="AY85" s="163"/>
      <c r="AZ85" s="163"/>
    </row>
    <row r="86" spans="1:52" x14ac:dyDescent="0.2">
      <c r="A86" s="163"/>
      <c r="B86" s="163"/>
      <c r="C86" s="163"/>
      <c r="D86" s="163"/>
      <c r="E86" s="163"/>
      <c r="F86" s="163"/>
      <c r="G86" s="163"/>
      <c r="H86" s="163"/>
      <c r="I86" s="163"/>
      <c r="J86" s="163"/>
      <c r="K86" s="194"/>
      <c r="L86" s="194"/>
      <c r="M86" s="163"/>
      <c r="N86" s="163"/>
      <c r="O86" s="163"/>
      <c r="P86" s="163"/>
      <c r="Q86" s="163"/>
      <c r="R86" s="163"/>
      <c r="S86" s="163"/>
      <c r="T86" s="163"/>
      <c r="U86" s="163"/>
      <c r="V86" s="163"/>
      <c r="W86" s="163"/>
      <c r="X86" s="163"/>
      <c r="Y86" s="163"/>
      <c r="Z86" s="163"/>
      <c r="AA86" s="163"/>
      <c r="AB86" s="163"/>
      <c r="AC86" s="163"/>
      <c r="AD86" s="163"/>
      <c r="AE86" s="163"/>
      <c r="AF86" s="163"/>
      <c r="AG86" s="163"/>
      <c r="AH86" s="163"/>
      <c r="AI86" s="163"/>
      <c r="AJ86" s="163"/>
      <c r="AK86" s="163"/>
      <c r="AL86" s="163"/>
      <c r="AM86" s="163"/>
      <c r="AN86" s="163"/>
      <c r="AO86" s="163"/>
      <c r="AP86" s="163"/>
      <c r="AQ86" s="163"/>
      <c r="AR86" s="163"/>
      <c r="AS86" s="163"/>
      <c r="AT86" s="163"/>
      <c r="AU86" s="163"/>
      <c r="AV86" s="163"/>
      <c r="AW86" s="163"/>
      <c r="AX86" s="163"/>
      <c r="AY86" s="163"/>
      <c r="AZ86" s="163"/>
    </row>
    <row r="87" spans="1:52" x14ac:dyDescent="0.2">
      <c r="A87" s="163"/>
      <c r="B87" s="163"/>
      <c r="C87" s="163"/>
      <c r="D87" s="163"/>
      <c r="E87" s="163"/>
      <c r="F87" s="163"/>
      <c r="G87" s="163"/>
      <c r="H87" s="163"/>
      <c r="I87" s="163"/>
      <c r="J87" s="163"/>
      <c r="K87" s="194"/>
      <c r="L87" s="194"/>
      <c r="M87" s="163"/>
      <c r="N87" s="163"/>
      <c r="O87" s="163"/>
      <c r="P87" s="163"/>
      <c r="Q87" s="163"/>
      <c r="R87" s="163"/>
      <c r="S87" s="163"/>
      <c r="T87" s="163"/>
      <c r="U87" s="163"/>
      <c r="V87" s="163"/>
      <c r="W87" s="163"/>
      <c r="X87" s="163"/>
      <c r="Y87" s="163"/>
      <c r="Z87" s="163"/>
      <c r="AA87" s="163"/>
      <c r="AB87" s="163"/>
      <c r="AC87" s="163"/>
      <c r="AD87" s="163"/>
      <c r="AE87" s="163"/>
      <c r="AF87" s="163"/>
      <c r="AG87" s="163"/>
      <c r="AH87" s="163"/>
      <c r="AI87" s="163"/>
      <c r="AJ87" s="163"/>
      <c r="AK87" s="163"/>
      <c r="AL87" s="163"/>
      <c r="AM87" s="163"/>
      <c r="AN87" s="163"/>
      <c r="AO87" s="163"/>
      <c r="AP87" s="163"/>
      <c r="AQ87" s="163"/>
      <c r="AR87" s="163"/>
      <c r="AS87" s="163"/>
      <c r="AT87" s="163"/>
      <c r="AU87" s="163"/>
      <c r="AV87" s="163"/>
      <c r="AW87" s="163"/>
      <c r="AX87" s="163"/>
      <c r="AY87" s="163"/>
      <c r="AZ87" s="163"/>
    </row>
    <row r="88" spans="1:52" x14ac:dyDescent="0.2">
      <c r="A88" s="163"/>
      <c r="B88" s="163"/>
      <c r="C88" s="163"/>
      <c r="D88" s="163"/>
      <c r="E88" s="163"/>
      <c r="F88" s="163"/>
      <c r="G88" s="163"/>
      <c r="H88" s="163"/>
      <c r="I88" s="163"/>
      <c r="J88" s="163"/>
      <c r="K88" s="194"/>
      <c r="L88" s="194"/>
      <c r="M88" s="163"/>
      <c r="N88" s="163"/>
      <c r="O88" s="163"/>
      <c r="P88" s="163"/>
      <c r="Q88" s="163"/>
      <c r="R88" s="163"/>
      <c r="S88" s="163"/>
      <c r="T88" s="163"/>
      <c r="U88" s="163"/>
      <c r="V88" s="163"/>
      <c r="W88" s="163"/>
      <c r="X88" s="163"/>
      <c r="Y88" s="163"/>
      <c r="Z88" s="163"/>
      <c r="AA88" s="163"/>
      <c r="AB88" s="163"/>
      <c r="AC88" s="163"/>
      <c r="AD88" s="163"/>
      <c r="AE88" s="163"/>
      <c r="AF88" s="163"/>
      <c r="AG88" s="163"/>
      <c r="AH88" s="163"/>
      <c r="AI88" s="163"/>
      <c r="AJ88" s="163"/>
      <c r="AK88" s="163"/>
      <c r="AL88" s="163"/>
      <c r="AM88" s="163"/>
      <c r="AN88" s="163"/>
      <c r="AO88" s="163"/>
      <c r="AP88" s="163"/>
      <c r="AQ88" s="163"/>
      <c r="AR88" s="163"/>
      <c r="AS88" s="163"/>
      <c r="AT88" s="163"/>
      <c r="AU88" s="163"/>
      <c r="AV88" s="163"/>
      <c r="AW88" s="163"/>
      <c r="AX88" s="163"/>
      <c r="AY88" s="163"/>
      <c r="AZ88" s="163"/>
    </row>
    <row r="89" spans="1:52" x14ac:dyDescent="0.2">
      <c r="A89" s="163"/>
      <c r="B89" s="163"/>
      <c r="C89" s="163"/>
      <c r="D89" s="163"/>
      <c r="E89" s="163"/>
      <c r="F89" s="163"/>
      <c r="G89" s="163"/>
      <c r="H89" s="163"/>
      <c r="I89" s="163"/>
      <c r="J89" s="163"/>
      <c r="K89" s="194"/>
      <c r="L89" s="194"/>
      <c r="M89" s="163"/>
      <c r="N89" s="163"/>
      <c r="O89" s="163"/>
      <c r="P89" s="163"/>
      <c r="Q89" s="163"/>
      <c r="R89" s="163"/>
      <c r="S89" s="163"/>
      <c r="T89" s="163"/>
      <c r="U89" s="163"/>
      <c r="V89" s="163"/>
      <c r="W89" s="163"/>
      <c r="X89" s="163"/>
      <c r="Y89" s="163"/>
      <c r="Z89" s="163"/>
      <c r="AA89" s="163"/>
      <c r="AB89" s="163"/>
      <c r="AC89" s="163"/>
      <c r="AD89" s="163"/>
      <c r="AE89" s="163"/>
      <c r="AF89" s="163"/>
      <c r="AG89" s="163"/>
      <c r="AH89" s="163"/>
      <c r="AI89" s="163"/>
      <c r="AJ89" s="163"/>
      <c r="AK89" s="163"/>
      <c r="AL89" s="163"/>
      <c r="AM89" s="163"/>
      <c r="AN89" s="163"/>
      <c r="AO89" s="163"/>
      <c r="AP89" s="163"/>
      <c r="AQ89" s="163"/>
      <c r="AR89" s="163"/>
      <c r="AS89" s="163"/>
      <c r="AT89" s="163"/>
      <c r="AU89" s="163"/>
      <c r="AV89" s="163"/>
      <c r="AW89" s="163"/>
      <c r="AX89" s="163"/>
      <c r="AY89" s="163"/>
      <c r="AZ89" s="163"/>
    </row>
    <row r="90" spans="1:52" x14ac:dyDescent="0.2">
      <c r="A90" s="163"/>
      <c r="B90" s="163"/>
      <c r="C90" s="163"/>
      <c r="D90" s="163"/>
      <c r="E90" s="163"/>
      <c r="F90" s="163"/>
      <c r="G90" s="163"/>
      <c r="H90" s="163"/>
      <c r="I90" s="163"/>
      <c r="J90" s="163"/>
      <c r="K90" s="194"/>
      <c r="L90" s="194"/>
      <c r="M90" s="163"/>
      <c r="N90" s="163"/>
      <c r="O90" s="163"/>
      <c r="P90" s="163"/>
      <c r="Q90" s="163"/>
      <c r="R90" s="163"/>
      <c r="S90" s="163"/>
      <c r="T90" s="163"/>
      <c r="U90" s="163"/>
      <c r="V90" s="163"/>
      <c r="W90" s="163"/>
      <c r="X90" s="163"/>
      <c r="Y90" s="163"/>
      <c r="Z90" s="163"/>
      <c r="AA90" s="163"/>
      <c r="AB90" s="163"/>
      <c r="AC90" s="163"/>
      <c r="AD90" s="163"/>
      <c r="AE90" s="163"/>
      <c r="AF90" s="163"/>
      <c r="AG90" s="163"/>
      <c r="AH90" s="163"/>
      <c r="AI90" s="163"/>
      <c r="AJ90" s="163"/>
      <c r="AK90" s="163"/>
      <c r="AL90" s="163"/>
      <c r="AM90" s="163"/>
      <c r="AN90" s="163"/>
      <c r="AO90" s="163"/>
      <c r="AP90" s="163"/>
      <c r="AQ90" s="163"/>
      <c r="AR90" s="163"/>
      <c r="AS90" s="163"/>
      <c r="AT90" s="163"/>
      <c r="AU90" s="163"/>
      <c r="AV90" s="163"/>
      <c r="AW90" s="163"/>
      <c r="AX90" s="163"/>
      <c r="AY90" s="163"/>
      <c r="AZ90" s="163"/>
    </row>
    <row r="91" spans="1:52" x14ac:dyDescent="0.2">
      <c r="A91" s="163"/>
      <c r="B91" s="163"/>
      <c r="C91" s="163"/>
      <c r="D91" s="163"/>
      <c r="E91" s="163"/>
      <c r="F91" s="163"/>
      <c r="G91" s="163"/>
      <c r="H91" s="163"/>
      <c r="I91" s="163"/>
      <c r="J91" s="163"/>
      <c r="K91" s="194"/>
      <c r="L91" s="194"/>
      <c r="M91" s="163"/>
      <c r="N91" s="163"/>
      <c r="O91" s="163"/>
      <c r="P91" s="163"/>
      <c r="Q91" s="163"/>
      <c r="R91" s="163"/>
      <c r="S91" s="163"/>
      <c r="T91" s="163"/>
      <c r="U91" s="163"/>
      <c r="V91" s="163"/>
      <c r="W91" s="163"/>
      <c r="X91" s="163"/>
      <c r="Y91" s="163"/>
      <c r="Z91" s="163"/>
      <c r="AA91" s="163"/>
      <c r="AB91" s="163"/>
      <c r="AC91" s="163"/>
      <c r="AD91" s="163"/>
      <c r="AE91" s="163"/>
      <c r="AF91" s="163"/>
      <c r="AG91" s="163"/>
      <c r="AH91" s="163"/>
      <c r="AI91" s="163"/>
      <c r="AJ91" s="163"/>
      <c r="AK91" s="163"/>
      <c r="AL91" s="163"/>
      <c r="AM91" s="163"/>
      <c r="AN91" s="163"/>
      <c r="AO91" s="163"/>
      <c r="AP91" s="163"/>
      <c r="AQ91" s="163"/>
      <c r="AR91" s="163"/>
      <c r="AS91" s="163"/>
      <c r="AT91" s="163"/>
      <c r="AU91" s="163"/>
      <c r="AV91" s="163"/>
      <c r="AW91" s="163"/>
      <c r="AX91" s="163"/>
      <c r="AY91" s="163"/>
      <c r="AZ91" s="163"/>
    </row>
    <row r="92" spans="1:52" x14ac:dyDescent="0.2">
      <c r="A92" s="163"/>
      <c r="B92" s="163"/>
      <c r="C92" s="163"/>
      <c r="D92" s="163"/>
      <c r="E92" s="163"/>
      <c r="F92" s="163"/>
      <c r="G92" s="163"/>
      <c r="H92" s="163"/>
      <c r="I92" s="163"/>
      <c r="J92" s="163"/>
      <c r="K92" s="194"/>
      <c r="L92" s="194"/>
      <c r="M92" s="163"/>
      <c r="N92" s="163"/>
      <c r="O92" s="163"/>
      <c r="P92" s="163"/>
      <c r="Q92" s="163"/>
      <c r="R92" s="163"/>
      <c r="S92" s="163"/>
      <c r="T92" s="163"/>
      <c r="U92" s="163"/>
      <c r="V92" s="163"/>
      <c r="W92" s="163"/>
      <c r="X92" s="163"/>
      <c r="Y92" s="163"/>
      <c r="Z92" s="163"/>
      <c r="AA92" s="163"/>
      <c r="AB92" s="163"/>
      <c r="AC92" s="163"/>
      <c r="AD92" s="163"/>
      <c r="AE92" s="163"/>
      <c r="AF92" s="163"/>
      <c r="AG92" s="163"/>
      <c r="AH92" s="163"/>
      <c r="AI92" s="163"/>
      <c r="AJ92" s="163"/>
      <c r="AK92" s="163"/>
      <c r="AL92" s="163"/>
      <c r="AM92" s="163"/>
      <c r="AN92" s="163"/>
      <c r="AO92" s="163"/>
      <c r="AP92" s="163"/>
      <c r="AQ92" s="163"/>
      <c r="AR92" s="163"/>
      <c r="AS92" s="163"/>
      <c r="AT92" s="163"/>
      <c r="AU92" s="163"/>
      <c r="AV92" s="163"/>
      <c r="AW92" s="163"/>
      <c r="AX92" s="163"/>
      <c r="AY92" s="163"/>
      <c r="AZ92" s="163"/>
    </row>
    <row r="93" spans="1:52" x14ac:dyDescent="0.2">
      <c r="A93" s="163"/>
      <c r="B93" s="163"/>
      <c r="C93" s="163"/>
      <c r="D93" s="163"/>
      <c r="E93" s="163"/>
      <c r="F93" s="163"/>
      <c r="G93" s="163"/>
      <c r="H93" s="163"/>
      <c r="I93" s="163"/>
      <c r="J93" s="163"/>
      <c r="K93" s="194"/>
      <c r="L93" s="194"/>
      <c r="M93" s="163"/>
      <c r="N93" s="163"/>
      <c r="O93" s="163"/>
      <c r="P93" s="163"/>
      <c r="Q93" s="163"/>
      <c r="R93" s="163"/>
      <c r="S93" s="163"/>
      <c r="T93" s="163"/>
      <c r="U93" s="163"/>
      <c r="V93" s="163"/>
      <c r="W93" s="163"/>
      <c r="X93" s="163"/>
      <c r="Y93" s="163"/>
      <c r="Z93" s="163"/>
      <c r="AA93" s="163"/>
      <c r="AB93" s="163"/>
      <c r="AC93" s="163"/>
      <c r="AD93" s="163"/>
      <c r="AE93" s="163"/>
      <c r="AF93" s="163"/>
      <c r="AG93" s="163"/>
      <c r="AH93" s="163"/>
      <c r="AI93" s="163"/>
      <c r="AJ93" s="163"/>
      <c r="AK93" s="163"/>
      <c r="AL93" s="163"/>
      <c r="AM93" s="163"/>
      <c r="AN93" s="163"/>
      <c r="AO93" s="163"/>
      <c r="AP93" s="163"/>
      <c r="AQ93" s="163"/>
      <c r="AR93" s="163"/>
      <c r="AS93" s="163"/>
      <c r="AT93" s="163"/>
      <c r="AU93" s="163"/>
      <c r="AV93" s="163"/>
      <c r="AW93" s="163"/>
      <c r="AX93" s="163"/>
      <c r="AY93" s="163"/>
      <c r="AZ93" s="163"/>
    </row>
    <row r="94" spans="1:52" x14ac:dyDescent="0.2">
      <c r="A94" s="163"/>
      <c r="B94" s="163"/>
      <c r="C94" s="163"/>
      <c r="D94" s="163"/>
      <c r="E94" s="163"/>
      <c r="F94" s="163"/>
      <c r="G94" s="163"/>
      <c r="H94" s="163"/>
      <c r="I94" s="163"/>
      <c r="J94" s="163"/>
      <c r="K94" s="194"/>
      <c r="L94" s="194"/>
      <c r="M94" s="163"/>
      <c r="N94" s="163"/>
      <c r="O94" s="163"/>
      <c r="P94" s="163"/>
      <c r="Q94" s="163"/>
      <c r="R94" s="163"/>
      <c r="S94" s="163"/>
      <c r="T94" s="163"/>
      <c r="U94" s="163"/>
      <c r="V94" s="163"/>
      <c r="W94" s="163"/>
      <c r="X94" s="163"/>
      <c r="Y94" s="163"/>
      <c r="Z94" s="163"/>
      <c r="AA94" s="163"/>
      <c r="AB94" s="163"/>
      <c r="AC94" s="163"/>
      <c r="AD94" s="163"/>
      <c r="AE94" s="163"/>
      <c r="AF94" s="163"/>
      <c r="AG94" s="163"/>
      <c r="AH94" s="163"/>
      <c r="AI94" s="163"/>
      <c r="AJ94" s="163"/>
      <c r="AK94" s="163"/>
      <c r="AL94" s="163"/>
      <c r="AM94" s="163"/>
      <c r="AN94" s="163"/>
      <c r="AO94" s="163"/>
      <c r="AP94" s="163"/>
      <c r="AQ94" s="163"/>
      <c r="AR94" s="163"/>
      <c r="AS94" s="163"/>
      <c r="AT94" s="163"/>
      <c r="AU94" s="163"/>
      <c r="AV94" s="163"/>
      <c r="AW94" s="163"/>
      <c r="AX94" s="163"/>
      <c r="AY94" s="163"/>
      <c r="AZ94" s="163"/>
    </row>
    <row r="95" spans="1:52" x14ac:dyDescent="0.2">
      <c r="A95" s="163"/>
      <c r="B95" s="163"/>
      <c r="C95" s="163"/>
      <c r="D95" s="163"/>
      <c r="E95" s="163"/>
      <c r="F95" s="163"/>
      <c r="G95" s="163"/>
      <c r="H95" s="163"/>
      <c r="I95" s="163"/>
      <c r="J95" s="163"/>
      <c r="K95" s="194"/>
      <c r="L95" s="194"/>
      <c r="M95" s="163"/>
      <c r="N95" s="163"/>
      <c r="O95" s="163"/>
      <c r="P95" s="163"/>
      <c r="Q95" s="163"/>
      <c r="R95" s="163"/>
      <c r="S95" s="163"/>
      <c r="T95" s="163"/>
      <c r="U95" s="163"/>
      <c r="V95" s="163"/>
      <c r="W95" s="163"/>
      <c r="X95" s="163"/>
      <c r="Y95" s="163"/>
      <c r="Z95" s="163"/>
      <c r="AA95" s="163"/>
      <c r="AB95" s="163"/>
      <c r="AC95" s="163"/>
      <c r="AD95" s="163"/>
      <c r="AE95" s="163"/>
      <c r="AF95" s="163"/>
      <c r="AG95" s="163"/>
      <c r="AH95" s="163"/>
      <c r="AI95" s="163"/>
      <c r="AJ95" s="163"/>
      <c r="AK95" s="163"/>
      <c r="AL95" s="163"/>
      <c r="AM95" s="163"/>
      <c r="AN95" s="163"/>
      <c r="AO95" s="163"/>
      <c r="AP95" s="163"/>
      <c r="AQ95" s="163"/>
      <c r="AR95" s="163"/>
      <c r="AS95" s="163"/>
      <c r="AT95" s="163"/>
      <c r="AU95" s="163"/>
      <c r="AV95" s="163"/>
      <c r="AW95" s="163"/>
      <c r="AX95" s="163"/>
      <c r="AY95" s="163"/>
      <c r="AZ95" s="163"/>
    </row>
    <row r="96" spans="1:52" x14ac:dyDescent="0.2">
      <c r="A96" s="163"/>
      <c r="B96" s="163"/>
      <c r="C96" s="163"/>
      <c r="D96" s="163"/>
      <c r="E96" s="163"/>
      <c r="F96" s="163"/>
      <c r="G96" s="163"/>
      <c r="H96" s="163"/>
      <c r="I96" s="163"/>
      <c r="J96" s="163"/>
      <c r="K96" s="194"/>
      <c r="L96" s="194"/>
      <c r="M96" s="163"/>
      <c r="N96" s="163"/>
      <c r="O96" s="163"/>
      <c r="P96" s="163"/>
      <c r="Q96" s="163"/>
      <c r="R96" s="163"/>
      <c r="S96" s="163"/>
      <c r="T96" s="163"/>
      <c r="U96" s="163"/>
      <c r="V96" s="163"/>
      <c r="W96" s="163"/>
      <c r="X96" s="163"/>
      <c r="Y96" s="163"/>
      <c r="Z96" s="163"/>
      <c r="AA96" s="163"/>
      <c r="AB96" s="163"/>
      <c r="AC96" s="163"/>
      <c r="AD96" s="163"/>
      <c r="AE96" s="163"/>
      <c r="AF96" s="163"/>
      <c r="AG96" s="163"/>
      <c r="AH96" s="163"/>
      <c r="AI96" s="163"/>
      <c r="AJ96" s="163"/>
      <c r="AK96" s="163"/>
      <c r="AL96" s="163"/>
      <c r="AM96" s="163"/>
      <c r="AN96" s="163"/>
      <c r="AO96" s="163"/>
      <c r="AP96" s="163"/>
      <c r="AQ96" s="163"/>
      <c r="AR96" s="163"/>
      <c r="AS96" s="163"/>
      <c r="AT96" s="163"/>
      <c r="AU96" s="163"/>
      <c r="AV96" s="163"/>
      <c r="AW96" s="163"/>
      <c r="AX96" s="163"/>
      <c r="AY96" s="163"/>
      <c r="AZ96" s="163"/>
    </row>
    <row r="97" spans="1:52" x14ac:dyDescent="0.2">
      <c r="A97" s="163"/>
      <c r="B97" s="163"/>
      <c r="C97" s="163"/>
      <c r="D97" s="163"/>
      <c r="E97" s="163"/>
      <c r="F97" s="163"/>
      <c r="G97" s="163"/>
      <c r="H97" s="163"/>
      <c r="I97" s="163"/>
      <c r="J97" s="163"/>
      <c r="K97" s="194"/>
      <c r="L97" s="194"/>
      <c r="M97" s="163"/>
      <c r="N97" s="163"/>
      <c r="O97" s="163"/>
      <c r="P97" s="163"/>
      <c r="Q97" s="163"/>
      <c r="R97" s="163"/>
      <c r="S97" s="163"/>
      <c r="T97" s="163"/>
      <c r="U97" s="163"/>
      <c r="V97" s="163"/>
      <c r="W97" s="163"/>
      <c r="X97" s="163"/>
      <c r="Y97" s="163"/>
      <c r="Z97" s="163"/>
      <c r="AA97" s="163"/>
      <c r="AB97" s="163"/>
      <c r="AC97" s="163"/>
      <c r="AD97" s="163"/>
      <c r="AE97" s="163"/>
      <c r="AF97" s="163"/>
      <c r="AG97" s="163"/>
      <c r="AH97" s="163"/>
      <c r="AI97" s="163"/>
      <c r="AJ97" s="163"/>
      <c r="AK97" s="163"/>
      <c r="AL97" s="163"/>
      <c r="AM97" s="163"/>
      <c r="AN97" s="163"/>
      <c r="AO97" s="163"/>
      <c r="AP97" s="163"/>
      <c r="AQ97" s="163"/>
      <c r="AR97" s="163"/>
      <c r="AS97" s="163"/>
      <c r="AT97" s="163"/>
      <c r="AU97" s="163"/>
      <c r="AV97" s="163"/>
      <c r="AW97" s="163"/>
      <c r="AX97" s="163"/>
      <c r="AY97" s="163"/>
      <c r="AZ97" s="163"/>
    </row>
    <row r="98" spans="1:52" x14ac:dyDescent="0.2">
      <c r="A98" s="163"/>
      <c r="B98" s="163"/>
      <c r="C98" s="163"/>
      <c r="D98" s="163"/>
      <c r="E98" s="163"/>
      <c r="F98" s="163"/>
      <c r="G98" s="163"/>
      <c r="H98" s="163"/>
      <c r="I98" s="163"/>
      <c r="J98" s="163"/>
      <c r="K98" s="194"/>
      <c r="L98" s="194"/>
      <c r="M98" s="163"/>
      <c r="N98" s="163"/>
      <c r="O98" s="163"/>
      <c r="P98" s="163"/>
      <c r="Q98" s="163"/>
      <c r="R98" s="163"/>
      <c r="S98" s="163"/>
      <c r="T98" s="163"/>
      <c r="U98" s="163"/>
      <c r="V98" s="163"/>
      <c r="W98" s="163"/>
      <c r="X98" s="163"/>
      <c r="Y98" s="163"/>
      <c r="Z98" s="163"/>
      <c r="AA98" s="163"/>
      <c r="AB98" s="163"/>
      <c r="AC98" s="163"/>
      <c r="AD98" s="163"/>
      <c r="AE98" s="163"/>
      <c r="AF98" s="163"/>
      <c r="AG98" s="163"/>
      <c r="AH98" s="163"/>
      <c r="AI98" s="163"/>
      <c r="AJ98" s="163"/>
      <c r="AK98" s="163"/>
      <c r="AL98" s="163"/>
      <c r="AM98" s="163"/>
      <c r="AN98" s="163"/>
      <c r="AO98" s="163"/>
      <c r="AP98" s="163"/>
      <c r="AQ98" s="163"/>
      <c r="AR98" s="163"/>
      <c r="AS98" s="163"/>
      <c r="AT98" s="163"/>
      <c r="AU98" s="163"/>
      <c r="AV98" s="163"/>
      <c r="AW98" s="163"/>
      <c r="AX98" s="163"/>
      <c r="AY98" s="163"/>
      <c r="AZ98" s="163"/>
    </row>
    <row r="99" spans="1:52" x14ac:dyDescent="0.2">
      <c r="A99" s="163"/>
      <c r="B99" s="163"/>
      <c r="C99" s="163"/>
      <c r="D99" s="163"/>
      <c r="E99" s="163"/>
      <c r="F99" s="163"/>
      <c r="G99" s="163"/>
      <c r="H99" s="163"/>
      <c r="I99" s="163"/>
      <c r="J99" s="163"/>
      <c r="K99" s="194"/>
      <c r="L99" s="194"/>
      <c r="M99" s="163"/>
      <c r="N99" s="163"/>
      <c r="O99" s="163"/>
      <c r="P99" s="163"/>
      <c r="Q99" s="163"/>
      <c r="R99" s="163"/>
      <c r="S99" s="163"/>
      <c r="T99" s="163"/>
      <c r="U99" s="163"/>
      <c r="V99" s="163"/>
      <c r="W99" s="163"/>
      <c r="X99" s="163"/>
      <c r="Y99" s="163"/>
      <c r="Z99" s="163"/>
      <c r="AA99" s="163"/>
      <c r="AB99" s="163"/>
      <c r="AC99" s="163"/>
      <c r="AD99" s="163"/>
      <c r="AE99" s="163"/>
      <c r="AF99" s="163"/>
      <c r="AG99" s="163"/>
      <c r="AH99" s="163"/>
      <c r="AI99" s="163"/>
      <c r="AJ99" s="163"/>
      <c r="AK99" s="163"/>
      <c r="AL99" s="163"/>
      <c r="AM99" s="163"/>
      <c r="AN99" s="163"/>
      <c r="AO99" s="163"/>
      <c r="AP99" s="163"/>
      <c r="AQ99" s="163"/>
      <c r="AR99" s="163"/>
      <c r="AS99" s="163"/>
      <c r="AT99" s="163"/>
      <c r="AU99" s="163"/>
      <c r="AV99" s="163"/>
      <c r="AW99" s="163"/>
      <c r="AX99" s="163"/>
      <c r="AY99" s="163"/>
      <c r="AZ99" s="163"/>
    </row>
    <row r="100" spans="1:52" x14ac:dyDescent="0.2">
      <c r="A100" s="163"/>
      <c r="B100" s="163"/>
      <c r="C100" s="163"/>
      <c r="D100" s="163"/>
      <c r="E100" s="163"/>
      <c r="F100" s="163"/>
      <c r="G100" s="163"/>
      <c r="H100" s="163"/>
      <c r="I100" s="163"/>
      <c r="J100" s="163"/>
      <c r="K100" s="194"/>
      <c r="L100" s="194"/>
      <c r="M100" s="163"/>
      <c r="N100" s="163"/>
      <c r="O100" s="163"/>
      <c r="P100" s="163"/>
      <c r="Q100" s="163"/>
      <c r="R100" s="163"/>
      <c r="S100" s="163"/>
      <c r="T100" s="163"/>
      <c r="U100" s="163"/>
      <c r="V100" s="163"/>
      <c r="W100" s="163"/>
      <c r="X100" s="163"/>
      <c r="Y100" s="163"/>
      <c r="Z100" s="163"/>
      <c r="AA100" s="163"/>
      <c r="AB100" s="163"/>
      <c r="AC100" s="163"/>
      <c r="AD100" s="163"/>
      <c r="AE100" s="163"/>
      <c r="AF100" s="163"/>
      <c r="AG100" s="163"/>
      <c r="AH100" s="163"/>
      <c r="AI100" s="163"/>
      <c r="AJ100" s="163"/>
      <c r="AK100" s="163"/>
      <c r="AL100" s="163"/>
      <c r="AM100" s="163"/>
      <c r="AN100" s="163"/>
      <c r="AO100" s="163"/>
      <c r="AP100" s="163"/>
      <c r="AQ100" s="163"/>
      <c r="AR100" s="163"/>
      <c r="AS100" s="163"/>
      <c r="AT100" s="163"/>
      <c r="AU100" s="163"/>
      <c r="AV100" s="163"/>
      <c r="AW100" s="163"/>
      <c r="AX100" s="163"/>
      <c r="AY100" s="163"/>
      <c r="AZ100" s="163"/>
    </row>
    <row r="101" spans="1:52" x14ac:dyDescent="0.2">
      <c r="A101" s="163"/>
      <c r="B101" s="163"/>
      <c r="C101" s="163"/>
      <c r="D101" s="163"/>
      <c r="E101" s="163"/>
      <c r="F101" s="163"/>
      <c r="G101" s="163"/>
      <c r="H101" s="163"/>
      <c r="I101" s="163"/>
      <c r="J101" s="163"/>
      <c r="K101" s="194"/>
      <c r="L101" s="194"/>
      <c r="M101" s="163"/>
      <c r="N101" s="163"/>
      <c r="O101" s="163"/>
      <c r="P101" s="163"/>
      <c r="Q101" s="163"/>
      <c r="R101" s="163"/>
      <c r="S101" s="163"/>
      <c r="T101" s="163"/>
      <c r="U101" s="163"/>
      <c r="V101" s="163"/>
      <c r="W101" s="163"/>
      <c r="X101" s="163"/>
      <c r="Y101" s="163"/>
      <c r="Z101" s="163"/>
      <c r="AA101" s="163"/>
      <c r="AB101" s="163"/>
      <c r="AC101" s="163"/>
      <c r="AD101" s="163"/>
      <c r="AE101" s="163"/>
      <c r="AF101" s="163"/>
      <c r="AG101" s="163"/>
      <c r="AH101" s="163"/>
      <c r="AI101" s="163"/>
      <c r="AJ101" s="163"/>
      <c r="AK101" s="163"/>
      <c r="AL101" s="163"/>
      <c r="AM101" s="163"/>
      <c r="AN101" s="163"/>
      <c r="AO101" s="163"/>
      <c r="AP101" s="163"/>
      <c r="AQ101" s="163"/>
      <c r="AR101" s="163"/>
      <c r="AS101" s="163"/>
      <c r="AT101" s="163"/>
      <c r="AU101" s="163"/>
      <c r="AV101" s="163"/>
      <c r="AW101" s="163"/>
      <c r="AX101" s="163"/>
      <c r="AY101" s="163"/>
      <c r="AZ101" s="163"/>
    </row>
    <row r="102" spans="1:52" x14ac:dyDescent="0.2">
      <c r="A102" s="163"/>
      <c r="B102" s="163"/>
      <c r="C102" s="163"/>
      <c r="D102" s="163"/>
      <c r="E102" s="163"/>
      <c r="F102" s="163"/>
      <c r="G102" s="163"/>
      <c r="H102" s="163"/>
      <c r="I102" s="163"/>
      <c r="J102" s="163"/>
      <c r="K102" s="194"/>
      <c r="L102" s="194"/>
      <c r="M102" s="163"/>
      <c r="N102" s="163"/>
      <c r="O102" s="163"/>
      <c r="P102" s="163"/>
      <c r="Q102" s="163"/>
      <c r="R102" s="163"/>
      <c r="S102" s="163"/>
      <c r="T102" s="163"/>
      <c r="U102" s="163"/>
      <c r="V102" s="163"/>
      <c r="W102" s="163"/>
      <c r="X102" s="163"/>
      <c r="Y102" s="163"/>
      <c r="Z102" s="163"/>
      <c r="AA102" s="163"/>
      <c r="AB102" s="163"/>
      <c r="AC102" s="163"/>
      <c r="AD102" s="163"/>
      <c r="AE102" s="163"/>
      <c r="AF102" s="163"/>
      <c r="AG102" s="163"/>
      <c r="AH102" s="163"/>
      <c r="AI102" s="163"/>
      <c r="AJ102" s="163"/>
      <c r="AK102" s="163"/>
      <c r="AL102" s="163"/>
      <c r="AM102" s="163"/>
      <c r="AN102" s="163"/>
      <c r="AO102" s="163"/>
      <c r="AP102" s="163"/>
      <c r="AQ102" s="163"/>
      <c r="AR102" s="163"/>
      <c r="AS102" s="163"/>
      <c r="AT102" s="163"/>
      <c r="AU102" s="163"/>
      <c r="AV102" s="163"/>
      <c r="AW102" s="163"/>
      <c r="AX102" s="163"/>
      <c r="AY102" s="163"/>
      <c r="AZ102" s="163"/>
    </row>
    <row r="103" spans="1:52" x14ac:dyDescent="0.2">
      <c r="A103" s="163"/>
      <c r="B103" s="163"/>
      <c r="C103" s="163"/>
      <c r="D103" s="163"/>
      <c r="E103" s="163"/>
      <c r="F103" s="163"/>
      <c r="G103" s="163"/>
      <c r="H103" s="163"/>
      <c r="I103" s="163"/>
      <c r="J103" s="163"/>
      <c r="K103" s="194"/>
      <c r="L103" s="194"/>
      <c r="M103" s="163"/>
      <c r="N103" s="163"/>
      <c r="O103" s="163"/>
      <c r="P103" s="163"/>
      <c r="Q103" s="163"/>
      <c r="R103" s="163"/>
      <c r="S103" s="163"/>
      <c r="T103" s="163"/>
      <c r="U103" s="163"/>
      <c r="V103" s="163"/>
      <c r="W103" s="163"/>
      <c r="X103" s="163"/>
      <c r="Y103" s="163"/>
      <c r="Z103" s="163"/>
      <c r="AA103" s="163"/>
      <c r="AB103" s="163"/>
      <c r="AC103" s="163"/>
      <c r="AD103" s="163"/>
      <c r="AE103" s="163"/>
      <c r="AF103" s="163"/>
      <c r="AG103" s="163"/>
      <c r="AH103" s="163"/>
      <c r="AI103" s="163"/>
      <c r="AJ103" s="163"/>
      <c r="AK103" s="163"/>
      <c r="AL103" s="163"/>
      <c r="AM103" s="163"/>
      <c r="AN103" s="163"/>
      <c r="AO103" s="163"/>
      <c r="AP103" s="163"/>
      <c r="AQ103" s="163"/>
      <c r="AR103" s="163"/>
      <c r="AS103" s="163"/>
      <c r="AT103" s="163"/>
      <c r="AU103" s="163"/>
      <c r="AV103" s="163"/>
      <c r="AW103" s="163"/>
      <c r="AX103" s="163"/>
      <c r="AY103" s="163"/>
      <c r="AZ103" s="163"/>
    </row>
    <row r="104" spans="1:52" x14ac:dyDescent="0.2">
      <c r="A104" s="163"/>
      <c r="B104" s="163"/>
      <c r="C104" s="163"/>
      <c r="D104" s="163"/>
      <c r="E104" s="163"/>
      <c r="F104" s="163"/>
      <c r="G104" s="163"/>
      <c r="H104" s="163"/>
      <c r="I104" s="163"/>
      <c r="J104" s="163"/>
      <c r="K104" s="194"/>
      <c r="L104" s="194"/>
      <c r="M104" s="163"/>
      <c r="N104" s="163"/>
      <c r="O104" s="163"/>
      <c r="P104" s="163"/>
      <c r="Q104" s="163"/>
      <c r="R104" s="163"/>
      <c r="S104" s="163"/>
      <c r="T104" s="163"/>
      <c r="U104" s="163"/>
      <c r="V104" s="163"/>
      <c r="W104" s="163"/>
      <c r="X104" s="163"/>
      <c r="Y104" s="163"/>
      <c r="Z104" s="163"/>
      <c r="AA104" s="163"/>
      <c r="AB104" s="163"/>
      <c r="AC104" s="163"/>
      <c r="AD104" s="163"/>
      <c r="AE104" s="163"/>
      <c r="AF104" s="163"/>
      <c r="AG104" s="163"/>
      <c r="AH104" s="163"/>
      <c r="AI104" s="163"/>
      <c r="AJ104" s="163"/>
      <c r="AK104" s="163"/>
      <c r="AL104" s="163"/>
      <c r="AM104" s="163"/>
      <c r="AN104" s="163"/>
      <c r="AO104" s="163"/>
      <c r="AP104" s="163"/>
      <c r="AQ104" s="163"/>
      <c r="AR104" s="163"/>
      <c r="AS104" s="163"/>
      <c r="AT104" s="163"/>
      <c r="AU104" s="163"/>
      <c r="AV104" s="163"/>
      <c r="AW104" s="163"/>
      <c r="AX104" s="163"/>
      <c r="AY104" s="163"/>
      <c r="AZ104" s="163"/>
    </row>
    <row r="105" spans="1:52" x14ac:dyDescent="0.2">
      <c r="A105" s="163"/>
      <c r="B105" s="163"/>
      <c r="C105" s="163"/>
      <c r="D105" s="163"/>
      <c r="E105" s="163"/>
      <c r="F105" s="163"/>
      <c r="G105" s="163"/>
      <c r="H105" s="163"/>
      <c r="I105" s="163"/>
      <c r="J105" s="163"/>
      <c r="K105" s="194"/>
      <c r="L105" s="194"/>
      <c r="M105" s="163"/>
      <c r="N105" s="163"/>
      <c r="O105" s="163"/>
      <c r="P105" s="163"/>
      <c r="Q105" s="163"/>
      <c r="R105" s="163"/>
      <c r="S105" s="163"/>
      <c r="T105" s="163"/>
      <c r="U105" s="163"/>
      <c r="V105" s="163"/>
      <c r="W105" s="163"/>
      <c r="X105" s="163"/>
      <c r="Y105" s="163"/>
      <c r="Z105" s="163"/>
      <c r="AA105" s="163"/>
      <c r="AB105" s="163"/>
      <c r="AC105" s="163"/>
      <c r="AD105" s="163"/>
      <c r="AE105" s="163"/>
      <c r="AF105" s="163"/>
      <c r="AG105" s="163"/>
      <c r="AH105" s="163"/>
      <c r="AI105" s="163"/>
      <c r="AJ105" s="163"/>
      <c r="AK105" s="163"/>
      <c r="AL105" s="163"/>
      <c r="AM105" s="163"/>
      <c r="AN105" s="163"/>
      <c r="AO105" s="163"/>
      <c r="AP105" s="163"/>
      <c r="AQ105" s="163"/>
      <c r="AR105" s="163"/>
      <c r="AS105" s="163"/>
      <c r="AT105" s="163"/>
      <c r="AU105" s="163"/>
      <c r="AV105" s="163"/>
      <c r="AW105" s="163"/>
      <c r="AX105" s="163"/>
      <c r="AY105" s="163"/>
      <c r="AZ105" s="163"/>
    </row>
    <row r="106" spans="1:52" x14ac:dyDescent="0.2">
      <c r="A106" s="163"/>
      <c r="B106" s="163"/>
      <c r="C106" s="163"/>
      <c r="D106" s="163"/>
      <c r="E106" s="163"/>
      <c r="F106" s="163"/>
      <c r="G106" s="163"/>
      <c r="H106" s="163"/>
      <c r="I106" s="163"/>
      <c r="J106" s="163"/>
      <c r="K106" s="194"/>
      <c r="L106" s="194"/>
      <c r="M106" s="163"/>
      <c r="N106" s="163"/>
      <c r="O106" s="163"/>
      <c r="P106" s="163"/>
      <c r="Q106" s="163"/>
      <c r="R106" s="163"/>
      <c r="S106" s="163"/>
      <c r="T106" s="163"/>
      <c r="U106" s="163"/>
      <c r="V106" s="163"/>
      <c r="W106" s="163"/>
      <c r="X106" s="163"/>
      <c r="Y106" s="163"/>
      <c r="Z106" s="163"/>
      <c r="AA106" s="163"/>
      <c r="AB106" s="163"/>
      <c r="AC106" s="163"/>
      <c r="AD106" s="163"/>
      <c r="AE106" s="163"/>
      <c r="AF106" s="163"/>
      <c r="AG106" s="163"/>
      <c r="AH106" s="163"/>
      <c r="AI106" s="163"/>
      <c r="AJ106" s="163"/>
      <c r="AK106" s="163"/>
      <c r="AL106" s="163"/>
      <c r="AM106" s="163"/>
      <c r="AN106" s="163"/>
      <c r="AO106" s="163"/>
      <c r="AP106" s="163"/>
      <c r="AQ106" s="163"/>
      <c r="AR106" s="163"/>
      <c r="AS106" s="163"/>
      <c r="AT106" s="163"/>
      <c r="AU106" s="163"/>
      <c r="AV106" s="163"/>
      <c r="AW106" s="163"/>
      <c r="AX106" s="163"/>
      <c r="AY106" s="163"/>
      <c r="AZ106" s="163"/>
    </row>
    <row r="107" spans="1:52" x14ac:dyDescent="0.2">
      <c r="A107" s="163"/>
      <c r="B107" s="163"/>
      <c r="C107" s="163"/>
      <c r="D107" s="163"/>
      <c r="E107" s="163"/>
      <c r="F107" s="163"/>
      <c r="G107" s="163"/>
      <c r="H107" s="163"/>
      <c r="I107" s="163"/>
      <c r="J107" s="163"/>
      <c r="K107" s="194"/>
      <c r="L107" s="194"/>
      <c r="M107" s="163"/>
      <c r="N107" s="163"/>
      <c r="O107" s="163"/>
      <c r="P107" s="163"/>
      <c r="Q107" s="163"/>
      <c r="R107" s="163"/>
      <c r="S107" s="163"/>
      <c r="T107" s="163"/>
      <c r="U107" s="163"/>
      <c r="V107" s="163"/>
      <c r="W107" s="163"/>
      <c r="X107" s="163"/>
      <c r="Y107" s="163"/>
      <c r="Z107" s="163"/>
      <c r="AA107" s="163"/>
      <c r="AB107" s="163"/>
      <c r="AC107" s="163"/>
      <c r="AD107" s="163"/>
      <c r="AE107" s="163"/>
      <c r="AF107" s="163"/>
      <c r="AG107" s="163"/>
      <c r="AH107" s="163"/>
      <c r="AI107" s="163"/>
      <c r="AJ107" s="163"/>
      <c r="AK107" s="163"/>
      <c r="AL107" s="163"/>
      <c r="AM107" s="163"/>
      <c r="AN107" s="163"/>
      <c r="AO107" s="163"/>
      <c r="AP107" s="163"/>
      <c r="AQ107" s="163"/>
      <c r="AR107" s="163"/>
      <c r="AS107" s="163"/>
      <c r="AT107" s="163"/>
      <c r="AU107" s="163"/>
      <c r="AV107" s="163"/>
      <c r="AW107" s="163"/>
      <c r="AX107" s="163"/>
      <c r="AY107" s="163"/>
      <c r="AZ107" s="163"/>
    </row>
    <row r="108" spans="1:52" x14ac:dyDescent="0.2">
      <c r="A108" s="163"/>
      <c r="B108" s="163"/>
      <c r="C108" s="163"/>
      <c r="D108" s="163"/>
      <c r="E108" s="163"/>
      <c r="F108" s="163"/>
      <c r="G108" s="163"/>
      <c r="H108" s="163"/>
      <c r="I108" s="163"/>
      <c r="J108" s="163"/>
      <c r="K108" s="194"/>
      <c r="L108" s="194"/>
      <c r="M108" s="163"/>
      <c r="N108" s="163"/>
      <c r="O108" s="163"/>
      <c r="P108" s="163"/>
      <c r="Q108" s="163"/>
      <c r="R108" s="163"/>
      <c r="S108" s="163"/>
      <c r="T108" s="163"/>
      <c r="U108" s="163"/>
      <c r="V108" s="163"/>
      <c r="W108" s="163"/>
      <c r="X108" s="163"/>
      <c r="Y108" s="163"/>
      <c r="Z108" s="163"/>
      <c r="AA108" s="163"/>
      <c r="AB108" s="163"/>
      <c r="AC108" s="163"/>
      <c r="AD108" s="163"/>
      <c r="AE108" s="163"/>
      <c r="AF108" s="163"/>
      <c r="AG108" s="163"/>
      <c r="AH108" s="163"/>
      <c r="AI108" s="163"/>
      <c r="AJ108" s="163"/>
      <c r="AK108" s="163"/>
      <c r="AL108" s="163"/>
      <c r="AM108" s="163"/>
      <c r="AN108" s="163"/>
      <c r="AO108" s="163"/>
      <c r="AP108" s="163"/>
      <c r="AQ108" s="163"/>
      <c r="AR108" s="163"/>
      <c r="AS108" s="163"/>
      <c r="AT108" s="163"/>
      <c r="AU108" s="163"/>
      <c r="AV108" s="163"/>
      <c r="AW108" s="163"/>
      <c r="AX108" s="163"/>
      <c r="AY108" s="163"/>
      <c r="AZ108" s="163"/>
    </row>
    <row r="109" spans="1:52" x14ac:dyDescent="0.2">
      <c r="A109" s="163"/>
      <c r="B109" s="163"/>
      <c r="C109" s="163"/>
      <c r="D109" s="163"/>
      <c r="E109" s="163"/>
      <c r="F109" s="163"/>
      <c r="G109" s="163"/>
      <c r="H109" s="163"/>
      <c r="I109" s="163"/>
      <c r="J109" s="163"/>
      <c r="K109" s="194"/>
      <c r="L109" s="194"/>
      <c r="M109" s="163"/>
      <c r="N109" s="163"/>
      <c r="O109" s="163"/>
      <c r="P109" s="163"/>
      <c r="Q109" s="163"/>
      <c r="R109" s="163"/>
      <c r="S109" s="163"/>
      <c r="T109" s="163"/>
      <c r="U109" s="163"/>
      <c r="V109" s="163"/>
      <c r="W109" s="163"/>
      <c r="X109" s="163"/>
      <c r="Y109" s="163"/>
      <c r="Z109" s="163"/>
      <c r="AA109" s="163"/>
      <c r="AB109" s="163"/>
      <c r="AC109" s="163"/>
      <c r="AD109" s="163"/>
      <c r="AE109" s="163"/>
      <c r="AF109" s="163"/>
      <c r="AG109" s="163"/>
      <c r="AH109" s="163"/>
      <c r="AI109" s="163"/>
      <c r="AJ109" s="163"/>
      <c r="AK109" s="163"/>
      <c r="AL109" s="163"/>
      <c r="AM109" s="163"/>
      <c r="AN109" s="163"/>
      <c r="AO109" s="163"/>
      <c r="AP109" s="163"/>
      <c r="AQ109" s="163"/>
      <c r="AR109" s="163"/>
      <c r="AS109" s="163"/>
      <c r="AT109" s="163"/>
      <c r="AU109" s="163"/>
      <c r="AV109" s="163"/>
      <c r="AW109" s="163"/>
      <c r="AX109" s="163"/>
      <c r="AY109" s="163"/>
      <c r="AZ109" s="163"/>
    </row>
    <row r="110" spans="1:52" x14ac:dyDescent="0.2">
      <c r="A110" s="163"/>
      <c r="B110" s="163"/>
      <c r="C110" s="163"/>
      <c r="D110" s="163"/>
      <c r="E110" s="163"/>
      <c r="F110" s="163"/>
      <c r="G110" s="163"/>
      <c r="H110" s="163"/>
      <c r="I110" s="163"/>
      <c r="J110" s="163"/>
      <c r="K110" s="194"/>
      <c r="L110" s="194"/>
      <c r="M110" s="163"/>
      <c r="N110" s="163"/>
      <c r="O110" s="163"/>
      <c r="P110" s="163"/>
      <c r="Q110" s="163"/>
      <c r="R110" s="163"/>
      <c r="S110" s="163"/>
      <c r="T110" s="163"/>
      <c r="U110" s="163"/>
      <c r="V110" s="163"/>
      <c r="W110" s="163"/>
      <c r="X110" s="163"/>
      <c r="Y110" s="163"/>
      <c r="Z110" s="163"/>
      <c r="AA110" s="163"/>
      <c r="AB110" s="163"/>
      <c r="AC110" s="163"/>
      <c r="AD110" s="163"/>
      <c r="AE110" s="163"/>
      <c r="AF110" s="163"/>
      <c r="AG110" s="163"/>
      <c r="AH110" s="163"/>
      <c r="AI110" s="163"/>
      <c r="AJ110" s="163"/>
      <c r="AK110" s="163"/>
      <c r="AL110" s="163"/>
      <c r="AM110" s="163"/>
      <c r="AN110" s="163"/>
      <c r="AO110" s="163"/>
      <c r="AP110" s="163"/>
      <c r="AQ110" s="163"/>
      <c r="AR110" s="163"/>
      <c r="AS110" s="163"/>
      <c r="AT110" s="163"/>
      <c r="AU110" s="163"/>
      <c r="AV110" s="163"/>
      <c r="AW110" s="163"/>
      <c r="AX110" s="163"/>
      <c r="AY110" s="163"/>
      <c r="AZ110" s="163"/>
    </row>
    <row r="111" spans="1:52" x14ac:dyDescent="0.2">
      <c r="A111" s="163"/>
      <c r="B111" s="163"/>
      <c r="C111" s="163"/>
      <c r="D111" s="163"/>
      <c r="E111" s="163"/>
      <c r="F111" s="163"/>
      <c r="G111" s="163"/>
      <c r="H111" s="163"/>
      <c r="I111" s="163"/>
      <c r="J111" s="163"/>
      <c r="K111" s="194"/>
      <c r="L111" s="194"/>
      <c r="M111" s="163"/>
      <c r="N111" s="163"/>
      <c r="O111" s="163"/>
      <c r="P111" s="163"/>
      <c r="Q111" s="163"/>
      <c r="R111" s="163"/>
      <c r="S111" s="163"/>
      <c r="T111" s="163"/>
      <c r="U111" s="163"/>
      <c r="V111" s="163"/>
      <c r="W111" s="163"/>
      <c r="X111" s="163"/>
      <c r="Y111" s="163"/>
      <c r="Z111" s="163"/>
      <c r="AA111" s="163"/>
      <c r="AB111" s="163"/>
      <c r="AC111" s="163"/>
      <c r="AD111" s="163"/>
      <c r="AE111" s="163"/>
      <c r="AF111" s="163"/>
      <c r="AG111" s="163"/>
      <c r="AH111" s="163"/>
      <c r="AI111" s="163"/>
      <c r="AJ111" s="163"/>
      <c r="AK111" s="163"/>
      <c r="AL111" s="163"/>
      <c r="AM111" s="163"/>
      <c r="AN111" s="163"/>
      <c r="AO111" s="163"/>
      <c r="AP111" s="163"/>
      <c r="AQ111" s="163"/>
      <c r="AR111" s="163"/>
      <c r="AS111" s="163"/>
      <c r="AT111" s="163"/>
      <c r="AU111" s="163"/>
      <c r="AV111" s="163"/>
      <c r="AW111" s="163"/>
      <c r="AX111" s="163"/>
      <c r="AY111" s="163"/>
      <c r="AZ111" s="163"/>
    </row>
    <row r="112" spans="1:52" x14ac:dyDescent="0.2">
      <c r="A112" s="163"/>
      <c r="B112" s="163"/>
      <c r="C112" s="163"/>
      <c r="D112" s="163"/>
      <c r="E112" s="163"/>
      <c r="F112" s="163"/>
      <c r="G112" s="163"/>
      <c r="H112" s="163"/>
      <c r="I112" s="163"/>
      <c r="J112" s="163"/>
      <c r="K112" s="194"/>
      <c r="L112" s="194"/>
      <c r="M112" s="163"/>
      <c r="N112" s="163"/>
      <c r="O112" s="163"/>
      <c r="P112" s="163"/>
      <c r="Q112" s="163"/>
      <c r="R112" s="163"/>
      <c r="S112" s="163"/>
      <c r="T112" s="163"/>
      <c r="U112" s="163"/>
      <c r="V112" s="163"/>
      <c r="W112" s="163"/>
      <c r="X112" s="163"/>
      <c r="Y112" s="163"/>
      <c r="Z112" s="163"/>
      <c r="AA112" s="163"/>
      <c r="AB112" s="163"/>
      <c r="AC112" s="163"/>
      <c r="AD112" s="163"/>
      <c r="AE112" s="163"/>
      <c r="AF112" s="163"/>
      <c r="AG112" s="163"/>
      <c r="AH112" s="163"/>
      <c r="AI112" s="163"/>
      <c r="AJ112" s="163"/>
      <c r="AK112" s="163"/>
      <c r="AL112" s="163"/>
      <c r="AM112" s="163"/>
      <c r="AN112" s="163"/>
      <c r="AO112" s="163"/>
      <c r="AP112" s="163"/>
      <c r="AQ112" s="163"/>
      <c r="AR112" s="163"/>
      <c r="AS112" s="163"/>
      <c r="AT112" s="163"/>
      <c r="AU112" s="163"/>
      <c r="AV112" s="163"/>
      <c r="AW112" s="163"/>
      <c r="AX112" s="163"/>
      <c r="AY112" s="163"/>
      <c r="AZ112" s="163"/>
    </row>
    <row r="113" spans="1:52" x14ac:dyDescent="0.2">
      <c r="A113" s="163"/>
      <c r="B113" s="163"/>
      <c r="C113" s="163"/>
      <c r="D113" s="163"/>
      <c r="E113" s="163"/>
      <c r="F113" s="163"/>
      <c r="G113" s="163"/>
      <c r="H113" s="163"/>
      <c r="I113" s="163"/>
      <c r="J113" s="163"/>
      <c r="K113" s="194"/>
      <c r="L113" s="194"/>
      <c r="M113" s="163"/>
      <c r="N113" s="163"/>
      <c r="O113" s="163"/>
      <c r="P113" s="163"/>
      <c r="Q113" s="163"/>
      <c r="R113" s="163"/>
      <c r="S113" s="163"/>
      <c r="T113" s="163"/>
      <c r="U113" s="163"/>
      <c r="V113" s="163"/>
      <c r="W113" s="163"/>
      <c r="X113" s="163"/>
      <c r="Y113" s="163"/>
      <c r="Z113" s="163"/>
      <c r="AA113" s="163"/>
      <c r="AB113" s="163"/>
      <c r="AC113" s="163"/>
      <c r="AD113" s="163"/>
      <c r="AE113" s="163"/>
      <c r="AF113" s="163"/>
      <c r="AG113" s="163"/>
      <c r="AH113" s="163"/>
      <c r="AI113" s="163"/>
      <c r="AJ113" s="163"/>
      <c r="AK113" s="163"/>
      <c r="AL113" s="163"/>
      <c r="AM113" s="163"/>
      <c r="AN113" s="163"/>
      <c r="AO113" s="163"/>
      <c r="AP113" s="163"/>
      <c r="AQ113" s="163"/>
      <c r="AR113" s="163"/>
      <c r="AS113" s="163"/>
      <c r="AT113" s="163"/>
      <c r="AU113" s="163"/>
      <c r="AV113" s="163"/>
      <c r="AW113" s="163"/>
      <c r="AX113" s="163"/>
      <c r="AY113" s="163"/>
      <c r="AZ113" s="163"/>
    </row>
    <row r="114" spans="1:52" x14ac:dyDescent="0.2">
      <c r="A114" s="163"/>
      <c r="B114" s="163"/>
      <c r="C114" s="163"/>
      <c r="D114" s="163"/>
      <c r="E114" s="163"/>
      <c r="F114" s="163"/>
      <c r="G114" s="163"/>
      <c r="H114" s="163"/>
      <c r="I114" s="163"/>
      <c r="J114" s="163"/>
      <c r="K114" s="194"/>
      <c r="L114" s="194"/>
      <c r="M114" s="163"/>
      <c r="N114" s="163"/>
      <c r="O114" s="163"/>
      <c r="P114" s="163"/>
      <c r="Q114" s="163"/>
      <c r="R114" s="163"/>
      <c r="S114" s="163"/>
      <c r="T114" s="163"/>
      <c r="U114" s="163"/>
      <c r="V114" s="163"/>
      <c r="W114" s="163"/>
      <c r="X114" s="163"/>
      <c r="Y114" s="163"/>
      <c r="Z114" s="163"/>
      <c r="AA114" s="163"/>
      <c r="AB114" s="163"/>
      <c r="AC114" s="163"/>
      <c r="AD114" s="163"/>
      <c r="AE114" s="163"/>
      <c r="AF114" s="163"/>
      <c r="AG114" s="163"/>
      <c r="AH114" s="163"/>
      <c r="AI114" s="163"/>
      <c r="AJ114" s="163"/>
      <c r="AK114" s="163"/>
      <c r="AL114" s="163"/>
      <c r="AM114" s="163"/>
      <c r="AN114" s="163"/>
      <c r="AO114" s="163"/>
      <c r="AP114" s="163"/>
      <c r="AQ114" s="163"/>
      <c r="AR114" s="163"/>
      <c r="AS114" s="163"/>
      <c r="AT114" s="163"/>
      <c r="AU114" s="163"/>
      <c r="AV114" s="163"/>
      <c r="AW114" s="163"/>
      <c r="AX114" s="163"/>
      <c r="AY114" s="163"/>
      <c r="AZ114" s="163"/>
    </row>
    <row r="115" spans="1:52" x14ac:dyDescent="0.2">
      <c r="A115" s="163"/>
      <c r="B115" s="163"/>
      <c r="C115" s="163"/>
      <c r="D115" s="163"/>
      <c r="E115" s="163"/>
      <c r="F115" s="163"/>
      <c r="G115" s="163"/>
      <c r="H115" s="163"/>
      <c r="I115" s="163"/>
      <c r="J115" s="163"/>
      <c r="K115" s="194"/>
      <c r="L115" s="194"/>
      <c r="M115" s="163"/>
      <c r="N115" s="163"/>
      <c r="O115" s="163"/>
      <c r="P115" s="163"/>
      <c r="Q115" s="163"/>
      <c r="R115" s="163"/>
      <c r="S115" s="163"/>
      <c r="T115" s="163"/>
      <c r="U115" s="163"/>
      <c r="V115" s="163"/>
      <c r="W115" s="163"/>
      <c r="X115" s="163"/>
      <c r="Y115" s="163"/>
      <c r="Z115" s="163"/>
      <c r="AA115" s="163"/>
      <c r="AB115" s="163"/>
      <c r="AC115" s="163"/>
      <c r="AD115" s="163"/>
      <c r="AE115" s="163"/>
      <c r="AF115" s="163"/>
      <c r="AG115" s="163"/>
      <c r="AH115" s="163"/>
      <c r="AI115" s="163"/>
      <c r="AJ115" s="163"/>
      <c r="AK115" s="163"/>
      <c r="AL115" s="163"/>
      <c r="AM115" s="163"/>
      <c r="AN115" s="163"/>
      <c r="AO115" s="163"/>
      <c r="AP115" s="163"/>
      <c r="AQ115" s="163"/>
      <c r="AR115" s="163"/>
      <c r="AS115" s="163"/>
      <c r="AT115" s="163"/>
      <c r="AU115" s="163"/>
      <c r="AV115" s="163"/>
      <c r="AW115" s="163"/>
      <c r="AX115" s="163"/>
      <c r="AY115" s="163"/>
      <c r="AZ115" s="163"/>
    </row>
    <row r="116" spans="1:52" x14ac:dyDescent="0.2">
      <c r="A116" s="163"/>
      <c r="B116" s="163"/>
      <c r="C116" s="163"/>
      <c r="D116" s="163"/>
      <c r="E116" s="163"/>
      <c r="F116" s="163"/>
      <c r="G116" s="163"/>
      <c r="H116" s="163"/>
      <c r="I116" s="163"/>
      <c r="J116" s="163"/>
      <c r="K116" s="194"/>
      <c r="L116" s="194"/>
      <c r="M116" s="163"/>
      <c r="N116" s="163"/>
      <c r="O116" s="163"/>
      <c r="P116" s="163"/>
      <c r="Q116" s="163"/>
      <c r="R116" s="163"/>
      <c r="S116" s="163"/>
      <c r="T116" s="163"/>
      <c r="U116" s="163"/>
      <c r="V116" s="163"/>
      <c r="W116" s="163"/>
      <c r="X116" s="163"/>
      <c r="Y116" s="163"/>
      <c r="Z116" s="163"/>
      <c r="AA116" s="163"/>
      <c r="AB116" s="163"/>
      <c r="AC116" s="163"/>
      <c r="AD116" s="163"/>
      <c r="AE116" s="163"/>
      <c r="AF116" s="163"/>
      <c r="AG116" s="163"/>
      <c r="AH116" s="163"/>
      <c r="AI116" s="163"/>
      <c r="AJ116" s="163"/>
      <c r="AK116" s="163"/>
      <c r="AL116" s="163"/>
      <c r="AM116" s="163"/>
      <c r="AN116" s="163"/>
      <c r="AO116" s="163"/>
      <c r="AP116" s="163"/>
      <c r="AQ116" s="163"/>
      <c r="AR116" s="163"/>
      <c r="AS116" s="163"/>
      <c r="AT116" s="163"/>
      <c r="AU116" s="163"/>
      <c r="AV116" s="163"/>
      <c r="AW116" s="163"/>
      <c r="AX116" s="163"/>
      <c r="AY116" s="163"/>
      <c r="AZ116" s="163"/>
    </row>
    <row r="117" spans="1:52" x14ac:dyDescent="0.2">
      <c r="A117" s="163"/>
      <c r="B117" s="163"/>
      <c r="C117" s="163"/>
      <c r="D117" s="163"/>
      <c r="E117" s="163"/>
      <c r="F117" s="163"/>
      <c r="G117" s="163"/>
      <c r="H117" s="163"/>
      <c r="I117" s="163"/>
      <c r="J117" s="163"/>
      <c r="K117" s="194"/>
      <c r="L117" s="194"/>
      <c r="M117" s="163"/>
      <c r="N117" s="163"/>
      <c r="O117" s="163"/>
      <c r="P117" s="163"/>
      <c r="Q117" s="163"/>
      <c r="R117" s="163"/>
      <c r="S117" s="163"/>
      <c r="T117" s="163"/>
      <c r="U117" s="163"/>
      <c r="V117" s="163"/>
      <c r="W117" s="163"/>
      <c r="X117" s="163"/>
      <c r="Y117" s="163"/>
      <c r="Z117" s="163"/>
      <c r="AA117" s="163"/>
      <c r="AB117" s="163"/>
      <c r="AC117" s="163"/>
      <c r="AD117" s="163"/>
      <c r="AE117" s="163"/>
      <c r="AF117" s="163"/>
      <c r="AG117" s="163"/>
      <c r="AH117" s="163"/>
      <c r="AI117" s="163"/>
      <c r="AJ117" s="163"/>
      <c r="AK117" s="163"/>
      <c r="AL117" s="163"/>
      <c r="AM117" s="163"/>
      <c r="AN117" s="163"/>
      <c r="AO117" s="163"/>
      <c r="AP117" s="163"/>
      <c r="AQ117" s="163"/>
      <c r="AR117" s="163"/>
      <c r="AS117" s="163"/>
      <c r="AT117" s="163"/>
      <c r="AU117" s="163"/>
      <c r="AV117" s="163"/>
      <c r="AW117" s="163"/>
      <c r="AX117" s="163"/>
      <c r="AY117" s="163"/>
      <c r="AZ117" s="163"/>
    </row>
    <row r="118" spans="1:52" x14ac:dyDescent="0.2">
      <c r="A118" s="163"/>
      <c r="B118" s="163"/>
      <c r="C118" s="163"/>
      <c r="D118" s="163"/>
      <c r="E118" s="163"/>
      <c r="F118" s="163"/>
      <c r="G118" s="163"/>
      <c r="H118" s="163"/>
      <c r="I118" s="163"/>
      <c r="J118" s="163"/>
      <c r="K118" s="194"/>
      <c r="L118" s="194"/>
      <c r="M118" s="163"/>
      <c r="N118" s="163"/>
      <c r="O118" s="163"/>
      <c r="P118" s="163"/>
      <c r="Q118" s="163"/>
      <c r="R118" s="163"/>
      <c r="S118" s="163"/>
      <c r="T118" s="163"/>
      <c r="U118" s="163"/>
      <c r="V118" s="163"/>
      <c r="W118" s="163"/>
      <c r="X118" s="163"/>
      <c r="Y118" s="163"/>
      <c r="Z118" s="163"/>
      <c r="AA118" s="163"/>
      <c r="AB118" s="163"/>
      <c r="AC118" s="163"/>
      <c r="AD118" s="163"/>
      <c r="AE118" s="163"/>
      <c r="AF118" s="163"/>
      <c r="AG118" s="163"/>
      <c r="AH118" s="163"/>
      <c r="AI118" s="163"/>
      <c r="AJ118" s="163"/>
      <c r="AK118" s="163"/>
      <c r="AL118" s="163"/>
      <c r="AM118" s="163"/>
      <c r="AN118" s="163"/>
      <c r="AO118" s="163"/>
      <c r="AP118" s="163"/>
      <c r="AQ118" s="163"/>
      <c r="AR118" s="163"/>
      <c r="AS118" s="163"/>
      <c r="AT118" s="163"/>
      <c r="AU118" s="163"/>
      <c r="AV118" s="163"/>
      <c r="AW118" s="163"/>
      <c r="AX118" s="163"/>
      <c r="AY118" s="163"/>
      <c r="AZ118" s="163"/>
    </row>
    <row r="119" spans="1:52" x14ac:dyDescent="0.2">
      <c r="A119" s="163"/>
      <c r="B119" s="163"/>
      <c r="C119" s="163"/>
      <c r="D119" s="163"/>
      <c r="E119" s="163"/>
      <c r="F119" s="163"/>
      <c r="G119" s="163"/>
      <c r="H119" s="163"/>
      <c r="I119" s="163"/>
      <c r="J119" s="163"/>
      <c r="K119" s="194"/>
      <c r="L119" s="194"/>
      <c r="M119" s="163"/>
      <c r="N119" s="163"/>
      <c r="O119" s="163"/>
      <c r="P119" s="163"/>
      <c r="Q119" s="163"/>
      <c r="R119" s="163"/>
      <c r="S119" s="163"/>
      <c r="T119" s="163"/>
      <c r="U119" s="163"/>
      <c r="V119" s="163"/>
      <c r="W119" s="163"/>
      <c r="X119" s="163"/>
      <c r="Y119" s="163"/>
      <c r="Z119" s="163"/>
      <c r="AA119" s="163"/>
      <c r="AB119" s="163"/>
      <c r="AC119" s="163"/>
      <c r="AD119" s="163"/>
      <c r="AE119" s="163"/>
      <c r="AF119" s="163"/>
      <c r="AG119" s="163"/>
      <c r="AH119" s="163"/>
      <c r="AI119" s="163"/>
      <c r="AJ119" s="163"/>
      <c r="AK119" s="163"/>
      <c r="AL119" s="163"/>
      <c r="AM119" s="163"/>
      <c r="AN119" s="163"/>
      <c r="AO119" s="163"/>
      <c r="AP119" s="163"/>
      <c r="AQ119" s="163"/>
      <c r="AR119" s="163"/>
      <c r="AS119" s="163"/>
      <c r="AT119" s="163"/>
      <c r="AU119" s="163"/>
      <c r="AV119" s="163"/>
      <c r="AW119" s="163"/>
      <c r="AX119" s="163"/>
      <c r="AY119" s="163"/>
      <c r="AZ119" s="163"/>
    </row>
    <row r="120" spans="1:52" x14ac:dyDescent="0.2">
      <c r="A120" s="163"/>
      <c r="B120" s="163"/>
      <c r="C120" s="163"/>
      <c r="D120" s="163"/>
      <c r="E120" s="163"/>
      <c r="F120" s="163"/>
      <c r="G120" s="163"/>
      <c r="H120" s="163"/>
      <c r="I120" s="163"/>
      <c r="J120" s="163"/>
      <c r="K120" s="194"/>
      <c r="L120" s="194"/>
      <c r="M120" s="163"/>
      <c r="N120" s="163"/>
      <c r="O120" s="163"/>
      <c r="P120" s="163"/>
      <c r="Q120" s="163"/>
      <c r="R120" s="163"/>
      <c r="S120" s="163"/>
      <c r="T120" s="163"/>
      <c r="U120" s="163"/>
      <c r="V120" s="163"/>
      <c r="W120" s="163"/>
      <c r="X120" s="163"/>
      <c r="Y120" s="163"/>
      <c r="Z120" s="163"/>
      <c r="AA120" s="163"/>
      <c r="AB120" s="163"/>
      <c r="AC120" s="163"/>
      <c r="AD120" s="163"/>
      <c r="AE120" s="163"/>
      <c r="AF120" s="163"/>
      <c r="AG120" s="163"/>
      <c r="AH120" s="163"/>
      <c r="AI120" s="163"/>
      <c r="AJ120" s="163"/>
      <c r="AK120" s="163"/>
      <c r="AL120" s="163"/>
      <c r="AM120" s="163"/>
      <c r="AN120" s="163"/>
      <c r="AO120" s="163"/>
      <c r="AP120" s="163"/>
      <c r="AQ120" s="163"/>
      <c r="AR120" s="163"/>
      <c r="AS120" s="163"/>
      <c r="AT120" s="163"/>
      <c r="AU120" s="163"/>
      <c r="AV120" s="163"/>
      <c r="AW120" s="163"/>
      <c r="AX120" s="163"/>
      <c r="AY120" s="163"/>
      <c r="AZ120" s="163"/>
    </row>
    <row r="121" spans="1:52" x14ac:dyDescent="0.2">
      <c r="A121" s="163"/>
      <c r="B121" s="163"/>
      <c r="C121" s="163"/>
      <c r="D121" s="163"/>
      <c r="E121" s="163"/>
      <c r="F121" s="163"/>
      <c r="G121" s="163"/>
      <c r="H121" s="163"/>
      <c r="I121" s="163"/>
      <c r="J121" s="163"/>
      <c r="K121" s="194"/>
      <c r="L121" s="194"/>
      <c r="M121" s="163"/>
      <c r="N121" s="163"/>
      <c r="O121" s="163"/>
      <c r="P121" s="163"/>
      <c r="Q121" s="163"/>
      <c r="R121" s="163"/>
      <c r="S121" s="163"/>
      <c r="T121" s="163"/>
      <c r="U121" s="163"/>
      <c r="V121" s="163"/>
      <c r="W121" s="163"/>
      <c r="X121" s="163"/>
      <c r="Y121" s="163"/>
      <c r="Z121" s="163"/>
      <c r="AA121" s="163"/>
      <c r="AB121" s="163"/>
      <c r="AC121" s="163"/>
      <c r="AD121" s="163"/>
      <c r="AE121" s="163"/>
      <c r="AF121" s="163"/>
      <c r="AG121" s="163"/>
      <c r="AH121" s="163"/>
      <c r="AI121" s="163"/>
      <c r="AJ121" s="163"/>
      <c r="AK121" s="163"/>
      <c r="AL121" s="163"/>
      <c r="AM121" s="163"/>
      <c r="AN121" s="163"/>
      <c r="AO121" s="163"/>
      <c r="AP121" s="163"/>
      <c r="AQ121" s="163"/>
      <c r="AR121" s="163"/>
      <c r="AS121" s="163"/>
      <c r="AT121" s="163"/>
      <c r="AU121" s="163"/>
      <c r="AV121" s="163"/>
      <c r="AW121" s="163"/>
      <c r="AX121" s="163"/>
      <c r="AY121" s="163"/>
      <c r="AZ121" s="163"/>
    </row>
    <row r="122" spans="1:52" x14ac:dyDescent="0.2">
      <c r="A122" s="163"/>
      <c r="B122" s="163"/>
      <c r="C122" s="163"/>
      <c r="D122" s="163"/>
      <c r="E122" s="163"/>
      <c r="F122" s="163"/>
      <c r="G122" s="163"/>
      <c r="H122" s="163"/>
      <c r="I122" s="163"/>
      <c r="J122" s="163"/>
      <c r="K122" s="194"/>
      <c r="L122" s="194"/>
      <c r="M122" s="163"/>
      <c r="N122" s="163"/>
      <c r="O122" s="163"/>
      <c r="P122" s="163"/>
      <c r="Q122" s="163"/>
      <c r="R122" s="163"/>
      <c r="S122" s="163"/>
      <c r="T122" s="163"/>
      <c r="U122" s="163"/>
      <c r="V122" s="163"/>
      <c r="W122" s="163"/>
      <c r="X122" s="163"/>
      <c r="Y122" s="163"/>
      <c r="Z122" s="163"/>
      <c r="AA122" s="163"/>
      <c r="AB122" s="163"/>
      <c r="AC122" s="163"/>
      <c r="AD122" s="163"/>
      <c r="AE122" s="163"/>
      <c r="AF122" s="163"/>
      <c r="AG122" s="163"/>
      <c r="AH122" s="163"/>
      <c r="AI122" s="163"/>
      <c r="AJ122" s="163"/>
      <c r="AK122" s="163"/>
      <c r="AL122" s="163"/>
      <c r="AM122" s="163"/>
      <c r="AN122" s="163"/>
      <c r="AO122" s="163"/>
      <c r="AP122" s="163"/>
      <c r="AQ122" s="163"/>
      <c r="AR122" s="163"/>
      <c r="AS122" s="163"/>
      <c r="AT122" s="163"/>
      <c r="AU122" s="163"/>
      <c r="AV122" s="163"/>
      <c r="AW122" s="163"/>
      <c r="AX122" s="163"/>
      <c r="AY122" s="163"/>
      <c r="AZ122" s="163"/>
    </row>
    <row r="123" spans="1:52" x14ac:dyDescent="0.2">
      <c r="A123" s="163"/>
      <c r="B123" s="163"/>
      <c r="C123" s="163"/>
      <c r="D123" s="163"/>
      <c r="E123" s="163"/>
      <c r="F123" s="163"/>
      <c r="G123" s="163"/>
      <c r="H123" s="163"/>
      <c r="I123" s="163"/>
      <c r="J123" s="163"/>
      <c r="K123" s="194"/>
      <c r="L123" s="194"/>
      <c r="M123" s="163"/>
      <c r="N123" s="163"/>
      <c r="O123" s="163"/>
      <c r="P123" s="163"/>
      <c r="Q123" s="163"/>
      <c r="R123" s="163"/>
      <c r="S123" s="163"/>
      <c r="T123" s="163"/>
      <c r="U123" s="163"/>
      <c r="V123" s="163"/>
      <c r="W123" s="163"/>
      <c r="X123" s="163"/>
      <c r="Y123" s="163"/>
      <c r="Z123" s="163"/>
      <c r="AA123" s="163"/>
      <c r="AB123" s="163"/>
      <c r="AC123" s="163"/>
      <c r="AD123" s="163"/>
      <c r="AE123" s="163"/>
      <c r="AF123" s="163"/>
      <c r="AG123" s="163"/>
      <c r="AH123" s="163"/>
      <c r="AI123" s="163"/>
      <c r="AJ123" s="163"/>
      <c r="AK123" s="163"/>
      <c r="AL123" s="163"/>
      <c r="AM123" s="163"/>
      <c r="AN123" s="163"/>
      <c r="AO123" s="163"/>
      <c r="AP123" s="163"/>
      <c r="AQ123" s="163"/>
      <c r="AR123" s="163"/>
      <c r="AS123" s="163"/>
      <c r="AT123" s="163"/>
      <c r="AU123" s="163"/>
      <c r="AV123" s="163"/>
      <c r="AW123" s="163"/>
      <c r="AX123" s="163"/>
      <c r="AY123" s="163"/>
      <c r="AZ123" s="163"/>
    </row>
    <row r="124" spans="1:52" x14ac:dyDescent="0.2">
      <c r="A124" s="163"/>
      <c r="B124" s="163"/>
      <c r="C124" s="163"/>
      <c r="D124" s="163"/>
      <c r="E124" s="163"/>
      <c r="F124" s="163"/>
      <c r="G124" s="163"/>
      <c r="H124" s="163"/>
      <c r="I124" s="163"/>
      <c r="J124" s="163"/>
      <c r="K124" s="194"/>
      <c r="L124" s="194"/>
      <c r="M124" s="163"/>
      <c r="N124" s="163"/>
      <c r="O124" s="163"/>
      <c r="P124" s="163"/>
      <c r="Q124" s="163"/>
      <c r="R124" s="163"/>
      <c r="S124" s="163"/>
      <c r="T124" s="163"/>
      <c r="U124" s="163"/>
      <c r="V124" s="163"/>
      <c r="W124" s="163"/>
      <c r="X124" s="163"/>
      <c r="Y124" s="163"/>
      <c r="Z124" s="163"/>
      <c r="AA124" s="163"/>
      <c r="AB124" s="163"/>
      <c r="AC124" s="163"/>
      <c r="AD124" s="163"/>
      <c r="AE124" s="163"/>
      <c r="AF124" s="163"/>
      <c r="AG124" s="163"/>
      <c r="AH124" s="163"/>
      <c r="AI124" s="163"/>
      <c r="AJ124" s="163"/>
      <c r="AK124" s="163"/>
      <c r="AL124" s="163"/>
      <c r="AM124" s="163"/>
      <c r="AN124" s="163"/>
      <c r="AO124" s="163"/>
      <c r="AP124" s="163"/>
      <c r="AQ124" s="163"/>
      <c r="AR124" s="163"/>
      <c r="AS124" s="163"/>
      <c r="AT124" s="163"/>
      <c r="AU124" s="163"/>
      <c r="AV124" s="163"/>
      <c r="AW124" s="163"/>
      <c r="AX124" s="163"/>
      <c r="AY124" s="163"/>
      <c r="AZ124" s="163"/>
    </row>
    <row r="125" spans="1:52" x14ac:dyDescent="0.2">
      <c r="A125" s="163"/>
      <c r="B125" s="163"/>
      <c r="C125" s="163"/>
      <c r="D125" s="163"/>
      <c r="E125" s="163"/>
      <c r="F125" s="163"/>
      <c r="G125" s="163"/>
      <c r="H125" s="163"/>
      <c r="I125" s="163"/>
      <c r="J125" s="163"/>
      <c r="K125" s="194"/>
      <c r="L125" s="194"/>
      <c r="M125" s="163"/>
      <c r="N125" s="163"/>
      <c r="O125" s="163"/>
      <c r="P125" s="163"/>
      <c r="Q125" s="163"/>
      <c r="R125" s="163"/>
      <c r="S125" s="163"/>
      <c r="T125" s="163"/>
      <c r="U125" s="163"/>
      <c r="V125" s="163"/>
      <c r="W125" s="163"/>
      <c r="X125" s="163"/>
      <c r="Y125" s="163"/>
      <c r="Z125" s="163"/>
      <c r="AA125" s="163"/>
      <c r="AB125" s="163"/>
      <c r="AC125" s="163"/>
      <c r="AD125" s="163"/>
      <c r="AE125" s="163"/>
      <c r="AF125" s="163"/>
      <c r="AG125" s="163"/>
      <c r="AH125" s="163"/>
      <c r="AI125" s="163"/>
      <c r="AJ125" s="163"/>
      <c r="AK125" s="163"/>
      <c r="AL125" s="163"/>
      <c r="AM125" s="163"/>
      <c r="AN125" s="163"/>
      <c r="AO125" s="163"/>
      <c r="AP125" s="163"/>
      <c r="AQ125" s="163"/>
      <c r="AR125" s="163"/>
      <c r="AS125" s="163"/>
      <c r="AT125" s="163"/>
      <c r="AU125" s="163"/>
      <c r="AV125" s="163"/>
      <c r="AW125" s="163"/>
      <c r="AX125" s="163"/>
      <c r="AY125" s="163"/>
      <c r="AZ125" s="163"/>
    </row>
    <row r="126" spans="1:52" x14ac:dyDescent="0.2">
      <c r="A126" s="163"/>
      <c r="B126" s="163"/>
      <c r="C126" s="163"/>
      <c r="D126" s="163"/>
      <c r="E126" s="163"/>
      <c r="F126" s="163"/>
      <c r="G126" s="163"/>
      <c r="H126" s="163"/>
      <c r="I126" s="163"/>
      <c r="J126" s="163"/>
      <c r="K126" s="194"/>
      <c r="L126" s="194"/>
      <c r="M126" s="163"/>
      <c r="N126" s="163"/>
      <c r="O126" s="163"/>
      <c r="P126" s="163"/>
      <c r="Q126" s="163"/>
      <c r="R126" s="163"/>
      <c r="S126" s="163"/>
      <c r="T126" s="163"/>
      <c r="U126" s="163"/>
      <c r="V126" s="163"/>
      <c r="W126" s="163"/>
      <c r="X126" s="163"/>
      <c r="Y126" s="163"/>
      <c r="Z126" s="163"/>
      <c r="AA126" s="163"/>
      <c r="AB126" s="163"/>
      <c r="AC126" s="163"/>
      <c r="AD126" s="163"/>
      <c r="AE126" s="163"/>
      <c r="AF126" s="163"/>
      <c r="AG126" s="163"/>
      <c r="AH126" s="163"/>
      <c r="AI126" s="163"/>
      <c r="AJ126" s="163"/>
      <c r="AK126" s="163"/>
      <c r="AL126" s="163"/>
      <c r="AM126" s="163"/>
      <c r="AN126" s="163"/>
      <c r="AO126" s="163"/>
      <c r="AP126" s="163"/>
      <c r="AQ126" s="163"/>
      <c r="AR126" s="163"/>
      <c r="AS126" s="163"/>
      <c r="AT126" s="163"/>
      <c r="AU126" s="163"/>
      <c r="AV126" s="163"/>
      <c r="AW126" s="163"/>
      <c r="AX126" s="163"/>
      <c r="AY126" s="163"/>
      <c r="AZ126" s="163"/>
    </row>
    <row r="127" spans="1:52" x14ac:dyDescent="0.2">
      <c r="A127" s="163"/>
      <c r="B127" s="163"/>
      <c r="C127" s="163"/>
      <c r="D127" s="163"/>
      <c r="E127" s="163"/>
      <c r="F127" s="163"/>
      <c r="G127" s="163"/>
      <c r="H127" s="163"/>
      <c r="I127" s="163"/>
      <c r="J127" s="163"/>
      <c r="K127" s="194"/>
      <c r="L127" s="194"/>
      <c r="M127" s="163"/>
      <c r="N127" s="163"/>
      <c r="O127" s="163"/>
      <c r="P127" s="163"/>
      <c r="Q127" s="163"/>
      <c r="R127" s="163"/>
      <c r="S127" s="163"/>
      <c r="T127" s="163"/>
      <c r="U127" s="163"/>
      <c r="V127" s="163"/>
      <c r="W127" s="163"/>
      <c r="X127" s="163"/>
      <c r="Y127" s="163"/>
      <c r="Z127" s="163"/>
      <c r="AA127" s="163"/>
      <c r="AB127" s="163"/>
      <c r="AC127" s="163"/>
      <c r="AD127" s="163"/>
      <c r="AE127" s="163"/>
      <c r="AF127" s="163"/>
      <c r="AG127" s="163"/>
      <c r="AH127" s="163"/>
      <c r="AI127" s="163"/>
      <c r="AJ127" s="163"/>
      <c r="AK127" s="163"/>
      <c r="AL127" s="163"/>
      <c r="AM127" s="163"/>
      <c r="AN127" s="163"/>
      <c r="AO127" s="163"/>
      <c r="AP127" s="163"/>
      <c r="AQ127" s="163"/>
      <c r="AR127" s="163"/>
      <c r="AS127" s="163"/>
      <c r="AT127" s="163"/>
      <c r="AU127" s="163"/>
      <c r="AV127" s="163"/>
      <c r="AW127" s="163"/>
      <c r="AX127" s="163"/>
      <c r="AY127" s="163"/>
      <c r="AZ127" s="163"/>
    </row>
    <row r="128" spans="1:52" x14ac:dyDescent="0.2">
      <c r="A128" s="163"/>
      <c r="B128" s="163"/>
      <c r="C128" s="163"/>
      <c r="D128" s="163"/>
      <c r="E128" s="163"/>
      <c r="F128" s="163"/>
      <c r="G128" s="163"/>
      <c r="H128" s="163"/>
      <c r="I128" s="163"/>
      <c r="J128" s="163"/>
      <c r="K128" s="194"/>
      <c r="L128" s="194"/>
      <c r="M128" s="163"/>
      <c r="N128" s="163"/>
      <c r="O128" s="163"/>
      <c r="P128" s="163"/>
      <c r="Q128" s="163"/>
      <c r="R128" s="163"/>
      <c r="S128" s="163"/>
      <c r="T128" s="163"/>
      <c r="U128" s="163"/>
      <c r="V128" s="163"/>
      <c r="W128" s="163"/>
      <c r="X128" s="163"/>
      <c r="Y128" s="163"/>
      <c r="Z128" s="163"/>
      <c r="AA128" s="163"/>
      <c r="AB128" s="163"/>
      <c r="AC128" s="163"/>
      <c r="AD128" s="163"/>
      <c r="AE128" s="163"/>
      <c r="AF128" s="163"/>
      <c r="AG128" s="163"/>
      <c r="AH128" s="163"/>
      <c r="AI128" s="163"/>
      <c r="AJ128" s="163"/>
      <c r="AK128" s="163"/>
      <c r="AL128" s="163"/>
      <c r="AM128" s="163"/>
      <c r="AN128" s="163"/>
      <c r="AO128" s="163"/>
      <c r="AP128" s="163"/>
      <c r="AQ128" s="163"/>
      <c r="AR128" s="163"/>
      <c r="AS128" s="163"/>
      <c r="AT128" s="163"/>
      <c r="AU128" s="163"/>
      <c r="AV128" s="163"/>
      <c r="AW128" s="163"/>
      <c r="AX128" s="163"/>
      <c r="AY128" s="163"/>
      <c r="AZ128" s="163"/>
    </row>
    <row r="129" spans="1:52" x14ac:dyDescent="0.2">
      <c r="A129" s="163"/>
      <c r="B129" s="163"/>
      <c r="C129" s="163"/>
      <c r="D129" s="163"/>
      <c r="E129" s="163"/>
      <c r="F129" s="163"/>
      <c r="G129" s="163"/>
      <c r="H129" s="163"/>
      <c r="I129" s="163"/>
      <c r="J129" s="163"/>
      <c r="K129" s="194"/>
      <c r="L129" s="194"/>
      <c r="M129" s="163"/>
      <c r="N129" s="163"/>
      <c r="O129" s="163"/>
      <c r="P129" s="163"/>
      <c r="Q129" s="163"/>
      <c r="R129" s="163"/>
      <c r="S129" s="163"/>
      <c r="T129" s="163"/>
      <c r="U129" s="163"/>
      <c r="V129" s="163"/>
      <c r="W129" s="163"/>
      <c r="X129" s="163"/>
      <c r="Y129" s="163"/>
      <c r="Z129" s="163"/>
      <c r="AA129" s="163"/>
      <c r="AB129" s="163"/>
      <c r="AC129" s="163"/>
      <c r="AD129" s="163"/>
      <c r="AE129" s="163"/>
      <c r="AF129" s="163"/>
      <c r="AG129" s="163"/>
      <c r="AH129" s="163"/>
      <c r="AI129" s="163"/>
      <c r="AJ129" s="163"/>
      <c r="AK129" s="163"/>
      <c r="AL129" s="163"/>
      <c r="AM129" s="163"/>
      <c r="AN129" s="163"/>
      <c r="AO129" s="163"/>
      <c r="AP129" s="163"/>
      <c r="AQ129" s="163"/>
      <c r="AR129" s="163"/>
      <c r="AS129" s="163"/>
      <c r="AT129" s="163"/>
      <c r="AU129" s="163"/>
      <c r="AV129" s="163"/>
      <c r="AW129" s="163"/>
      <c r="AX129" s="163"/>
      <c r="AY129" s="163"/>
      <c r="AZ129" s="163"/>
    </row>
    <row r="130" spans="1:52" x14ac:dyDescent="0.2">
      <c r="A130" s="163"/>
      <c r="B130" s="163"/>
      <c r="C130" s="163"/>
      <c r="D130" s="163"/>
      <c r="E130" s="163"/>
      <c r="F130" s="163"/>
      <c r="G130" s="163"/>
      <c r="H130" s="163"/>
      <c r="I130" s="163"/>
      <c r="J130" s="163"/>
      <c r="K130" s="194"/>
      <c r="L130" s="194"/>
      <c r="M130" s="163"/>
      <c r="N130" s="163"/>
      <c r="O130" s="163"/>
      <c r="P130" s="163"/>
      <c r="Q130" s="163"/>
      <c r="R130" s="163"/>
      <c r="S130" s="163"/>
      <c r="T130" s="163"/>
      <c r="U130" s="163"/>
      <c r="V130" s="163"/>
      <c r="W130" s="163"/>
      <c r="X130" s="163"/>
      <c r="Y130" s="163"/>
      <c r="Z130" s="163"/>
      <c r="AA130" s="163"/>
      <c r="AB130" s="163"/>
      <c r="AC130" s="163"/>
      <c r="AD130" s="163"/>
      <c r="AE130" s="163"/>
      <c r="AF130" s="163"/>
      <c r="AG130" s="163"/>
      <c r="AH130" s="163"/>
      <c r="AI130" s="163"/>
      <c r="AJ130" s="163"/>
      <c r="AK130" s="163"/>
      <c r="AL130" s="163"/>
      <c r="AM130" s="163"/>
      <c r="AN130" s="163"/>
      <c r="AO130" s="163"/>
      <c r="AP130" s="163"/>
      <c r="AQ130" s="163"/>
      <c r="AR130" s="163"/>
      <c r="AS130" s="163"/>
      <c r="AT130" s="163"/>
      <c r="AU130" s="163"/>
      <c r="AV130" s="163"/>
      <c r="AW130" s="163"/>
      <c r="AX130" s="163"/>
      <c r="AY130" s="163"/>
      <c r="AZ130" s="163"/>
    </row>
    <row r="131" spans="1:52" x14ac:dyDescent="0.2">
      <c r="A131" s="163"/>
      <c r="B131" s="163"/>
      <c r="C131" s="163"/>
      <c r="D131" s="163"/>
      <c r="E131" s="163"/>
      <c r="F131" s="163"/>
      <c r="G131" s="163"/>
      <c r="H131" s="163"/>
      <c r="I131" s="163"/>
      <c r="J131" s="163"/>
      <c r="K131" s="194"/>
      <c r="L131" s="194"/>
      <c r="M131" s="163"/>
      <c r="N131" s="163"/>
      <c r="O131" s="163"/>
      <c r="P131" s="163"/>
      <c r="Q131" s="163"/>
      <c r="R131" s="163"/>
      <c r="S131" s="163"/>
      <c r="T131" s="163"/>
      <c r="U131" s="163"/>
      <c r="V131" s="163"/>
      <c r="W131" s="163"/>
      <c r="X131" s="163"/>
      <c r="Y131" s="163"/>
      <c r="Z131" s="163"/>
      <c r="AA131" s="163"/>
      <c r="AB131" s="163"/>
      <c r="AC131" s="163"/>
      <c r="AD131" s="163"/>
      <c r="AE131" s="163"/>
      <c r="AF131" s="163"/>
      <c r="AG131" s="163"/>
      <c r="AH131" s="163"/>
      <c r="AI131" s="163"/>
      <c r="AJ131" s="163"/>
      <c r="AK131" s="163"/>
      <c r="AL131" s="163"/>
      <c r="AM131" s="163"/>
      <c r="AN131" s="163"/>
      <c r="AO131" s="163"/>
      <c r="AP131" s="163"/>
      <c r="AQ131" s="163"/>
      <c r="AR131" s="163"/>
      <c r="AS131" s="163"/>
      <c r="AT131" s="163"/>
      <c r="AU131" s="163"/>
      <c r="AV131" s="163"/>
      <c r="AW131" s="163"/>
      <c r="AX131" s="163"/>
      <c r="AY131" s="163"/>
      <c r="AZ131" s="163"/>
    </row>
    <row r="132" spans="1:52" x14ac:dyDescent="0.2">
      <c r="A132" s="163"/>
      <c r="B132" s="163"/>
      <c r="C132" s="163"/>
      <c r="D132" s="163"/>
      <c r="E132" s="163"/>
      <c r="F132" s="163"/>
      <c r="G132" s="163"/>
      <c r="H132" s="163"/>
      <c r="I132" s="163"/>
      <c r="J132" s="163"/>
      <c r="K132" s="194"/>
      <c r="L132" s="194"/>
      <c r="M132" s="163"/>
      <c r="N132" s="163"/>
      <c r="O132" s="163"/>
      <c r="P132" s="163"/>
      <c r="Q132" s="163"/>
      <c r="R132" s="163"/>
      <c r="S132" s="163"/>
      <c r="T132" s="163"/>
      <c r="U132" s="163"/>
      <c r="V132" s="163"/>
      <c r="W132" s="163"/>
      <c r="X132" s="163"/>
      <c r="Y132" s="163"/>
      <c r="Z132" s="163"/>
      <c r="AA132" s="163"/>
      <c r="AB132" s="163"/>
      <c r="AC132" s="163"/>
      <c r="AD132" s="163"/>
      <c r="AE132" s="163"/>
      <c r="AF132" s="163"/>
      <c r="AG132" s="163"/>
      <c r="AH132" s="163"/>
      <c r="AI132" s="163"/>
      <c r="AJ132" s="163"/>
      <c r="AK132" s="163"/>
      <c r="AL132" s="163"/>
      <c r="AM132" s="163"/>
      <c r="AN132" s="163"/>
      <c r="AO132" s="163"/>
      <c r="AP132" s="163"/>
      <c r="AQ132" s="163"/>
      <c r="AR132" s="163"/>
      <c r="AS132" s="163"/>
      <c r="AT132" s="163"/>
      <c r="AU132" s="163"/>
      <c r="AV132" s="163"/>
      <c r="AW132" s="163"/>
      <c r="AX132" s="163"/>
      <c r="AY132" s="163"/>
      <c r="AZ132" s="163"/>
    </row>
    <row r="133" spans="1:52" x14ac:dyDescent="0.2">
      <c r="A133" s="163"/>
      <c r="B133" s="163"/>
      <c r="C133" s="163"/>
      <c r="D133" s="163"/>
      <c r="E133" s="163"/>
      <c r="F133" s="163"/>
      <c r="G133" s="163"/>
      <c r="H133" s="163"/>
      <c r="I133" s="163"/>
      <c r="J133" s="163"/>
      <c r="K133" s="194"/>
      <c r="L133" s="194"/>
      <c r="M133" s="163"/>
      <c r="N133" s="163"/>
      <c r="O133" s="163"/>
      <c r="P133" s="163"/>
      <c r="Q133" s="163"/>
      <c r="R133" s="163"/>
      <c r="S133" s="163"/>
      <c r="T133" s="163"/>
      <c r="U133" s="163"/>
      <c r="V133" s="163"/>
      <c r="W133" s="163"/>
      <c r="X133" s="163"/>
      <c r="Y133" s="163"/>
      <c r="Z133" s="163"/>
      <c r="AA133" s="163"/>
      <c r="AB133" s="163"/>
      <c r="AC133" s="163"/>
      <c r="AD133" s="163"/>
      <c r="AE133" s="163"/>
      <c r="AF133" s="163"/>
      <c r="AG133" s="163"/>
      <c r="AH133" s="163"/>
      <c r="AI133" s="163"/>
      <c r="AJ133" s="163"/>
      <c r="AK133" s="163"/>
      <c r="AL133" s="163"/>
      <c r="AM133" s="163"/>
      <c r="AN133" s="163"/>
      <c r="AO133" s="163"/>
      <c r="AP133" s="163"/>
      <c r="AQ133" s="163"/>
      <c r="AR133" s="163"/>
      <c r="AS133" s="163"/>
      <c r="AT133" s="163"/>
      <c r="AU133" s="163"/>
      <c r="AV133" s="163"/>
      <c r="AW133" s="163"/>
      <c r="AX133" s="163"/>
      <c r="AY133" s="163"/>
      <c r="AZ133" s="163"/>
    </row>
    <row r="134" spans="1:52" x14ac:dyDescent="0.2">
      <c r="A134" s="163"/>
      <c r="B134" s="163"/>
      <c r="C134" s="163"/>
      <c r="D134" s="163"/>
      <c r="E134" s="163"/>
      <c r="F134" s="163"/>
      <c r="G134" s="163"/>
      <c r="H134" s="163"/>
      <c r="I134" s="163"/>
      <c r="J134" s="163"/>
      <c r="K134" s="194"/>
      <c r="L134" s="194"/>
      <c r="M134" s="163"/>
      <c r="N134" s="163"/>
      <c r="O134" s="163"/>
      <c r="P134" s="163"/>
      <c r="Q134" s="163"/>
      <c r="R134" s="163"/>
      <c r="S134" s="163"/>
      <c r="T134" s="163"/>
      <c r="U134" s="163"/>
      <c r="V134" s="163"/>
      <c r="W134" s="163"/>
      <c r="X134" s="163"/>
      <c r="Y134" s="163"/>
      <c r="Z134" s="163"/>
      <c r="AA134" s="163"/>
      <c r="AB134" s="163"/>
      <c r="AC134" s="163"/>
      <c r="AD134" s="163"/>
      <c r="AE134" s="163"/>
      <c r="AF134" s="163"/>
      <c r="AG134" s="163"/>
      <c r="AH134" s="163"/>
      <c r="AI134" s="163"/>
      <c r="AJ134" s="163"/>
      <c r="AK134" s="163"/>
      <c r="AL134" s="163"/>
      <c r="AM134" s="163"/>
      <c r="AN134" s="163"/>
      <c r="AO134" s="163"/>
      <c r="AP134" s="163"/>
      <c r="AQ134" s="163"/>
      <c r="AR134" s="163"/>
      <c r="AS134" s="163"/>
      <c r="AT134" s="163"/>
      <c r="AU134" s="163"/>
      <c r="AV134" s="163"/>
      <c r="AW134" s="163"/>
      <c r="AX134" s="163"/>
      <c r="AY134" s="163"/>
      <c r="AZ134" s="163"/>
    </row>
    <row r="135" spans="1:52" x14ac:dyDescent="0.2">
      <c r="A135" s="163"/>
      <c r="B135" s="163"/>
      <c r="C135" s="163"/>
      <c r="D135" s="163"/>
      <c r="E135" s="163"/>
      <c r="F135" s="163"/>
      <c r="G135" s="163"/>
      <c r="H135" s="163"/>
      <c r="I135" s="163"/>
      <c r="J135" s="163"/>
      <c r="K135" s="194"/>
      <c r="L135" s="194"/>
      <c r="M135" s="163"/>
      <c r="N135" s="163"/>
      <c r="O135" s="163"/>
      <c r="P135" s="163"/>
      <c r="Q135" s="163"/>
      <c r="R135" s="163"/>
      <c r="S135" s="163"/>
      <c r="T135" s="163"/>
      <c r="U135" s="163"/>
      <c r="V135" s="163"/>
      <c r="W135" s="163"/>
      <c r="X135" s="163"/>
      <c r="Y135" s="163"/>
      <c r="Z135" s="163"/>
      <c r="AA135" s="163"/>
      <c r="AB135" s="163"/>
      <c r="AC135" s="163"/>
      <c r="AD135" s="163"/>
      <c r="AE135" s="163"/>
      <c r="AF135" s="163"/>
      <c r="AG135" s="163"/>
      <c r="AH135" s="163"/>
      <c r="AI135" s="163"/>
      <c r="AJ135" s="163"/>
      <c r="AK135" s="163"/>
      <c r="AL135" s="163"/>
      <c r="AM135" s="163"/>
      <c r="AN135" s="163"/>
      <c r="AO135" s="163"/>
      <c r="AP135" s="163"/>
      <c r="AQ135" s="163"/>
      <c r="AR135" s="163"/>
      <c r="AS135" s="163"/>
      <c r="AT135" s="163"/>
      <c r="AU135" s="163"/>
      <c r="AV135" s="163"/>
      <c r="AW135" s="163"/>
      <c r="AX135" s="163"/>
      <c r="AY135" s="163"/>
      <c r="AZ135" s="163"/>
    </row>
    <row r="136" spans="1:52" x14ac:dyDescent="0.2">
      <c r="A136" s="163"/>
      <c r="B136" s="163"/>
      <c r="C136" s="163"/>
      <c r="D136" s="163"/>
      <c r="E136" s="163"/>
      <c r="F136" s="163"/>
      <c r="G136" s="163"/>
      <c r="H136" s="163"/>
      <c r="I136" s="163"/>
      <c r="J136" s="163"/>
      <c r="K136" s="194"/>
      <c r="L136" s="194"/>
      <c r="M136" s="163"/>
      <c r="N136" s="163"/>
      <c r="O136" s="163"/>
      <c r="P136" s="163"/>
      <c r="Q136" s="163"/>
      <c r="R136" s="163"/>
      <c r="S136" s="163"/>
      <c r="T136" s="163"/>
      <c r="U136" s="163"/>
      <c r="V136" s="163"/>
      <c r="W136" s="163"/>
      <c r="X136" s="163"/>
      <c r="Y136" s="163"/>
      <c r="Z136" s="163"/>
      <c r="AA136" s="163"/>
      <c r="AB136" s="163"/>
      <c r="AC136" s="163"/>
      <c r="AD136" s="163"/>
      <c r="AE136" s="163"/>
      <c r="AF136" s="163"/>
      <c r="AG136" s="163"/>
      <c r="AH136" s="163"/>
      <c r="AI136" s="163"/>
      <c r="AJ136" s="163"/>
      <c r="AK136" s="163"/>
      <c r="AL136" s="163"/>
      <c r="AM136" s="163"/>
      <c r="AN136" s="163"/>
      <c r="AO136" s="163"/>
      <c r="AP136" s="163"/>
      <c r="AQ136" s="163"/>
      <c r="AR136" s="163"/>
      <c r="AS136" s="163"/>
      <c r="AT136" s="163"/>
      <c r="AU136" s="163"/>
      <c r="AV136" s="163"/>
      <c r="AW136" s="163"/>
      <c r="AX136" s="163"/>
      <c r="AY136" s="163"/>
      <c r="AZ136" s="163"/>
    </row>
    <row r="137" spans="1:52" x14ac:dyDescent="0.2">
      <c r="A137" s="163"/>
      <c r="B137" s="163"/>
      <c r="C137" s="163"/>
      <c r="D137" s="163"/>
      <c r="E137" s="163"/>
      <c r="F137" s="163"/>
      <c r="G137" s="163"/>
      <c r="H137" s="163"/>
      <c r="I137" s="163"/>
      <c r="J137" s="163"/>
      <c r="K137" s="194"/>
      <c r="L137" s="194"/>
      <c r="M137" s="163"/>
      <c r="N137" s="163"/>
      <c r="O137" s="163"/>
      <c r="P137" s="163"/>
      <c r="Q137" s="163"/>
      <c r="R137" s="163"/>
      <c r="S137" s="163"/>
      <c r="T137" s="163"/>
      <c r="U137" s="163"/>
      <c r="V137" s="163"/>
      <c r="W137" s="163"/>
      <c r="X137" s="163"/>
      <c r="Y137" s="163"/>
      <c r="Z137" s="163"/>
      <c r="AA137" s="163"/>
      <c r="AB137" s="163"/>
      <c r="AC137" s="163"/>
      <c r="AD137" s="163"/>
      <c r="AE137" s="163"/>
      <c r="AF137" s="163"/>
      <c r="AG137" s="163"/>
      <c r="AH137" s="163"/>
      <c r="AI137" s="163"/>
      <c r="AJ137" s="163"/>
      <c r="AK137" s="163"/>
      <c r="AL137" s="163"/>
      <c r="AM137" s="163"/>
      <c r="AN137" s="163"/>
      <c r="AO137" s="163"/>
      <c r="AP137" s="163"/>
      <c r="AQ137" s="163"/>
      <c r="AR137" s="163"/>
      <c r="AS137" s="163"/>
      <c r="AT137" s="163"/>
      <c r="AU137" s="163"/>
      <c r="AV137" s="163"/>
      <c r="AW137" s="163"/>
      <c r="AX137" s="163"/>
      <c r="AY137" s="163"/>
      <c r="AZ137" s="163"/>
    </row>
    <row r="138" spans="1:52" x14ac:dyDescent="0.2">
      <c r="A138" s="163"/>
      <c r="B138" s="163"/>
      <c r="C138" s="163"/>
      <c r="D138" s="163"/>
      <c r="E138" s="163"/>
      <c r="F138" s="163"/>
      <c r="G138" s="163"/>
      <c r="H138" s="163"/>
      <c r="I138" s="163"/>
      <c r="J138" s="163"/>
      <c r="K138" s="194"/>
      <c r="L138" s="194"/>
      <c r="M138" s="163"/>
      <c r="N138" s="163"/>
      <c r="O138" s="163"/>
      <c r="P138" s="163"/>
      <c r="Q138" s="163"/>
      <c r="R138" s="163"/>
      <c r="S138" s="163"/>
      <c r="T138" s="163"/>
      <c r="U138" s="163"/>
      <c r="V138" s="163"/>
      <c r="W138" s="163"/>
      <c r="X138" s="163"/>
      <c r="Y138" s="163"/>
      <c r="Z138" s="163"/>
      <c r="AA138" s="163"/>
      <c r="AB138" s="163"/>
      <c r="AC138" s="163"/>
      <c r="AD138" s="163"/>
      <c r="AE138" s="163"/>
      <c r="AF138" s="163"/>
      <c r="AG138" s="163"/>
      <c r="AH138" s="163"/>
      <c r="AI138" s="163"/>
      <c r="AJ138" s="163"/>
      <c r="AK138" s="163"/>
      <c r="AL138" s="163"/>
      <c r="AM138" s="163"/>
      <c r="AN138" s="163"/>
      <c r="AO138" s="163"/>
      <c r="AP138" s="163"/>
      <c r="AQ138" s="163"/>
      <c r="AR138" s="163"/>
      <c r="AS138" s="163"/>
      <c r="AT138" s="163"/>
      <c r="AU138" s="163"/>
      <c r="AV138" s="163"/>
      <c r="AW138" s="163"/>
      <c r="AX138" s="163"/>
      <c r="AY138" s="163"/>
      <c r="AZ138" s="163"/>
    </row>
    <row r="139" spans="1:52" x14ac:dyDescent="0.2">
      <c r="A139" s="163"/>
      <c r="B139" s="163"/>
      <c r="C139" s="163"/>
      <c r="D139" s="163"/>
      <c r="E139" s="163"/>
      <c r="F139" s="163"/>
      <c r="G139" s="163"/>
      <c r="H139" s="163"/>
      <c r="I139" s="163"/>
      <c r="J139" s="163"/>
      <c r="K139" s="194"/>
      <c r="L139" s="194"/>
      <c r="M139" s="163"/>
      <c r="N139" s="163"/>
      <c r="O139" s="163"/>
      <c r="P139" s="163"/>
      <c r="Q139" s="163"/>
      <c r="R139" s="163"/>
      <c r="S139" s="163"/>
      <c r="T139" s="163"/>
      <c r="U139" s="163"/>
      <c r="V139" s="163"/>
      <c r="W139" s="163"/>
      <c r="X139" s="163"/>
      <c r="Y139" s="163"/>
      <c r="Z139" s="163"/>
      <c r="AA139" s="163"/>
      <c r="AB139" s="163"/>
      <c r="AC139" s="163"/>
      <c r="AD139" s="163"/>
      <c r="AE139" s="163"/>
      <c r="AF139" s="163"/>
      <c r="AG139" s="163"/>
      <c r="AH139" s="163"/>
      <c r="AI139" s="163"/>
      <c r="AJ139" s="163"/>
      <c r="AK139" s="163"/>
      <c r="AL139" s="163"/>
      <c r="AM139" s="163"/>
      <c r="AN139" s="163"/>
      <c r="AO139" s="163"/>
      <c r="AP139" s="163"/>
      <c r="AQ139" s="163"/>
      <c r="AR139" s="163"/>
      <c r="AS139" s="163"/>
      <c r="AT139" s="163"/>
      <c r="AU139" s="163"/>
      <c r="AV139" s="163"/>
      <c r="AW139" s="163"/>
      <c r="AX139" s="163"/>
      <c r="AY139" s="163"/>
      <c r="AZ139" s="163"/>
    </row>
    <row r="140" spans="1:52" x14ac:dyDescent="0.2">
      <c r="A140" s="163"/>
      <c r="B140" s="163"/>
      <c r="C140" s="163"/>
      <c r="D140" s="163"/>
      <c r="E140" s="163"/>
      <c r="F140" s="163"/>
      <c r="G140" s="163"/>
      <c r="H140" s="163"/>
      <c r="I140" s="163"/>
      <c r="J140" s="163"/>
      <c r="K140" s="194"/>
      <c r="L140" s="194"/>
      <c r="M140" s="163"/>
      <c r="N140" s="163"/>
      <c r="O140" s="163"/>
      <c r="P140" s="163"/>
      <c r="Q140" s="163"/>
      <c r="R140" s="163"/>
      <c r="S140" s="163"/>
      <c r="T140" s="163"/>
      <c r="U140" s="163"/>
      <c r="V140" s="163"/>
      <c r="W140" s="163"/>
      <c r="X140" s="163"/>
      <c r="Y140" s="163"/>
      <c r="Z140" s="163"/>
      <c r="AA140" s="163"/>
      <c r="AB140" s="163"/>
      <c r="AC140" s="163"/>
      <c r="AD140" s="163"/>
      <c r="AE140" s="163"/>
      <c r="AF140" s="163"/>
      <c r="AG140" s="163"/>
      <c r="AH140" s="163"/>
      <c r="AI140" s="163"/>
      <c r="AJ140" s="163"/>
      <c r="AK140" s="163"/>
      <c r="AL140" s="163"/>
      <c r="AM140" s="163"/>
      <c r="AN140" s="163"/>
      <c r="AO140" s="163"/>
      <c r="AP140" s="163"/>
      <c r="AQ140" s="163"/>
      <c r="AR140" s="163"/>
      <c r="AS140" s="163"/>
      <c r="AT140" s="163"/>
      <c r="AU140" s="163"/>
      <c r="AV140" s="163"/>
      <c r="AW140" s="163"/>
      <c r="AX140" s="163"/>
      <c r="AY140" s="163"/>
      <c r="AZ140" s="163"/>
    </row>
    <row r="141" spans="1:52" x14ac:dyDescent="0.2">
      <c r="A141" s="163"/>
      <c r="B141" s="163"/>
      <c r="C141" s="163"/>
      <c r="D141" s="163"/>
      <c r="E141" s="163"/>
      <c r="F141" s="163"/>
      <c r="G141" s="163"/>
      <c r="H141" s="163"/>
      <c r="I141" s="163"/>
      <c r="J141" s="163"/>
      <c r="K141" s="194"/>
      <c r="L141" s="194"/>
      <c r="M141" s="163"/>
      <c r="N141" s="163"/>
      <c r="O141" s="163"/>
      <c r="P141" s="163"/>
      <c r="Q141" s="163"/>
      <c r="R141" s="163"/>
      <c r="S141" s="163"/>
      <c r="T141" s="163"/>
      <c r="U141" s="163"/>
      <c r="V141" s="163"/>
      <c r="W141" s="163"/>
      <c r="X141" s="163"/>
      <c r="Y141" s="163"/>
      <c r="Z141" s="163"/>
      <c r="AA141" s="163"/>
      <c r="AB141" s="163"/>
      <c r="AC141" s="163"/>
      <c r="AD141" s="163"/>
      <c r="AE141" s="163"/>
      <c r="AF141" s="163"/>
      <c r="AG141" s="163"/>
      <c r="AH141" s="163"/>
      <c r="AI141" s="163"/>
      <c r="AJ141" s="163"/>
      <c r="AK141" s="163"/>
      <c r="AL141" s="163"/>
      <c r="AM141" s="163"/>
      <c r="AN141" s="163"/>
      <c r="AO141" s="163"/>
      <c r="AP141" s="163"/>
      <c r="AQ141" s="163"/>
      <c r="AR141" s="163"/>
      <c r="AS141" s="163"/>
      <c r="AT141" s="163"/>
      <c r="AU141" s="163"/>
      <c r="AV141" s="163"/>
      <c r="AW141" s="163"/>
      <c r="AX141" s="163"/>
      <c r="AY141" s="163"/>
      <c r="AZ141" s="163"/>
    </row>
    <row r="142" spans="1:52" x14ac:dyDescent="0.2">
      <c r="A142" s="163"/>
      <c r="B142" s="163"/>
      <c r="C142" s="163"/>
      <c r="D142" s="163"/>
      <c r="E142" s="163"/>
      <c r="F142" s="163"/>
      <c r="G142" s="163"/>
      <c r="H142" s="163"/>
      <c r="I142" s="163"/>
      <c r="J142" s="163"/>
      <c r="K142" s="194"/>
      <c r="L142" s="194"/>
      <c r="M142" s="163"/>
      <c r="N142" s="163"/>
      <c r="O142" s="163"/>
      <c r="P142" s="163"/>
      <c r="Q142" s="163"/>
      <c r="R142" s="163"/>
      <c r="S142" s="163"/>
      <c r="T142" s="163"/>
      <c r="U142" s="163"/>
      <c r="V142" s="163"/>
      <c r="W142" s="163"/>
      <c r="X142" s="163"/>
      <c r="Y142" s="163"/>
      <c r="Z142" s="163"/>
      <c r="AA142" s="163"/>
      <c r="AB142" s="163"/>
      <c r="AC142" s="163"/>
      <c r="AD142" s="163"/>
      <c r="AE142" s="163"/>
      <c r="AF142" s="163"/>
      <c r="AG142" s="163"/>
      <c r="AH142" s="163"/>
      <c r="AI142" s="163"/>
      <c r="AJ142" s="163"/>
      <c r="AK142" s="163"/>
      <c r="AL142" s="163"/>
      <c r="AM142" s="163"/>
      <c r="AN142" s="163"/>
      <c r="AO142" s="163"/>
      <c r="AP142" s="163"/>
      <c r="AQ142" s="163"/>
      <c r="AR142" s="163"/>
      <c r="AS142" s="163"/>
      <c r="AT142" s="163"/>
      <c r="AU142" s="163"/>
      <c r="AV142" s="163"/>
      <c r="AW142" s="163"/>
      <c r="AX142" s="163"/>
      <c r="AY142" s="163"/>
      <c r="AZ142" s="163"/>
    </row>
    <row r="143" spans="1:52" x14ac:dyDescent="0.2">
      <c r="A143" s="163"/>
      <c r="B143" s="163"/>
      <c r="C143" s="163"/>
      <c r="D143" s="163"/>
      <c r="E143" s="163"/>
      <c r="F143" s="163"/>
      <c r="G143" s="163"/>
      <c r="H143" s="163"/>
      <c r="I143" s="163"/>
      <c r="J143" s="163"/>
      <c r="K143" s="194"/>
      <c r="L143" s="194"/>
      <c r="M143" s="163"/>
      <c r="N143" s="163"/>
      <c r="O143" s="163"/>
      <c r="P143" s="163"/>
      <c r="Q143" s="163"/>
      <c r="R143" s="163"/>
      <c r="S143" s="163"/>
      <c r="T143" s="163"/>
      <c r="U143" s="163"/>
      <c r="V143" s="163"/>
      <c r="W143" s="163"/>
      <c r="X143" s="163"/>
      <c r="Y143" s="163"/>
      <c r="Z143" s="163"/>
      <c r="AA143" s="163"/>
      <c r="AB143" s="163"/>
      <c r="AC143" s="163"/>
      <c r="AD143" s="163"/>
      <c r="AE143" s="163"/>
      <c r="AF143" s="163"/>
      <c r="AG143" s="163"/>
      <c r="AH143" s="163"/>
      <c r="AI143" s="163"/>
      <c r="AJ143" s="163"/>
      <c r="AK143" s="163"/>
      <c r="AL143" s="163"/>
      <c r="AM143" s="163"/>
      <c r="AN143" s="163"/>
      <c r="AO143" s="163"/>
      <c r="AP143" s="163"/>
      <c r="AQ143" s="163"/>
      <c r="AR143" s="163"/>
      <c r="AS143" s="163"/>
      <c r="AT143" s="163"/>
      <c r="AU143" s="163"/>
      <c r="AV143" s="163"/>
      <c r="AW143" s="163"/>
      <c r="AX143" s="163"/>
      <c r="AY143" s="163"/>
      <c r="AZ143" s="163"/>
    </row>
    <row r="144" spans="1:52" x14ac:dyDescent="0.2">
      <c r="A144" s="163"/>
      <c r="B144" s="163"/>
      <c r="C144" s="163"/>
      <c r="D144" s="163"/>
      <c r="E144" s="163"/>
      <c r="F144" s="163"/>
      <c r="G144" s="163"/>
      <c r="H144" s="163"/>
      <c r="I144" s="163"/>
      <c r="J144" s="163"/>
      <c r="K144" s="194"/>
      <c r="L144" s="194"/>
      <c r="M144" s="163"/>
      <c r="N144" s="163"/>
      <c r="O144" s="163"/>
      <c r="P144" s="163"/>
      <c r="Q144" s="163"/>
      <c r="R144" s="163"/>
      <c r="S144" s="163"/>
      <c r="T144" s="163"/>
      <c r="U144" s="163"/>
      <c r="V144" s="163"/>
      <c r="W144" s="163"/>
      <c r="X144" s="163"/>
      <c r="Y144" s="163"/>
      <c r="Z144" s="163"/>
      <c r="AA144" s="163"/>
      <c r="AB144" s="163"/>
      <c r="AC144" s="163"/>
      <c r="AD144" s="163"/>
      <c r="AE144" s="163"/>
      <c r="AF144" s="163"/>
      <c r="AG144" s="163"/>
      <c r="AH144" s="163"/>
      <c r="AI144" s="163"/>
      <c r="AJ144" s="163"/>
      <c r="AK144" s="163"/>
      <c r="AL144" s="163"/>
      <c r="AM144" s="163"/>
      <c r="AN144" s="163"/>
      <c r="AO144" s="163"/>
      <c r="AP144" s="163"/>
      <c r="AQ144" s="163"/>
      <c r="AR144" s="163"/>
      <c r="AS144" s="163"/>
      <c r="AT144" s="163"/>
      <c r="AU144" s="163"/>
      <c r="AV144" s="163"/>
      <c r="AW144" s="163"/>
      <c r="AX144" s="163"/>
      <c r="AY144" s="163"/>
      <c r="AZ144" s="163"/>
    </row>
    <row r="145" spans="1:52" x14ac:dyDescent="0.2">
      <c r="A145" s="163"/>
      <c r="B145" s="163"/>
      <c r="C145" s="163"/>
      <c r="D145" s="163"/>
      <c r="E145" s="163"/>
      <c r="F145" s="163"/>
      <c r="G145" s="163"/>
      <c r="H145" s="163"/>
      <c r="I145" s="163"/>
      <c r="J145" s="163"/>
      <c r="K145" s="194"/>
      <c r="L145" s="194"/>
      <c r="M145" s="163"/>
      <c r="N145" s="163"/>
      <c r="O145" s="163"/>
      <c r="P145" s="163"/>
      <c r="Q145" s="163"/>
      <c r="R145" s="163"/>
      <c r="S145" s="163"/>
      <c r="T145" s="163"/>
      <c r="U145" s="163"/>
      <c r="V145" s="163"/>
      <c r="W145" s="163"/>
      <c r="X145" s="163"/>
      <c r="Y145" s="163"/>
      <c r="Z145" s="163"/>
      <c r="AA145" s="163"/>
      <c r="AB145" s="163"/>
      <c r="AC145" s="163"/>
      <c r="AD145" s="163"/>
      <c r="AE145" s="163"/>
      <c r="AF145" s="163"/>
      <c r="AG145" s="163"/>
      <c r="AH145" s="163"/>
      <c r="AI145" s="163"/>
      <c r="AJ145" s="163"/>
      <c r="AK145" s="163"/>
      <c r="AL145" s="163"/>
      <c r="AM145" s="163"/>
      <c r="AN145" s="163"/>
      <c r="AO145" s="163"/>
      <c r="AP145" s="163"/>
      <c r="AQ145" s="163"/>
      <c r="AR145" s="163"/>
      <c r="AS145" s="163"/>
      <c r="AT145" s="163"/>
      <c r="AU145" s="163"/>
      <c r="AV145" s="163"/>
      <c r="AW145" s="163"/>
      <c r="AX145" s="163"/>
      <c r="AY145" s="163"/>
      <c r="AZ145" s="163"/>
    </row>
    <row r="146" spans="1:52" x14ac:dyDescent="0.2">
      <c r="A146" s="163"/>
      <c r="B146" s="163"/>
      <c r="C146" s="163"/>
      <c r="D146" s="163"/>
      <c r="E146" s="163"/>
      <c r="F146" s="163"/>
      <c r="G146" s="163"/>
      <c r="H146" s="163"/>
      <c r="I146" s="163"/>
      <c r="J146" s="163"/>
      <c r="K146" s="194"/>
      <c r="L146" s="194"/>
      <c r="M146" s="163"/>
      <c r="N146" s="163"/>
      <c r="O146" s="163"/>
      <c r="P146" s="163"/>
      <c r="Q146" s="163"/>
      <c r="R146" s="163"/>
      <c r="S146" s="163"/>
      <c r="T146" s="163"/>
      <c r="U146" s="163"/>
      <c r="V146" s="163"/>
      <c r="W146" s="163"/>
      <c r="X146" s="163"/>
      <c r="Y146" s="163"/>
      <c r="Z146" s="163"/>
      <c r="AA146" s="163"/>
      <c r="AB146" s="163"/>
      <c r="AC146" s="163"/>
      <c r="AD146" s="163"/>
      <c r="AE146" s="163"/>
      <c r="AF146" s="163"/>
      <c r="AG146" s="163"/>
      <c r="AH146" s="163"/>
      <c r="AI146" s="163"/>
      <c r="AJ146" s="163"/>
      <c r="AK146" s="163"/>
      <c r="AL146" s="163"/>
      <c r="AM146" s="163"/>
      <c r="AN146" s="163"/>
      <c r="AO146" s="163"/>
      <c r="AP146" s="163"/>
      <c r="AQ146" s="163"/>
      <c r="AR146" s="163"/>
      <c r="AS146" s="163"/>
      <c r="AT146" s="163"/>
      <c r="AU146" s="163"/>
      <c r="AV146" s="163"/>
      <c r="AW146" s="163"/>
      <c r="AX146" s="163"/>
      <c r="AY146" s="163"/>
      <c r="AZ146" s="163"/>
    </row>
    <row r="147" spans="1:52" x14ac:dyDescent="0.2">
      <c r="A147" s="163"/>
      <c r="B147" s="163"/>
      <c r="C147" s="163"/>
      <c r="D147" s="163"/>
      <c r="E147" s="163"/>
      <c r="F147" s="163"/>
      <c r="G147" s="163"/>
      <c r="H147" s="163"/>
      <c r="I147" s="163"/>
      <c r="J147" s="163"/>
      <c r="K147" s="194"/>
      <c r="L147" s="194"/>
      <c r="M147" s="163"/>
      <c r="N147" s="163"/>
      <c r="O147" s="163"/>
      <c r="P147" s="163"/>
      <c r="Q147" s="163"/>
      <c r="R147" s="163"/>
      <c r="S147" s="163"/>
      <c r="T147" s="163"/>
      <c r="U147" s="163"/>
      <c r="V147" s="163"/>
      <c r="W147" s="163"/>
      <c r="X147" s="163"/>
      <c r="Y147" s="163"/>
      <c r="Z147" s="163"/>
      <c r="AA147" s="163"/>
      <c r="AB147" s="163"/>
      <c r="AC147" s="163"/>
      <c r="AD147" s="163"/>
      <c r="AE147" s="163"/>
      <c r="AF147" s="163"/>
      <c r="AG147" s="163"/>
      <c r="AH147" s="163"/>
      <c r="AI147" s="163"/>
      <c r="AJ147" s="163"/>
      <c r="AK147" s="163"/>
      <c r="AL147" s="163"/>
      <c r="AM147" s="163"/>
      <c r="AN147" s="163"/>
      <c r="AO147" s="163"/>
      <c r="AP147" s="163"/>
      <c r="AQ147" s="163"/>
      <c r="AR147" s="163"/>
      <c r="AS147" s="163"/>
      <c r="AT147" s="163"/>
      <c r="AU147" s="163"/>
      <c r="AV147" s="163"/>
      <c r="AW147" s="163"/>
      <c r="AX147" s="163"/>
      <c r="AY147" s="163"/>
      <c r="AZ147" s="163"/>
    </row>
    <row r="148" spans="1:52" x14ac:dyDescent="0.2">
      <c r="A148" s="163"/>
      <c r="B148" s="163"/>
      <c r="C148" s="163"/>
      <c r="D148" s="163"/>
      <c r="E148" s="163"/>
      <c r="F148" s="163"/>
      <c r="G148" s="163"/>
      <c r="H148" s="163"/>
      <c r="I148" s="163"/>
      <c r="J148" s="163"/>
      <c r="K148" s="194"/>
      <c r="L148" s="194"/>
      <c r="M148" s="163"/>
      <c r="N148" s="163"/>
      <c r="O148" s="163"/>
      <c r="P148" s="163"/>
      <c r="Q148" s="163"/>
      <c r="R148" s="163"/>
      <c r="S148" s="163"/>
      <c r="T148" s="163"/>
      <c r="U148" s="163"/>
      <c r="V148" s="163"/>
      <c r="W148" s="163"/>
      <c r="X148" s="163"/>
      <c r="Y148" s="163"/>
      <c r="Z148" s="163"/>
      <c r="AA148" s="163"/>
      <c r="AB148" s="163"/>
      <c r="AC148" s="163"/>
      <c r="AD148" s="163"/>
      <c r="AE148" s="163"/>
      <c r="AF148" s="163"/>
      <c r="AG148" s="163"/>
      <c r="AH148" s="163"/>
      <c r="AI148" s="163"/>
      <c r="AJ148" s="163"/>
      <c r="AK148" s="163"/>
      <c r="AL148" s="163"/>
      <c r="AM148" s="163"/>
      <c r="AN148" s="163"/>
      <c r="AO148" s="163"/>
      <c r="AP148" s="163"/>
      <c r="AQ148" s="163"/>
      <c r="AR148" s="163"/>
      <c r="AS148" s="163"/>
      <c r="AT148" s="163"/>
      <c r="AU148" s="163"/>
      <c r="AV148" s="163"/>
      <c r="AW148" s="163"/>
      <c r="AX148" s="163"/>
      <c r="AY148" s="163"/>
      <c r="AZ148" s="163"/>
    </row>
    <row r="149" spans="1:52" x14ac:dyDescent="0.2">
      <c r="A149" s="163"/>
      <c r="B149" s="163"/>
      <c r="C149" s="163"/>
      <c r="D149" s="163"/>
      <c r="E149" s="163"/>
      <c r="F149" s="163"/>
      <c r="G149" s="163"/>
      <c r="H149" s="163"/>
      <c r="I149" s="163"/>
      <c r="J149" s="163"/>
      <c r="K149" s="194"/>
      <c r="L149" s="194"/>
      <c r="M149" s="163"/>
      <c r="N149" s="163"/>
      <c r="O149" s="163"/>
      <c r="P149" s="163"/>
      <c r="Q149" s="163"/>
      <c r="R149" s="163"/>
      <c r="S149" s="163"/>
      <c r="T149" s="163"/>
      <c r="U149" s="163"/>
      <c r="V149" s="163"/>
      <c r="W149" s="163"/>
      <c r="X149" s="163"/>
      <c r="Y149" s="163"/>
      <c r="Z149" s="163"/>
      <c r="AA149" s="163"/>
      <c r="AB149" s="163"/>
      <c r="AC149" s="163"/>
      <c r="AD149" s="163"/>
      <c r="AE149" s="163"/>
      <c r="AF149" s="163"/>
      <c r="AG149" s="163"/>
      <c r="AH149" s="163"/>
      <c r="AI149" s="163"/>
      <c r="AJ149" s="163"/>
      <c r="AK149" s="163"/>
      <c r="AL149" s="163"/>
      <c r="AM149" s="163"/>
      <c r="AN149" s="163"/>
      <c r="AO149" s="163"/>
      <c r="AP149" s="163"/>
      <c r="AQ149" s="163"/>
      <c r="AR149" s="163"/>
      <c r="AS149" s="163"/>
      <c r="AT149" s="163"/>
      <c r="AU149" s="163"/>
      <c r="AV149" s="163"/>
      <c r="AW149" s="163"/>
      <c r="AX149" s="163"/>
      <c r="AY149" s="163"/>
      <c r="AZ149" s="163"/>
    </row>
    <row r="150" spans="1:52" x14ac:dyDescent="0.2">
      <c r="A150" s="163"/>
      <c r="B150" s="163"/>
      <c r="C150" s="163"/>
      <c r="D150" s="163"/>
      <c r="E150" s="163"/>
      <c r="F150" s="163"/>
      <c r="G150" s="163"/>
      <c r="H150" s="163"/>
      <c r="I150" s="163"/>
      <c r="J150" s="163"/>
      <c r="K150" s="194"/>
      <c r="L150" s="194"/>
      <c r="M150" s="163"/>
      <c r="N150" s="163"/>
      <c r="O150" s="163"/>
      <c r="P150" s="163"/>
      <c r="Q150" s="163"/>
      <c r="R150" s="163"/>
      <c r="S150" s="163"/>
      <c r="T150" s="163"/>
      <c r="U150" s="163"/>
      <c r="V150" s="163"/>
      <c r="W150" s="163"/>
      <c r="X150" s="163"/>
      <c r="Y150" s="163"/>
      <c r="Z150" s="163"/>
      <c r="AA150" s="163"/>
      <c r="AB150" s="163"/>
      <c r="AC150" s="163"/>
      <c r="AD150" s="163"/>
      <c r="AE150" s="163"/>
      <c r="AF150" s="163"/>
      <c r="AG150" s="163"/>
      <c r="AH150" s="163"/>
      <c r="AI150" s="163"/>
      <c r="AJ150" s="163"/>
      <c r="AK150" s="163"/>
      <c r="AL150" s="163"/>
      <c r="AM150" s="163"/>
      <c r="AN150" s="163"/>
      <c r="AO150" s="163"/>
      <c r="AP150" s="163"/>
      <c r="AQ150" s="163"/>
      <c r="AR150" s="163"/>
      <c r="AS150" s="163"/>
      <c r="AT150" s="163"/>
      <c r="AU150" s="163"/>
      <c r="AV150" s="163"/>
      <c r="AW150" s="163"/>
      <c r="AX150" s="163"/>
      <c r="AY150" s="163"/>
      <c r="AZ150" s="163"/>
    </row>
    <row r="151" spans="1:52" x14ac:dyDescent="0.2">
      <c r="E151" s="163"/>
      <c r="F151" s="163"/>
      <c r="G151" s="163"/>
      <c r="J151" s="163"/>
      <c r="K151" s="194"/>
      <c r="L151" s="194"/>
      <c r="M151" s="163"/>
      <c r="N151" s="163"/>
      <c r="O151" s="163"/>
      <c r="P151" s="163"/>
      <c r="Q151" s="163"/>
      <c r="R151" s="163"/>
      <c r="S151" s="163"/>
      <c r="T151" s="163"/>
      <c r="U151" s="163"/>
      <c r="V151" s="163"/>
      <c r="W151" s="163"/>
      <c r="X151" s="163"/>
      <c r="Y151" s="163"/>
      <c r="Z151" s="163"/>
      <c r="AA151" s="163"/>
      <c r="AB151" s="163"/>
      <c r="AC151" s="163"/>
      <c r="AD151" s="163"/>
      <c r="AE151" s="163"/>
      <c r="AF151" s="163"/>
      <c r="AG151" s="163"/>
      <c r="AH151" s="163"/>
      <c r="AI151" s="163"/>
      <c r="AJ151" s="163"/>
      <c r="AK151" s="163"/>
      <c r="AL151" s="163"/>
      <c r="AM151" s="163"/>
      <c r="AN151" s="163"/>
      <c r="AO151" s="163"/>
      <c r="AP151" s="163"/>
      <c r="AQ151" s="163"/>
      <c r="AR151" s="163"/>
      <c r="AS151" s="163"/>
      <c r="AT151" s="163"/>
      <c r="AU151" s="163"/>
      <c r="AV151" s="163"/>
      <c r="AW151" s="163"/>
      <c r="AX151" s="163"/>
      <c r="AY151" s="163"/>
      <c r="AZ151" s="163"/>
    </row>
    <row r="152" spans="1:52" x14ac:dyDescent="0.2">
      <c r="G152" s="163"/>
      <c r="J152" s="163"/>
      <c r="K152" s="194"/>
      <c r="L152" s="194"/>
      <c r="M152" s="163"/>
      <c r="N152" s="163"/>
      <c r="O152" s="163"/>
      <c r="P152" s="163"/>
      <c r="Q152" s="163"/>
      <c r="R152" s="163"/>
      <c r="S152" s="163"/>
      <c r="T152" s="163"/>
      <c r="U152" s="163"/>
      <c r="V152" s="163"/>
      <c r="W152" s="163"/>
      <c r="X152" s="163"/>
      <c r="Y152" s="163"/>
      <c r="Z152" s="163"/>
      <c r="AA152" s="163"/>
      <c r="AB152" s="163"/>
      <c r="AC152" s="163"/>
      <c r="AD152" s="163"/>
      <c r="AE152" s="163"/>
      <c r="AF152" s="163"/>
      <c r="AG152" s="163"/>
      <c r="AH152" s="163"/>
      <c r="AI152" s="163"/>
      <c r="AJ152" s="163"/>
      <c r="AK152" s="163"/>
      <c r="AL152" s="163"/>
      <c r="AM152" s="163"/>
      <c r="AN152" s="163"/>
      <c r="AO152" s="163"/>
      <c r="AP152" s="163"/>
      <c r="AQ152" s="163"/>
      <c r="AR152" s="163"/>
      <c r="AS152" s="163"/>
      <c r="AT152" s="163"/>
      <c r="AU152" s="163"/>
      <c r="AV152" s="163"/>
      <c r="AW152" s="163"/>
      <c r="AX152" s="163"/>
      <c r="AY152" s="163"/>
      <c r="AZ152" s="163"/>
    </row>
    <row r="153" spans="1:52" x14ac:dyDescent="0.2">
      <c r="K153" s="18"/>
      <c r="L153" s="18"/>
      <c r="N153" s="163"/>
    </row>
  </sheetData>
  <sheetProtection algorithmName="SHA-512" hashValue="au81KaWDZ0dx7x7bu7ucfrmNNoHM72tSpLvDFQJwKJtBjpuxdhnhj7/kK81oCvCbycJ1gUquyginGG+RL7D5+g==" saltValue="VuR6BjlkhIbGhyxuP3qvSA==" spinCount="100000" sheet="1" formatCells="0" formatColumns="0" formatRows="0" insertColumns="0" insertRows="0"/>
  <mergeCells count="15">
    <mergeCell ref="B13:E13"/>
    <mergeCell ref="B23:F23"/>
    <mergeCell ref="B11:F11"/>
    <mergeCell ref="E21:F21"/>
    <mergeCell ref="B18:F18"/>
    <mergeCell ref="B19:F19"/>
    <mergeCell ref="B33:F33"/>
    <mergeCell ref="B34:F34"/>
    <mergeCell ref="B35:F35"/>
    <mergeCell ref="B15:E15"/>
    <mergeCell ref="B17:E17"/>
    <mergeCell ref="B24:F24"/>
    <mergeCell ref="E26:F26"/>
    <mergeCell ref="E27:F27"/>
    <mergeCell ref="B28:F28"/>
  </mergeCells>
  <phoneticPr fontId="0" type="noConversion"/>
  <conditionalFormatting sqref="A33:A35">
    <cfRule type="expression" dxfId="479" priority="3">
      <formula>$I$31=FALSE</formula>
    </cfRule>
  </conditionalFormatting>
  <conditionalFormatting sqref="B33:F35">
    <cfRule type="expression" dxfId="478" priority="1">
      <formula>$I$31=TRUE</formula>
    </cfRule>
  </conditionalFormatting>
  <dataValidations xWindow="426" yWindow="595" count="16">
    <dataValidation type="whole" operator="lessThan" allowBlank="1" showInputMessage="1" showErrorMessage="1" sqref="D30:D32" xr:uid="{D0F5F6EF-E0DC-4ED6-B2D9-F08B40EBF493}">
      <formula1>-9.99999999999999E+29</formula1>
    </dataValidation>
    <dataValidation allowBlank="1" showInputMessage="1" showErrorMessage="1" promptTitle="Kurzbezeichnung; Land" prompt="z.B. Musterfilm (DE)" sqref="B33" xr:uid="{E24CBD51-3025-4BF4-B64C-7B4325BC8C1A}"/>
    <dataValidation allowBlank="1" showInputMessage="1" showErrorMessage="1" promptTitle="Firmenkurzbezeichnung" prompt="z.B. Musterfilm" sqref="B11:F11" xr:uid="{54A69E20-F14B-472B-A426-FC0CB1AE717A}"/>
    <dataValidation allowBlank="1" showInputMessage="1" showErrorMessage="1" promptTitle="Projekttitel" prompt="bitte eingeben" sqref="A1" xr:uid="{F5C74E11-CBBE-44E2-BFB9-61E08AC9BBD2}"/>
    <dataValidation type="whole" operator="lessThan" allowBlank="1" showInputMessage="1" showErrorMessage="1" sqref="D22:E24" xr:uid="{AA512FDF-606B-4826-B335-CFFD2D7367EF}">
      <formula1>-9.99999999999999E+30</formula1>
    </dataValidation>
    <dataValidation type="whole" operator="lessThan" allowBlank="1" showInputMessage="1" showErrorMessage="1" sqref="B25:F25" xr:uid="{73D00911-38D2-4BA7-8CC3-13ACFF8975B4}">
      <formula1>-9.99999999999999E+31</formula1>
    </dataValidation>
    <dataValidation operator="lessThan" allowBlank="1" showInputMessage="1" showErrorMessage="1" sqref="E21:F21 E26:E27 B4:B6 L12 A2:A4 A6 D9:E9 D7 F4:F9 D38:F46 E47 D47 M36:M38 K12 D37:F37 B37 B30:B31" xr:uid="{40C60C59-0C0B-49E9-A666-2583029D2B88}"/>
    <dataValidation allowBlank="1" showInputMessage="1" showErrorMessage="1" promptTitle="DREHBUCH" prompt="Ist der Produzent/die Produzentin Urhbeber/in des Buches, dann bitte rechts ankreuzen." sqref="C15:E16 B15" xr:uid="{B7F1DEE5-DEF5-4A8A-AD8E-7D432F8527DD}"/>
    <dataValidation allowBlank="1" showInputMessage="1" showErrorMessage="1" promptTitle="HERSTELLUNGSLEITUNG" prompt="Eine Personalunion von Produzent*in und Herstellungsleitung und damit doppelter Ansatz in der Kalulation wird nicht anerkannt._x000a_Wenn Herstellungsleitung intern, dann bitte rechts ankreuzen! " sqref="B17:E17" xr:uid="{06ABB715-80D4-44B1-B925-E584747BCF07}"/>
    <dataValidation type="whole" operator="lessThan" allowBlank="1" showInputMessage="1" showErrorMessage="1" sqref="A10 D26:D27 D21" xr:uid="{70281B49-1751-4271-A1FA-C34E68772233}">
      <formula1>-9.99999999999999E+27</formula1>
    </dataValidation>
    <dataValidation allowBlank="1" showInputMessage="1" showErrorMessage="1" promptTitle="REGIE" prompt="Wird die Regie vom Produzenten/der Produzentin wahrgenommen, bitte rechts ankreuzen." sqref="B13" xr:uid="{130B9671-6B9B-4F25-BEAC-4365A31C3184}"/>
    <dataValidation allowBlank="1" showErrorMessage="1" sqref="F13:F14" xr:uid="{27797D01-52A8-4E20-8733-E87BAEC79697}"/>
    <dataValidation type="whole" operator="lessThan" allowBlank="1" showInputMessage="1" showErrorMessage="1" sqref="H4:M8 K9:M11 K39:M49 H9 H11:H50 I9:J50 K13:L38 M12:M35" xr:uid="{F0B641C5-C857-4A2D-A62D-7614157CC8B3}">
      <formula1>-9999</formula1>
    </dataValidation>
    <dataValidation allowBlank="1" showInputMessage="1" showErrorMessage="1" promptTitle="Bewertete Eigenleistung" prompt="Wenn Produktionsleitung intern, dann bitte rechts ankreuzen" sqref="B18:F18" xr:uid="{B099D7F3-9530-40AF-8E81-4041DE34E395}"/>
    <dataValidation allowBlank="1" showInputMessage="1" showErrorMessage="1" promptTitle="Bewertete Eigenleistung" prompt="Wenn Filmgeschäftsführung intern, dann bitte rechts ankreuzen" sqref="B19:F19" xr:uid="{AECAE79A-3A17-4832-84EF-37834BFE27B8}"/>
    <dataValidation type="whole" operator="lessThan" allowBlank="1" showInputMessage="1" showErrorMessage="1" sqref="H10" xr:uid="{25524AE8-DBB1-4462-BC8A-A42C194E73C6}">
      <formula1>-999</formula1>
    </dataValidation>
  </dataValidations>
  <printOptions horizontalCentered="1"/>
  <pageMargins left="0.78740157480314965" right="0.78740157480314965" top="0.98425196850393704" bottom="0.78740157480314965" header="0.51181102362204722" footer="0.51181102362204722"/>
  <pageSetup paperSize="9" scale="74" orientation="portrait" horizontalDpi="4294967292" r:id="rId1"/>
  <headerFooter scaleWithDoc="0">
    <oddHeader>&amp;L&amp;"Verdana,Standard"&amp;10&amp;F&amp;R&amp;"Verdana,Fett"ANLAGE 4</oddHeader>
    <oddFooter>&amp;L&amp;"Verdana,Standard"&amp;9Ausdruck vom &amp;D&amp;R&amp;"Verdana,Standard"&amp;9Seite &amp;P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237" r:id="rId4" name="Check Box 45">
              <controlPr defaultSize="0" autoFill="0" autoLine="0" autoPict="0">
                <anchor moveWithCells="1">
                  <from>
                    <xdr:col>5</xdr:col>
                    <xdr:colOff>542925</xdr:colOff>
                    <xdr:row>12</xdr:row>
                    <xdr:rowOff>133350</xdr:rowOff>
                  </from>
                  <to>
                    <xdr:col>6</xdr:col>
                    <xdr:colOff>66675</xdr:colOff>
                    <xdr:row>14</xdr:row>
                    <xdr:rowOff>19050</xdr:rowOff>
                  </to>
                </anchor>
              </controlPr>
            </control>
          </mc:Choice>
        </mc:AlternateContent>
        <mc:AlternateContent xmlns:mc="http://schemas.openxmlformats.org/markup-compatibility/2006">
          <mc:Choice Requires="x14">
            <control shapeId="8244" r:id="rId5" name="Drop Down 52">
              <controlPr defaultSize="0" autoLine="0" autoPict="0">
                <anchor moveWithCells="1">
                  <from>
                    <xdr:col>4</xdr:col>
                    <xdr:colOff>28575</xdr:colOff>
                    <xdr:row>24</xdr:row>
                    <xdr:rowOff>142875</xdr:rowOff>
                  </from>
                  <to>
                    <xdr:col>6</xdr:col>
                    <xdr:colOff>9525</xdr:colOff>
                    <xdr:row>26</xdr:row>
                    <xdr:rowOff>9525</xdr:rowOff>
                  </to>
                </anchor>
              </controlPr>
            </control>
          </mc:Choice>
        </mc:AlternateContent>
        <mc:AlternateContent xmlns:mc="http://schemas.openxmlformats.org/markup-compatibility/2006">
          <mc:Choice Requires="x14">
            <control shapeId="8245" r:id="rId6" name="Drop Down 53">
              <controlPr defaultSize="0" autoLine="0" autoPict="0">
                <anchor moveWithCells="1">
                  <from>
                    <xdr:col>4</xdr:col>
                    <xdr:colOff>28575</xdr:colOff>
                    <xdr:row>26</xdr:row>
                    <xdr:rowOff>9525</xdr:rowOff>
                  </from>
                  <to>
                    <xdr:col>6</xdr:col>
                    <xdr:colOff>9525</xdr:colOff>
                    <xdr:row>27</xdr:row>
                    <xdr:rowOff>28575</xdr:rowOff>
                  </to>
                </anchor>
              </controlPr>
            </control>
          </mc:Choice>
        </mc:AlternateContent>
        <mc:AlternateContent xmlns:mc="http://schemas.openxmlformats.org/markup-compatibility/2006">
          <mc:Choice Requires="x14">
            <control shapeId="8272" r:id="rId7" name="Drop Down 80">
              <controlPr defaultSize="0" autoLine="0" autoPict="0">
                <anchor moveWithCells="1">
                  <from>
                    <xdr:col>1</xdr:col>
                    <xdr:colOff>19050</xdr:colOff>
                    <xdr:row>4</xdr:row>
                    <xdr:rowOff>9525</xdr:rowOff>
                  </from>
                  <to>
                    <xdr:col>1</xdr:col>
                    <xdr:colOff>828675</xdr:colOff>
                    <xdr:row>4</xdr:row>
                    <xdr:rowOff>180975</xdr:rowOff>
                  </to>
                </anchor>
              </controlPr>
            </control>
          </mc:Choice>
        </mc:AlternateContent>
        <mc:AlternateContent xmlns:mc="http://schemas.openxmlformats.org/markup-compatibility/2006">
          <mc:Choice Requires="x14">
            <control shapeId="8278" r:id="rId8" name="Check Box 81">
              <controlPr defaultSize="0" autoFill="0" autoLine="0" autoPict="0">
                <anchor moveWithCells="1">
                  <from>
                    <xdr:col>5</xdr:col>
                    <xdr:colOff>542925</xdr:colOff>
                    <xdr:row>14</xdr:row>
                    <xdr:rowOff>0</xdr:rowOff>
                  </from>
                  <to>
                    <xdr:col>6</xdr:col>
                    <xdr:colOff>66675</xdr:colOff>
                    <xdr:row>15</xdr:row>
                    <xdr:rowOff>47625</xdr:rowOff>
                  </to>
                </anchor>
              </controlPr>
            </control>
          </mc:Choice>
        </mc:AlternateContent>
        <mc:AlternateContent xmlns:mc="http://schemas.openxmlformats.org/markup-compatibility/2006">
          <mc:Choice Requires="x14">
            <control shapeId="8279" r:id="rId9" name="Check Box 87">
              <controlPr defaultSize="0" autoFill="0" autoLine="0" autoPict="0">
                <anchor moveWithCells="1">
                  <from>
                    <xdr:col>5</xdr:col>
                    <xdr:colOff>542925</xdr:colOff>
                    <xdr:row>11</xdr:row>
                    <xdr:rowOff>133350</xdr:rowOff>
                  </from>
                  <to>
                    <xdr:col>6</xdr:col>
                    <xdr:colOff>66675</xdr:colOff>
                    <xdr:row>13</xdr:row>
                    <xdr:rowOff>19050</xdr:rowOff>
                  </to>
                </anchor>
              </controlPr>
            </control>
          </mc:Choice>
        </mc:AlternateContent>
        <mc:AlternateContent xmlns:mc="http://schemas.openxmlformats.org/markup-compatibility/2006">
          <mc:Choice Requires="x14">
            <control shapeId="8282" r:id="rId10" name="Check Box 90">
              <controlPr defaultSize="0" autoFill="0" autoLine="0" autoPict="0">
                <anchor moveWithCells="1">
                  <from>
                    <xdr:col>0</xdr:col>
                    <xdr:colOff>1800225</xdr:colOff>
                    <xdr:row>5</xdr:row>
                    <xdr:rowOff>142875</xdr:rowOff>
                  </from>
                  <to>
                    <xdr:col>1</xdr:col>
                    <xdr:colOff>257175</xdr:colOff>
                    <xdr:row>7</xdr:row>
                    <xdr:rowOff>47625</xdr:rowOff>
                  </to>
                </anchor>
              </controlPr>
            </control>
          </mc:Choice>
        </mc:AlternateContent>
        <mc:AlternateContent xmlns:mc="http://schemas.openxmlformats.org/markup-compatibility/2006">
          <mc:Choice Requires="x14">
            <control shapeId="8284" r:id="rId11" name="Check Box 92">
              <controlPr defaultSize="0" autoFill="0" autoLine="0" autoPict="0">
                <anchor moveWithCells="1">
                  <from>
                    <xdr:col>0</xdr:col>
                    <xdr:colOff>1800225</xdr:colOff>
                    <xdr:row>6</xdr:row>
                    <xdr:rowOff>142875</xdr:rowOff>
                  </from>
                  <to>
                    <xdr:col>1</xdr:col>
                    <xdr:colOff>257175</xdr:colOff>
                    <xdr:row>8</xdr:row>
                    <xdr:rowOff>28575</xdr:rowOff>
                  </to>
                </anchor>
              </controlPr>
            </control>
          </mc:Choice>
        </mc:AlternateContent>
        <mc:AlternateContent xmlns:mc="http://schemas.openxmlformats.org/markup-compatibility/2006">
          <mc:Choice Requires="x14">
            <control shapeId="8285" r:id="rId12" name="Check Box 93">
              <controlPr defaultSize="0" autoFill="0" autoLine="0" autoPict="0">
                <anchor moveWithCells="1">
                  <from>
                    <xdr:col>0</xdr:col>
                    <xdr:colOff>1800225</xdr:colOff>
                    <xdr:row>7</xdr:row>
                    <xdr:rowOff>142875</xdr:rowOff>
                  </from>
                  <to>
                    <xdr:col>1</xdr:col>
                    <xdr:colOff>257175</xdr:colOff>
                    <xdr:row>9</xdr:row>
                    <xdr:rowOff>28575</xdr:rowOff>
                  </to>
                </anchor>
              </controlPr>
            </control>
          </mc:Choice>
        </mc:AlternateContent>
        <mc:AlternateContent xmlns:mc="http://schemas.openxmlformats.org/markup-compatibility/2006">
          <mc:Choice Requires="x14">
            <control shapeId="8286" r:id="rId13" name="Check Box 94">
              <controlPr defaultSize="0" autoFill="0" autoLine="0" autoPict="0">
                <anchor moveWithCells="1">
                  <from>
                    <xdr:col>3</xdr:col>
                    <xdr:colOff>914400</xdr:colOff>
                    <xdr:row>28</xdr:row>
                    <xdr:rowOff>123825</xdr:rowOff>
                  </from>
                  <to>
                    <xdr:col>4</xdr:col>
                    <xdr:colOff>247650</xdr:colOff>
                    <xdr:row>30</xdr:row>
                    <xdr:rowOff>9525</xdr:rowOff>
                  </to>
                </anchor>
              </controlPr>
            </control>
          </mc:Choice>
        </mc:AlternateContent>
        <mc:AlternateContent xmlns:mc="http://schemas.openxmlformats.org/markup-compatibility/2006">
          <mc:Choice Requires="x14">
            <control shapeId="8287" r:id="rId14" name="Check Box 95">
              <controlPr defaultSize="0" autoFill="0" autoLine="0" autoPict="0">
                <anchor moveWithCells="1">
                  <from>
                    <xdr:col>3</xdr:col>
                    <xdr:colOff>914400</xdr:colOff>
                    <xdr:row>29</xdr:row>
                    <xdr:rowOff>133350</xdr:rowOff>
                  </from>
                  <to>
                    <xdr:col>4</xdr:col>
                    <xdr:colOff>247650</xdr:colOff>
                    <xdr:row>31</xdr:row>
                    <xdr:rowOff>19050</xdr:rowOff>
                  </to>
                </anchor>
              </controlPr>
            </control>
          </mc:Choice>
        </mc:AlternateContent>
        <mc:AlternateContent xmlns:mc="http://schemas.openxmlformats.org/markup-compatibility/2006">
          <mc:Choice Requires="x14">
            <control shapeId="8288" r:id="rId15" name="Check Box 96">
              <controlPr defaultSize="0" autoFill="0" autoLine="0" autoPict="0">
                <anchor moveWithCells="1">
                  <from>
                    <xdr:col>5</xdr:col>
                    <xdr:colOff>542925</xdr:colOff>
                    <xdr:row>16</xdr:row>
                    <xdr:rowOff>133350</xdr:rowOff>
                  </from>
                  <to>
                    <xdr:col>6</xdr:col>
                    <xdr:colOff>66675</xdr:colOff>
                    <xdr:row>18</xdr:row>
                    <xdr:rowOff>19050</xdr:rowOff>
                  </to>
                </anchor>
              </controlPr>
            </control>
          </mc:Choice>
        </mc:AlternateContent>
        <mc:AlternateContent xmlns:mc="http://schemas.openxmlformats.org/markup-compatibility/2006">
          <mc:Choice Requires="x14">
            <control shapeId="8289" r:id="rId16" name="Check Box 97">
              <controlPr defaultSize="0" autoFill="0" autoLine="0" autoPict="0">
                <anchor moveWithCells="1">
                  <from>
                    <xdr:col>5</xdr:col>
                    <xdr:colOff>542925</xdr:colOff>
                    <xdr:row>14</xdr:row>
                    <xdr:rowOff>133350</xdr:rowOff>
                  </from>
                  <to>
                    <xdr:col>6</xdr:col>
                    <xdr:colOff>66675</xdr:colOff>
                    <xdr:row>16</xdr:row>
                    <xdr:rowOff>19050</xdr:rowOff>
                  </to>
                </anchor>
              </controlPr>
            </control>
          </mc:Choice>
        </mc:AlternateContent>
        <mc:AlternateContent xmlns:mc="http://schemas.openxmlformats.org/markup-compatibility/2006">
          <mc:Choice Requires="x14">
            <control shapeId="8290" r:id="rId17" name="Check Box 98">
              <controlPr defaultSize="0" autoFill="0" autoLine="0" autoPict="0">
                <anchor moveWithCells="1">
                  <from>
                    <xdr:col>5</xdr:col>
                    <xdr:colOff>542925</xdr:colOff>
                    <xdr:row>17</xdr:row>
                    <xdr:rowOff>133350</xdr:rowOff>
                  </from>
                  <to>
                    <xdr:col>6</xdr:col>
                    <xdr:colOff>66675</xdr:colOff>
                    <xdr:row>19</xdr:row>
                    <xdr:rowOff>19050</xdr:rowOff>
                  </to>
                </anchor>
              </controlPr>
            </control>
          </mc:Choice>
        </mc:AlternateContent>
        <mc:AlternateContent xmlns:mc="http://schemas.openxmlformats.org/markup-compatibility/2006">
          <mc:Choice Requires="x14">
            <control shapeId="8291" r:id="rId18" name="Check Box 99">
              <controlPr defaultSize="0" autoFill="0" autoLine="0" autoPict="0">
                <anchor moveWithCells="1">
                  <from>
                    <xdr:col>5</xdr:col>
                    <xdr:colOff>542925</xdr:colOff>
                    <xdr:row>13</xdr:row>
                    <xdr:rowOff>133350</xdr:rowOff>
                  </from>
                  <to>
                    <xdr:col>6</xdr:col>
                    <xdr:colOff>66675</xdr:colOff>
                    <xdr:row>15</xdr:row>
                    <xdr:rowOff>19050</xdr:rowOff>
                  </to>
                </anchor>
              </controlPr>
            </control>
          </mc:Choice>
        </mc:AlternateContent>
        <mc:AlternateContent xmlns:mc="http://schemas.openxmlformats.org/markup-compatibility/2006">
          <mc:Choice Requires="x14">
            <control shapeId="8292" r:id="rId19" name="Check Box 100">
              <controlPr defaultSize="0" autoFill="0" autoLine="0" autoPict="0">
                <anchor moveWithCells="1">
                  <from>
                    <xdr:col>5</xdr:col>
                    <xdr:colOff>542925</xdr:colOff>
                    <xdr:row>15</xdr:row>
                    <xdr:rowOff>133350</xdr:rowOff>
                  </from>
                  <to>
                    <xdr:col>6</xdr:col>
                    <xdr:colOff>66675</xdr:colOff>
                    <xdr:row>17</xdr:row>
                    <xdr:rowOff>19050</xdr:rowOff>
                  </to>
                </anchor>
              </controlPr>
            </control>
          </mc:Choice>
        </mc:AlternateContent>
        <mc:AlternateContent xmlns:mc="http://schemas.openxmlformats.org/markup-compatibility/2006">
          <mc:Choice Requires="x14">
            <control shapeId="8294" r:id="rId20" name="Check Box 102">
              <controlPr locked="0" defaultSize="0" autoFill="0" autoLine="0" autoPict="0">
                <anchor moveWithCells="1">
                  <from>
                    <xdr:col>5</xdr:col>
                    <xdr:colOff>552450</xdr:colOff>
                    <xdr:row>7</xdr:row>
                    <xdr:rowOff>133350</xdr:rowOff>
                  </from>
                  <to>
                    <xdr:col>6</xdr:col>
                    <xdr:colOff>76200</xdr:colOff>
                    <xdr:row>9</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pageSetUpPr fitToPage="1"/>
  </sheetPr>
  <dimension ref="A1:BR148"/>
  <sheetViews>
    <sheetView zoomScaleNormal="100" workbookViewId="0">
      <pane ySplit="4" topLeftCell="A5" activePane="bottomLeft" state="frozen"/>
      <selection pane="bottomLeft" activeCell="AS26" sqref="AS26"/>
    </sheetView>
  </sheetViews>
  <sheetFormatPr baseColWidth="10" defaultColWidth="11" defaultRowHeight="12.75" outlineLevelRow="1" outlineLevelCol="2" x14ac:dyDescent="0.2"/>
  <cols>
    <col min="1" max="1" width="3.625" style="16" customWidth="1"/>
    <col min="2" max="2" width="47.25" style="16" bestFit="1" customWidth="1"/>
    <col min="3" max="3" width="9" style="16" bestFit="1" customWidth="1"/>
    <col min="4" max="4" width="13.125" style="16" bestFit="1" customWidth="1"/>
    <col min="5" max="6" width="8.125" style="16" hidden="1" customWidth="1" outlineLevel="1"/>
    <col min="7" max="7" width="11.375" style="16" customWidth="1" collapsed="1"/>
    <col min="8" max="8" width="11.75" style="16" bestFit="1" customWidth="1"/>
    <col min="9" max="10" width="11.375" style="16" hidden="1" customWidth="1" outlineLevel="1"/>
    <col min="11" max="11" width="2.125" style="16" customWidth="1" collapsed="1"/>
    <col min="12" max="12" width="11.75" style="16" hidden="1" customWidth="1" outlineLevel="1"/>
    <col min="13" max="16" width="11.375" style="16" hidden="1" customWidth="1" outlineLevel="1"/>
    <col min="17" max="17" width="12.875" style="16" hidden="1" customWidth="1" outlineLevel="1"/>
    <col min="18" max="19" width="11.375" style="16" hidden="1" customWidth="1" outlineLevel="2"/>
    <col min="20" max="20" width="3.125" style="16" hidden="1" customWidth="1" outlineLevel="1"/>
    <col min="21" max="21" width="3.125" style="16" customWidth="1" collapsed="1"/>
    <col min="22" max="22" width="11.625" style="16" hidden="1" customWidth="1" outlineLevel="1"/>
    <col min="23" max="25" width="11.625" style="16" hidden="1" customWidth="1" outlineLevel="2"/>
    <col min="26" max="26" width="11.625" style="16" hidden="1" customWidth="1" outlineLevel="1" collapsed="1"/>
    <col min="27" max="29" width="11.625" style="16" hidden="1" customWidth="1" outlineLevel="2"/>
    <col min="30" max="30" width="11.625" style="16" hidden="1" customWidth="1" outlineLevel="1" collapsed="1"/>
    <col min="31" max="33" width="11.625" style="16" hidden="1" customWidth="1" outlineLevel="2"/>
    <col min="34" max="34" width="2.125" style="16" hidden="1" customWidth="1" outlineLevel="1" collapsed="1"/>
    <col min="35" max="35" width="12.625" style="16" hidden="1" customWidth="1" outlineLevel="1"/>
    <col min="36" max="36" width="14.125" style="16" hidden="1" customWidth="1" outlineLevel="2"/>
    <col min="37" max="37" width="12.625" style="16" hidden="1" customWidth="1" outlineLevel="2"/>
    <col min="38" max="38" width="5.125" style="16" hidden="1" customWidth="1" outlineLevel="1" collapsed="1"/>
    <col min="39" max="39" width="11" style="1291" customWidth="1" collapsed="1"/>
    <col min="40" max="40" width="5.125" style="1291" customWidth="1"/>
    <col min="41" max="41" width="57.25" style="1291" hidden="1" customWidth="1"/>
    <col min="42" max="42" width="41.625" style="1291" hidden="1" customWidth="1"/>
    <col min="43" max="43" width="11" style="1291"/>
    <col min="44" max="44" width="11" style="1292"/>
    <col min="45" max="56" width="11" style="1291"/>
    <col min="57" max="16384" width="11" style="16"/>
  </cols>
  <sheetData>
    <row r="1" spans="1:70" s="83" customFormat="1" ht="18.75" thickBot="1" x14ac:dyDescent="0.3">
      <c r="A1" s="439" t="str">
        <f>Stammblatt!A1</f>
        <v>Test</v>
      </c>
      <c r="B1" s="905"/>
      <c r="C1" s="439"/>
      <c r="D1" s="905"/>
      <c r="E1" s="905"/>
      <c r="F1" s="905"/>
      <c r="G1" s="905"/>
      <c r="H1" s="153" t="str">
        <f>Stammblatt!F4</f>
        <v>Version 26.3</v>
      </c>
      <c r="I1" s="905"/>
      <c r="J1" s="905"/>
      <c r="K1" s="905"/>
      <c r="L1" s="905"/>
      <c r="M1" s="905"/>
      <c r="N1" s="905"/>
      <c r="O1" s="905"/>
      <c r="P1" s="905"/>
      <c r="Q1" s="905"/>
      <c r="R1" s="905"/>
      <c r="S1" s="905"/>
      <c r="T1" s="905"/>
      <c r="U1" s="905"/>
      <c r="V1" s="905"/>
      <c r="W1" s="905"/>
      <c r="X1" s="905"/>
      <c r="Y1" s="905"/>
      <c r="Z1" s="905"/>
      <c r="AA1" s="905"/>
      <c r="AB1" s="905"/>
      <c r="AC1" s="905"/>
      <c r="AD1" s="905"/>
      <c r="AE1" s="905"/>
      <c r="AF1" s="905"/>
      <c r="AG1" s="905"/>
      <c r="AH1" s="905"/>
      <c r="AI1" s="905"/>
      <c r="AJ1" s="905"/>
      <c r="AK1" s="905"/>
      <c r="AL1" s="905"/>
      <c r="AM1" s="1282"/>
      <c r="AN1" s="1282"/>
      <c r="AO1" s="1283"/>
      <c r="AP1" s="1283"/>
      <c r="AQ1" s="1282"/>
      <c r="AR1" s="1284"/>
      <c r="AS1" s="1282"/>
      <c r="AT1" s="1285"/>
      <c r="AU1" s="1285"/>
      <c r="AV1" s="1285"/>
      <c r="AW1" s="1285"/>
      <c r="AX1" s="1285"/>
      <c r="AY1" s="1285"/>
      <c r="AZ1" s="1285"/>
      <c r="BA1" s="1286"/>
      <c r="BB1" s="1286"/>
      <c r="BC1" s="1286"/>
      <c r="BD1" s="1286"/>
      <c r="BE1" s="162"/>
      <c r="BF1" s="207"/>
      <c r="BG1" s="207"/>
      <c r="BH1" s="207"/>
      <c r="BI1" s="207"/>
      <c r="BJ1" s="207"/>
      <c r="BK1" s="207"/>
      <c r="BL1" s="207"/>
      <c r="BM1" s="207"/>
      <c r="BN1" s="207"/>
      <c r="BO1" s="207"/>
      <c r="BP1" s="207"/>
      <c r="BQ1" s="207"/>
      <c r="BR1" s="207"/>
    </row>
    <row r="2" spans="1:70" ht="18" customHeight="1" thickBot="1" x14ac:dyDescent="0.25">
      <c r="A2" s="189"/>
      <c r="B2" s="189"/>
      <c r="C2" s="189"/>
      <c r="D2" s="906" t="str">
        <f ca="1">IF(AND(Stammblatt!$I$9=TRUE,GHSTK&gt;1570000),"BUDGET FÜR WERKSTATTPROJEKT ZU HOCH!!","")</f>
        <v/>
      </c>
      <c r="E2" s="189"/>
      <c r="F2" s="189"/>
      <c r="G2" s="1392" t="str">
        <f>IF(Stammblatt!$L$4=1,"Effekte","effects")</f>
        <v>Effekte</v>
      </c>
      <c r="H2" s="1393"/>
      <c r="I2" s="1393"/>
      <c r="J2" s="1393"/>
      <c r="K2" s="1319"/>
      <c r="L2" s="1394" t="str">
        <f>IF(Stammblatt!$L$4=1,"Kostenstand Österreich per","Cost report Austria of")</f>
        <v>Kostenstand Österreich per</v>
      </c>
      <c r="M2" s="1394"/>
      <c r="N2" s="1394"/>
      <c r="O2" s="1394"/>
      <c r="P2" s="1394"/>
      <c r="Q2" s="907" t="str">
        <f>'Kalkulation Herstellungskosten'!Y2</f>
        <v>XX.XX.XX</v>
      </c>
      <c r="R2" s="908"/>
      <c r="S2" s="909"/>
      <c r="T2" s="910"/>
      <c r="U2" s="911"/>
      <c r="V2" s="1388" t="str">
        <f>IF(Stammblatt!$L$4=1,"Ko-Partner","coproducers")</f>
        <v>Ko-Partner</v>
      </c>
      <c r="W2" s="1389"/>
      <c r="X2" s="1389"/>
      <c r="Y2" s="1389"/>
      <c r="Z2" s="1389"/>
      <c r="AA2" s="1389"/>
      <c r="AB2" s="1389"/>
      <c r="AC2" s="1389"/>
      <c r="AD2" s="1389"/>
      <c r="AE2" s="1389"/>
      <c r="AF2" s="1389"/>
      <c r="AG2" s="1389"/>
      <c r="AH2" s="1320"/>
      <c r="AI2" s="912"/>
      <c r="AJ2" s="913"/>
      <c r="AK2" s="189"/>
      <c r="AL2" s="189"/>
      <c r="AM2" s="1282"/>
      <c r="AN2" s="1282"/>
      <c r="AO2" s="1283"/>
      <c r="AP2" s="1283"/>
      <c r="AQ2" s="1282"/>
      <c r="AR2" s="1284"/>
      <c r="AS2" s="1282"/>
      <c r="AT2" s="1286"/>
      <c r="AU2" s="1286"/>
      <c r="AV2" s="1286"/>
      <c r="AW2" s="1286"/>
      <c r="AX2" s="1286"/>
      <c r="AY2" s="1286"/>
      <c r="AZ2" s="1286"/>
      <c r="BA2" s="1286"/>
      <c r="BB2" s="1286"/>
      <c r="BC2" s="1286"/>
      <c r="BD2" s="1286"/>
      <c r="BE2" s="162"/>
      <c r="BF2" s="162"/>
      <c r="BG2" s="162"/>
      <c r="BH2" s="162"/>
      <c r="BI2" s="162"/>
      <c r="BJ2" s="162"/>
      <c r="BK2" s="162"/>
      <c r="BL2" s="162"/>
      <c r="BM2" s="162"/>
      <c r="BN2" s="162"/>
      <c r="BO2" s="162"/>
      <c r="BP2" s="162"/>
      <c r="BQ2" s="162"/>
      <c r="BR2" s="162"/>
    </row>
    <row r="3" spans="1:70" s="19" customFormat="1" ht="27" customHeight="1" x14ac:dyDescent="0.2">
      <c r="A3" s="590" t="str">
        <f>IF(Stammblatt!$L$4=1,Zusammenfassung!AO3,Zusammenfassung!AP3)</f>
        <v>Kostenzusammenstellung (Beträge in €)</v>
      </c>
      <c r="B3" s="914"/>
      <c r="C3" s="915"/>
      <c r="D3" s="916" t="str">
        <f>IF(Stammblatt!I31=FALSE,"",Stammblatt!B11)</f>
        <v/>
      </c>
      <c r="E3" s="1395" t="s">
        <v>620</v>
      </c>
      <c r="F3" s="1396"/>
      <c r="G3" s="917" t="s">
        <v>549</v>
      </c>
      <c r="H3" s="918" t="s">
        <v>811</v>
      </c>
      <c r="I3" s="919" t="s">
        <v>826</v>
      </c>
      <c r="J3" s="920" t="s">
        <v>826</v>
      </c>
      <c r="K3" s="189"/>
      <c r="L3" s="921" t="str">
        <f>IF(Stammblatt!$L$4=1,"IST-Kosten","Costs incurred")</f>
        <v>IST-Kosten</v>
      </c>
      <c r="M3" s="922" t="str">
        <f>IF(Stammblatt!$L$4=1,"noch zu erwarten","Costs to be expected")</f>
        <v>noch zu erwarten</v>
      </c>
      <c r="N3" s="922" t="str">
        <f>IF(Stammblatt!$L$4=1,"End-kosten","Final costs")</f>
        <v>End-kosten</v>
      </c>
      <c r="O3" s="923" t="s">
        <v>239</v>
      </c>
      <c r="P3" s="917" t="s">
        <v>550</v>
      </c>
      <c r="Q3" s="924" t="s">
        <v>812</v>
      </c>
      <c r="R3" s="919" t="str">
        <f>'Kalkulation Herstellungskosten'!Q3</f>
        <v>weitere Effekte</v>
      </c>
      <c r="S3" s="1030" t="str">
        <f>'Kalkulation Herstellungskosten'!R3</f>
        <v>weitere Effekte</v>
      </c>
      <c r="T3" s="910"/>
      <c r="U3" s="911"/>
      <c r="V3" s="1385" t="str">
        <f>Stammblatt!B33</f>
        <v>A</v>
      </c>
      <c r="W3" s="1386"/>
      <c r="X3" s="1386"/>
      <c r="Y3" s="1387"/>
      <c r="Z3" s="1385" t="str">
        <f>Stammblatt!B34</f>
        <v>B</v>
      </c>
      <c r="AA3" s="1386"/>
      <c r="AB3" s="1386"/>
      <c r="AC3" s="1387"/>
      <c r="AD3" s="1385" t="str">
        <f>Stammblatt!B35</f>
        <v>C</v>
      </c>
      <c r="AE3" s="1386"/>
      <c r="AF3" s="1386"/>
      <c r="AG3" s="1387"/>
      <c r="AH3" s="209"/>
      <c r="AI3" s="916"/>
      <c r="AJ3" s="916"/>
      <c r="AK3" s="916"/>
      <c r="AL3" s="914"/>
      <c r="AM3" s="1282"/>
      <c r="AN3" s="1282"/>
      <c r="AO3" s="1283" t="s">
        <v>312</v>
      </c>
      <c r="AP3" s="1283" t="s">
        <v>275</v>
      </c>
      <c r="AQ3" s="1282"/>
      <c r="AR3" s="1284"/>
      <c r="AS3" s="1282"/>
      <c r="AT3" s="1287"/>
      <c r="AU3" s="1287"/>
      <c r="AV3" s="1287"/>
      <c r="AW3" s="1287"/>
      <c r="AX3" s="1287"/>
      <c r="AY3" s="1287"/>
      <c r="AZ3" s="1287"/>
      <c r="BA3" s="1286"/>
      <c r="BB3" s="1286"/>
      <c r="BC3" s="1286"/>
      <c r="BD3" s="1286"/>
      <c r="BE3" s="162"/>
      <c r="BF3" s="208"/>
      <c r="BG3" s="208"/>
      <c r="BH3" s="208"/>
      <c r="BI3" s="208"/>
      <c r="BJ3" s="208"/>
      <c r="BK3" s="208"/>
      <c r="BL3" s="208"/>
      <c r="BM3" s="208"/>
      <c r="BN3" s="208"/>
      <c r="BO3" s="208"/>
      <c r="BP3" s="208"/>
      <c r="BQ3" s="208"/>
      <c r="BR3" s="208"/>
    </row>
    <row r="4" spans="1:70" s="7" customFormat="1" ht="30" customHeight="1" x14ac:dyDescent="0.2">
      <c r="A4" s="925"/>
      <c r="B4" s="926"/>
      <c r="C4" s="927"/>
      <c r="D4" s="928"/>
      <c r="E4" s="929" t="s">
        <v>556</v>
      </c>
      <c r="F4" s="930" t="s">
        <v>557</v>
      </c>
      <c r="G4" s="201"/>
      <c r="H4" s="201"/>
      <c r="I4" s="201"/>
      <c r="J4" s="201"/>
      <c r="K4" s="189"/>
      <c r="L4" s="921"/>
      <c r="M4" s="922"/>
      <c r="N4" s="931"/>
      <c r="O4" s="923"/>
      <c r="P4" s="201"/>
      <c r="Q4" s="932"/>
      <c r="R4" s="201"/>
      <c r="S4" s="933"/>
      <c r="T4" s="910"/>
      <c r="U4" s="911"/>
      <c r="V4" s="833" t="s">
        <v>908</v>
      </c>
      <c r="W4" s="834" t="str">
        <f>IF(Stammblatt!$L$4=1,"IST-Kosten","Costs incurred")</f>
        <v>IST-Kosten</v>
      </c>
      <c r="X4" s="833" t="str">
        <f>IF(Stammblatt!$L$4=1,"noch zu erwarten","Costs to be expected")</f>
        <v>noch zu erwarten</v>
      </c>
      <c r="Y4" s="833" t="str">
        <f>IF(Stammblatt!$L$4=1,"Endkosten","Final costs")</f>
        <v>Endkosten</v>
      </c>
      <c r="Z4" s="833" t="s">
        <v>908</v>
      </c>
      <c r="AA4" s="834" t="str">
        <f>IF(Stammblatt!$L$4=1,"IST-Kosten","Costs incurred")</f>
        <v>IST-Kosten</v>
      </c>
      <c r="AB4" s="833" t="str">
        <f>IF(Stammblatt!$L$4=1,"noch zu erwarten","Costs to be expected")</f>
        <v>noch zu erwarten</v>
      </c>
      <c r="AC4" s="833" t="str">
        <f>IF(Stammblatt!$L$4=1,"Endkosten","Final costs")</f>
        <v>Endkosten</v>
      </c>
      <c r="AD4" s="833" t="s">
        <v>908</v>
      </c>
      <c r="AE4" s="834" t="str">
        <f>IF(Stammblatt!$L$4=1,"IST-Kosten","Costs incurred")</f>
        <v>IST-Kosten</v>
      </c>
      <c r="AF4" s="833" t="str">
        <f>IF(Stammblatt!$L$4=1,"noch zu erwarten","Costs to be expected")</f>
        <v>noch zu erwarten</v>
      </c>
      <c r="AG4" s="833" t="str">
        <f>IF(Stammblatt!$L$4=1,"Endkosten","Final costs")</f>
        <v>Endkosten</v>
      </c>
      <c r="AH4" s="837"/>
      <c r="AI4" s="798" t="str">
        <f>IF(Stammblatt!$L$4=1,"Gesamt PLAN","Total costs PLAN")</f>
        <v>Gesamt PLAN</v>
      </c>
      <c r="AJ4" s="798" t="str">
        <f>IF(Stammblatt!$L$4=1,"Gesamt Endkosten","Total costs FINAL")</f>
        <v>Gesamt Endkosten</v>
      </c>
      <c r="AK4" s="798" t="str">
        <f>IF(Stammblatt!$L$4=1,"Gesamt +/-","Total +/-")</f>
        <v>Gesamt +/-</v>
      </c>
      <c r="AL4" s="925"/>
      <c r="AM4" s="1282"/>
      <c r="AN4" s="1282"/>
      <c r="AO4" s="1283"/>
      <c r="AP4" s="1283"/>
      <c r="AQ4" s="1282"/>
      <c r="AR4" s="1284"/>
      <c r="AS4" s="1282"/>
      <c r="AT4" s="1287"/>
      <c r="AU4" s="1287"/>
      <c r="AV4" s="1287"/>
      <c r="AW4" s="1287"/>
      <c r="AX4" s="1287"/>
      <c r="AY4" s="1287"/>
      <c r="AZ4" s="1287"/>
      <c r="BA4" s="1286"/>
      <c r="BB4" s="1286"/>
      <c r="BC4" s="1286"/>
      <c r="BD4" s="1286"/>
      <c r="BE4" s="162"/>
      <c r="BF4" s="210"/>
      <c r="BG4" s="210"/>
      <c r="BH4" s="210"/>
      <c r="BI4" s="210"/>
      <c r="BJ4" s="210"/>
      <c r="BK4" s="210"/>
      <c r="BL4" s="210"/>
      <c r="BM4" s="210"/>
      <c r="BN4" s="210"/>
      <c r="BO4" s="210"/>
      <c r="BP4" s="210"/>
      <c r="BQ4" s="210"/>
      <c r="BR4" s="210"/>
    </row>
    <row r="5" spans="1:70" s="8" customFormat="1" ht="15" customHeight="1" x14ac:dyDescent="0.2">
      <c r="A5" s="934" t="s">
        <v>0</v>
      </c>
      <c r="B5" s="935" t="str">
        <f>IF(Stammblatt!$L$4=1,AO5,AP5)</f>
        <v>Vorkosten</v>
      </c>
      <c r="C5" s="936"/>
      <c r="D5" s="213">
        <f>ZS_1_Vorkosten</f>
        <v>0</v>
      </c>
      <c r="E5" s="937">
        <f>'Kalkulation Herstellungskosten'!L11</f>
        <v>0</v>
      </c>
      <c r="F5" s="938">
        <f>'Kalkulation Herstellungskosten'!M11</f>
        <v>0</v>
      </c>
      <c r="G5" s="939">
        <f>'Kalkulation Herstellungskosten'!O11</f>
        <v>0</v>
      </c>
      <c r="H5" s="940">
        <f>'Kalkulation Herstellungskosten'!P11</f>
        <v>0</v>
      </c>
      <c r="I5" s="941">
        <f>'Kalkulation Herstellungskosten'!Q11</f>
        <v>0</v>
      </c>
      <c r="J5" s="942">
        <f>'Kalkulation Herstellungskosten'!R11</f>
        <v>0</v>
      </c>
      <c r="K5" s="189"/>
      <c r="L5" s="943">
        <f>'Kalkulation Herstellungskosten'!T11</f>
        <v>0</v>
      </c>
      <c r="M5" s="213">
        <f>'Kalkulation Herstellungskosten'!U11</f>
        <v>0</v>
      </c>
      <c r="N5" s="213">
        <f>'Kalkulation Herstellungskosten'!V11</f>
        <v>0</v>
      </c>
      <c r="O5" s="944">
        <f t="shared" ref="O5:O16" si="0">D5-N5</f>
        <v>0</v>
      </c>
      <c r="P5" s="939">
        <f>'Kalkulation Herstellungskosten'!X11</f>
        <v>0</v>
      </c>
      <c r="Q5" s="945">
        <f>'Kalkulation Herstellungskosten'!Y11</f>
        <v>0</v>
      </c>
      <c r="R5" s="941">
        <f>'Kalkulation Herstellungskosten'!Z11</f>
        <v>0</v>
      </c>
      <c r="S5" s="946">
        <f>'Kalkulation Herstellungskosten'!AA11</f>
        <v>0</v>
      </c>
      <c r="T5" s="910"/>
      <c r="U5" s="911"/>
      <c r="V5" s="993">
        <f>'Kalkulation Herstellungskosten'!AD11</f>
        <v>0</v>
      </c>
      <c r="W5" s="213">
        <f>'Kalkulation Herstellungskosten'!AE11</f>
        <v>0</v>
      </c>
      <c r="X5" s="213">
        <f>'Kalkulation Herstellungskosten'!AF11</f>
        <v>0</v>
      </c>
      <c r="Y5" s="213">
        <f>SUM(W5:X5)</f>
        <v>0</v>
      </c>
      <c r="Z5" s="993">
        <f>'Kalkulation Herstellungskosten'!AH11</f>
        <v>0</v>
      </c>
      <c r="AA5" s="213">
        <f>'Kalkulation Herstellungskosten'!AI11</f>
        <v>0</v>
      </c>
      <c r="AB5" s="213">
        <f>'Kalkulation Herstellungskosten'!AJ11</f>
        <v>0</v>
      </c>
      <c r="AC5" s="213">
        <f>SUM(AA5:AB5)</f>
        <v>0</v>
      </c>
      <c r="AD5" s="993">
        <f>'Kalkulation Herstellungskosten'!AL11</f>
        <v>0</v>
      </c>
      <c r="AE5" s="213">
        <f>'Kalkulation Herstellungskosten'!AM11</f>
        <v>0</v>
      </c>
      <c r="AF5" s="213">
        <f>'Kalkulation Herstellungskosten'!AN11</f>
        <v>0</v>
      </c>
      <c r="AG5" s="947">
        <f>SUM(AE5:AF5)</f>
        <v>0</v>
      </c>
      <c r="AH5" s="213"/>
      <c r="AI5" s="948">
        <f t="shared" ref="AI5:AI23" si="1">SUM(D5,V5,Z5,AD5)</f>
        <v>0</v>
      </c>
      <c r="AJ5" s="213">
        <f>SUM(AG5,AC5,Y5,N5)</f>
        <v>0</v>
      </c>
      <c r="AK5" s="949">
        <f>AI5-AJ5</f>
        <v>0</v>
      </c>
      <c r="AL5" s="201"/>
      <c r="AM5" s="1282"/>
      <c r="AN5" s="1282"/>
      <c r="AO5" s="1283" t="s">
        <v>1</v>
      </c>
      <c r="AP5" s="1283" t="s">
        <v>269</v>
      </c>
      <c r="AQ5" s="1282"/>
      <c r="AR5" s="1284"/>
      <c r="AS5" s="1282"/>
      <c r="AT5" s="1288"/>
      <c r="AU5" s="1288"/>
      <c r="AV5" s="1288"/>
      <c r="AW5" s="1288"/>
      <c r="AX5" s="1288"/>
      <c r="AY5" s="1288"/>
      <c r="AZ5" s="1288"/>
      <c r="BA5" s="1286"/>
      <c r="BB5" s="1286"/>
      <c r="BC5" s="1286"/>
      <c r="BD5" s="1286"/>
      <c r="BE5" s="162"/>
      <c r="BF5" s="203"/>
      <c r="BG5" s="203"/>
      <c r="BH5" s="203"/>
      <c r="BI5" s="203"/>
      <c r="BJ5" s="203"/>
      <c r="BK5" s="203"/>
      <c r="BL5" s="203"/>
      <c r="BM5" s="203"/>
      <c r="BN5" s="203"/>
      <c r="BO5" s="203"/>
      <c r="BP5" s="203"/>
      <c r="BQ5" s="203"/>
      <c r="BR5" s="203"/>
    </row>
    <row r="6" spans="1:70" s="8" customFormat="1" ht="15" customHeight="1" x14ac:dyDescent="0.2">
      <c r="A6" s="934" t="s">
        <v>2</v>
      </c>
      <c r="B6" s="496" t="str">
        <f>IF(Stammblatt!$L$4=1,AO6,AP6)</f>
        <v>Nutzungsrechte</v>
      </c>
      <c r="C6" s="936"/>
      <c r="D6" s="213">
        <f>ZS_2_Nutzungsrechte</f>
        <v>0</v>
      </c>
      <c r="E6" s="937">
        <f>'Kalkulation Herstellungskosten'!L27</f>
        <v>0</v>
      </c>
      <c r="F6" s="938">
        <f>'Kalkulation Herstellungskosten'!M27</f>
        <v>0</v>
      </c>
      <c r="G6" s="939">
        <f>'Kalkulation Herstellungskosten'!O27</f>
        <v>0</v>
      </c>
      <c r="H6" s="940">
        <f>'Kalkulation Herstellungskosten'!P27</f>
        <v>0</v>
      </c>
      <c r="I6" s="941">
        <f>'Kalkulation Herstellungskosten'!Q27</f>
        <v>0</v>
      </c>
      <c r="J6" s="942">
        <f>'Kalkulation Herstellungskosten'!R27</f>
        <v>0</v>
      </c>
      <c r="K6" s="189"/>
      <c r="L6" s="943">
        <f>'Kalkulation Herstellungskosten'!T27</f>
        <v>0</v>
      </c>
      <c r="M6" s="213">
        <f>'Kalkulation Herstellungskosten'!U27</f>
        <v>0</v>
      </c>
      <c r="N6" s="213">
        <f>'Kalkulation Herstellungskosten'!V27</f>
        <v>0</v>
      </c>
      <c r="O6" s="944">
        <f t="shared" si="0"/>
        <v>0</v>
      </c>
      <c r="P6" s="939">
        <f>'Kalkulation Herstellungskosten'!X27</f>
        <v>0</v>
      </c>
      <c r="Q6" s="945">
        <f>'Kalkulation Herstellungskosten'!Y27</f>
        <v>0</v>
      </c>
      <c r="R6" s="941">
        <f>'Kalkulation Herstellungskosten'!Z27</f>
        <v>0</v>
      </c>
      <c r="S6" s="946">
        <f>'Kalkulation Herstellungskosten'!AA27</f>
        <v>0</v>
      </c>
      <c r="T6" s="910"/>
      <c r="U6" s="911"/>
      <c r="V6" s="948">
        <f>'Kalkulation Herstellungskosten'!AD27</f>
        <v>0</v>
      </c>
      <c r="W6" s="213">
        <f>'Kalkulation Herstellungskosten'!AE27</f>
        <v>0</v>
      </c>
      <c r="X6" s="213">
        <f>'Kalkulation Herstellungskosten'!AF27</f>
        <v>0</v>
      </c>
      <c r="Y6" s="213">
        <f t="shared" ref="Y6:Y16" si="2">SUM(W6:X6)</f>
        <v>0</v>
      </c>
      <c r="Z6" s="948">
        <f>'Kalkulation Herstellungskosten'!AH27</f>
        <v>0</v>
      </c>
      <c r="AA6" s="213">
        <f>'Kalkulation Herstellungskosten'!AI27</f>
        <v>0</v>
      </c>
      <c r="AB6" s="213">
        <f>'Kalkulation Herstellungskosten'!AJ27</f>
        <v>0</v>
      </c>
      <c r="AC6" s="213">
        <f t="shared" ref="AC6:AC16" si="3">SUM(AA6:AB6)</f>
        <v>0</v>
      </c>
      <c r="AD6" s="948">
        <f>'Kalkulation Herstellungskosten'!AL27</f>
        <v>0</v>
      </c>
      <c r="AE6" s="213">
        <f>'Kalkulation Herstellungskosten'!AM27</f>
        <v>0</v>
      </c>
      <c r="AF6" s="213">
        <f>'Kalkulation Herstellungskosten'!AN27</f>
        <v>0</v>
      </c>
      <c r="AG6" s="947">
        <f t="shared" ref="AG6:AG16" si="4">SUM(AE6:AF6)</f>
        <v>0</v>
      </c>
      <c r="AH6" s="213"/>
      <c r="AI6" s="948">
        <f t="shared" si="1"/>
        <v>0</v>
      </c>
      <c r="AJ6" s="213">
        <f t="shared" ref="AJ6:AJ23" si="5">SUM(AG6,AC6,Y6,N6)</f>
        <v>0</v>
      </c>
      <c r="AK6" s="642">
        <f t="shared" ref="AK6:AK20" si="6">AI6-AJ6</f>
        <v>0</v>
      </c>
      <c r="AL6" s="201"/>
      <c r="AM6" s="1282"/>
      <c r="AN6" s="1282"/>
      <c r="AO6" s="1283" t="s">
        <v>3</v>
      </c>
      <c r="AP6" s="1283" t="s">
        <v>264</v>
      </c>
      <c r="AQ6" s="1282"/>
      <c r="AR6" s="1284"/>
      <c r="AS6" s="1282"/>
      <c r="AT6" s="1288"/>
      <c r="AU6" s="1288"/>
      <c r="AV6" s="1288"/>
      <c r="AW6" s="1288"/>
      <c r="AX6" s="1288"/>
      <c r="AY6" s="1288"/>
      <c r="AZ6" s="1288"/>
      <c r="BA6" s="1286"/>
      <c r="BB6" s="1286"/>
      <c r="BC6" s="1286"/>
      <c r="BD6" s="1286"/>
      <c r="BE6" s="162"/>
      <c r="BF6" s="203"/>
      <c r="BG6" s="203"/>
      <c r="BH6" s="203"/>
      <c r="BI6" s="203"/>
      <c r="BJ6" s="203"/>
      <c r="BK6" s="203"/>
      <c r="BL6" s="203"/>
      <c r="BM6" s="203"/>
      <c r="BN6" s="203"/>
      <c r="BO6" s="203"/>
      <c r="BP6" s="203"/>
      <c r="BQ6" s="203"/>
      <c r="BR6" s="203"/>
    </row>
    <row r="7" spans="1:70" s="8" customFormat="1" ht="15" customHeight="1" x14ac:dyDescent="0.2">
      <c r="A7" s="934" t="s">
        <v>4</v>
      </c>
      <c r="B7" s="496" t="str">
        <f>IF(Stammblatt!$L$4=1,AO7,AP7)</f>
        <v>Gagen, Löhne, Honorare</v>
      </c>
      <c r="C7" s="936"/>
      <c r="D7" s="213">
        <f ca="1">ZS_3_Gagen</f>
        <v>0</v>
      </c>
      <c r="E7" s="937">
        <f ca="1">'Kalkulation Herstellungskosten'!L326</f>
        <v>0</v>
      </c>
      <c r="F7" s="938">
        <f ca="1">'Kalkulation Herstellungskosten'!M326</f>
        <v>0</v>
      </c>
      <c r="G7" s="939">
        <f>'Kalkulation Herstellungskosten'!O326</f>
        <v>0</v>
      </c>
      <c r="H7" s="940">
        <f>'Kalkulation Herstellungskosten'!P326</f>
        <v>0</v>
      </c>
      <c r="I7" s="941">
        <f>'Kalkulation Herstellungskosten'!Q326</f>
        <v>0</v>
      </c>
      <c r="J7" s="942">
        <f>'Kalkulation Herstellungskosten'!R326</f>
        <v>0</v>
      </c>
      <c r="K7" s="189"/>
      <c r="L7" s="943">
        <f>'Kalkulation Herstellungskosten'!T326</f>
        <v>0</v>
      </c>
      <c r="M7" s="213">
        <f>'Kalkulation Herstellungskosten'!U326</f>
        <v>0</v>
      </c>
      <c r="N7" s="213">
        <f>'Kalkulation Herstellungskosten'!V326</f>
        <v>0</v>
      </c>
      <c r="O7" s="944">
        <f t="shared" ca="1" si="0"/>
        <v>0</v>
      </c>
      <c r="P7" s="939">
        <f>'Kalkulation Herstellungskosten'!X326</f>
        <v>0</v>
      </c>
      <c r="Q7" s="945">
        <f>'Kalkulation Herstellungskosten'!Y326</f>
        <v>0</v>
      </c>
      <c r="R7" s="941">
        <f>'Kalkulation Herstellungskosten'!Z326</f>
        <v>0</v>
      </c>
      <c r="S7" s="946">
        <f>'Kalkulation Herstellungskosten'!AA326</f>
        <v>0</v>
      </c>
      <c r="T7" s="910"/>
      <c r="U7" s="911"/>
      <c r="V7" s="948">
        <f>'Kalkulation Herstellungskosten'!AD326</f>
        <v>0</v>
      </c>
      <c r="W7" s="213">
        <f>'Kalkulation Herstellungskosten'!AE326</f>
        <v>0</v>
      </c>
      <c r="X7" s="213">
        <f>'Kalkulation Herstellungskosten'!AF326</f>
        <v>0</v>
      </c>
      <c r="Y7" s="213">
        <f t="shared" si="2"/>
        <v>0</v>
      </c>
      <c r="Z7" s="948">
        <f>'Kalkulation Herstellungskosten'!AH326</f>
        <v>0</v>
      </c>
      <c r="AA7" s="213">
        <f>'Kalkulation Herstellungskosten'!AI326</f>
        <v>0</v>
      </c>
      <c r="AB7" s="213">
        <f>'Kalkulation Herstellungskosten'!AJ326</f>
        <v>0</v>
      </c>
      <c r="AC7" s="213">
        <f t="shared" si="3"/>
        <v>0</v>
      </c>
      <c r="AD7" s="948">
        <f>'Kalkulation Herstellungskosten'!AL326</f>
        <v>0</v>
      </c>
      <c r="AE7" s="213">
        <f>'Kalkulation Herstellungskosten'!AM326</f>
        <v>0</v>
      </c>
      <c r="AF7" s="213">
        <f>'Kalkulation Herstellungskosten'!AN326</f>
        <v>0</v>
      </c>
      <c r="AG7" s="947">
        <f t="shared" si="4"/>
        <v>0</v>
      </c>
      <c r="AH7" s="213"/>
      <c r="AI7" s="948">
        <f t="shared" ca="1" si="1"/>
        <v>0</v>
      </c>
      <c r="AJ7" s="213">
        <f t="shared" si="5"/>
        <v>0</v>
      </c>
      <c r="AK7" s="642">
        <f t="shared" ca="1" si="6"/>
        <v>0</v>
      </c>
      <c r="AL7" s="201"/>
      <c r="AM7" s="1282"/>
      <c r="AN7" s="1282"/>
      <c r="AO7" s="1283" t="s">
        <v>5</v>
      </c>
      <c r="AP7" s="1283" t="s">
        <v>265</v>
      </c>
      <c r="AQ7" s="1282"/>
      <c r="AR7" s="1284"/>
      <c r="AS7" s="1282"/>
      <c r="AT7" s="1288"/>
      <c r="AU7" s="1288"/>
      <c r="AV7" s="1288"/>
      <c r="AW7" s="1288"/>
      <c r="AX7" s="1288"/>
      <c r="AY7" s="1288"/>
      <c r="AZ7" s="1288"/>
      <c r="BA7" s="1286"/>
      <c r="BB7" s="1286"/>
      <c r="BC7" s="1286"/>
      <c r="BD7" s="1286"/>
      <c r="BE7" s="162"/>
      <c r="BF7" s="203"/>
      <c r="BG7" s="203"/>
      <c r="BH7" s="203"/>
      <c r="BI7" s="203"/>
      <c r="BJ7" s="203"/>
      <c r="BK7" s="203"/>
      <c r="BL7" s="203"/>
      <c r="BM7" s="203"/>
      <c r="BN7" s="203"/>
      <c r="BO7" s="203"/>
      <c r="BP7" s="203"/>
      <c r="BQ7" s="203"/>
      <c r="BR7" s="203"/>
    </row>
    <row r="8" spans="1:70" s="8" customFormat="1" ht="15" customHeight="1" x14ac:dyDescent="0.2">
      <c r="A8" s="934" t="s">
        <v>6</v>
      </c>
      <c r="B8" s="496" t="str">
        <f>IF(Stammblatt!$L$4=1,AO8,AP8)</f>
        <v>Bild- und Tonaufnahme</v>
      </c>
      <c r="C8" s="936"/>
      <c r="D8" s="213">
        <f>ZS_4_Bild_Ton</f>
        <v>0</v>
      </c>
      <c r="E8" s="937">
        <f>'Kalkulation Herstellungskosten'!L349</f>
        <v>0</v>
      </c>
      <c r="F8" s="938">
        <f>'Kalkulation Herstellungskosten'!M349</f>
        <v>0</v>
      </c>
      <c r="G8" s="939">
        <f>'Kalkulation Herstellungskosten'!O349</f>
        <v>0</v>
      </c>
      <c r="H8" s="940">
        <f>'Kalkulation Herstellungskosten'!P349</f>
        <v>0</v>
      </c>
      <c r="I8" s="941">
        <f>'Kalkulation Herstellungskosten'!Q349</f>
        <v>0</v>
      </c>
      <c r="J8" s="942">
        <f>'Kalkulation Herstellungskosten'!R349</f>
        <v>0</v>
      </c>
      <c r="K8" s="189"/>
      <c r="L8" s="943">
        <f>'Kalkulation Herstellungskosten'!T349</f>
        <v>0</v>
      </c>
      <c r="M8" s="213">
        <f>'Kalkulation Herstellungskosten'!U349</f>
        <v>0</v>
      </c>
      <c r="N8" s="213">
        <f>'Kalkulation Herstellungskosten'!V349</f>
        <v>0</v>
      </c>
      <c r="O8" s="944">
        <f t="shared" si="0"/>
        <v>0</v>
      </c>
      <c r="P8" s="939">
        <f>'Kalkulation Herstellungskosten'!X349</f>
        <v>0</v>
      </c>
      <c r="Q8" s="945">
        <f>'Kalkulation Herstellungskosten'!Y349</f>
        <v>0</v>
      </c>
      <c r="R8" s="941">
        <f>'Kalkulation Herstellungskosten'!Z349</f>
        <v>0</v>
      </c>
      <c r="S8" s="946">
        <f>'Kalkulation Herstellungskosten'!AA349</f>
        <v>0</v>
      </c>
      <c r="T8" s="910"/>
      <c r="U8" s="911"/>
      <c r="V8" s="948">
        <f>'Kalkulation Herstellungskosten'!AD349</f>
        <v>0</v>
      </c>
      <c r="W8" s="213">
        <f>'Kalkulation Herstellungskosten'!AE349</f>
        <v>0</v>
      </c>
      <c r="X8" s="213">
        <f>'Kalkulation Herstellungskosten'!AF349</f>
        <v>0</v>
      </c>
      <c r="Y8" s="213">
        <f t="shared" si="2"/>
        <v>0</v>
      </c>
      <c r="Z8" s="948">
        <f>'Kalkulation Herstellungskosten'!AH349</f>
        <v>0</v>
      </c>
      <c r="AA8" s="213">
        <f>'Kalkulation Herstellungskosten'!AI349</f>
        <v>0</v>
      </c>
      <c r="AB8" s="213">
        <f>'Kalkulation Herstellungskosten'!AJ349</f>
        <v>0</v>
      </c>
      <c r="AC8" s="213">
        <f t="shared" si="3"/>
        <v>0</v>
      </c>
      <c r="AD8" s="948">
        <f>'Kalkulation Herstellungskosten'!AL349</f>
        <v>0</v>
      </c>
      <c r="AE8" s="213">
        <f>'Kalkulation Herstellungskosten'!AM349</f>
        <v>0</v>
      </c>
      <c r="AF8" s="213">
        <f>'Kalkulation Herstellungskosten'!AN349</f>
        <v>0</v>
      </c>
      <c r="AG8" s="947">
        <f t="shared" si="4"/>
        <v>0</v>
      </c>
      <c r="AH8" s="213"/>
      <c r="AI8" s="948">
        <f t="shared" si="1"/>
        <v>0</v>
      </c>
      <c r="AJ8" s="213">
        <f t="shared" si="5"/>
        <v>0</v>
      </c>
      <c r="AK8" s="642">
        <f t="shared" si="6"/>
        <v>0</v>
      </c>
      <c r="AL8" s="201"/>
      <c r="AM8" s="1282"/>
      <c r="AN8" s="1282"/>
      <c r="AO8" s="1283" t="s">
        <v>7</v>
      </c>
      <c r="AP8" s="1283" t="s">
        <v>266</v>
      </c>
      <c r="AQ8" s="1282"/>
      <c r="AR8" s="1284"/>
      <c r="AS8" s="1282"/>
      <c r="AT8" s="1288"/>
      <c r="AU8" s="1288"/>
      <c r="AV8" s="1288"/>
      <c r="AW8" s="1288"/>
      <c r="AX8" s="1288"/>
      <c r="AY8" s="1288"/>
      <c r="AZ8" s="1288"/>
      <c r="BA8" s="1286"/>
      <c r="BB8" s="1286"/>
      <c r="BC8" s="1286"/>
      <c r="BD8" s="1286"/>
      <c r="BE8" s="162"/>
      <c r="BF8" s="203"/>
      <c r="BG8" s="203"/>
      <c r="BH8" s="203"/>
      <c r="BI8" s="203"/>
      <c r="BJ8" s="203"/>
      <c r="BK8" s="203"/>
      <c r="BL8" s="203"/>
      <c r="BM8" s="203"/>
      <c r="BN8" s="203"/>
      <c r="BO8" s="203"/>
      <c r="BP8" s="203"/>
      <c r="BQ8" s="203"/>
      <c r="BR8" s="203"/>
    </row>
    <row r="9" spans="1:70" s="8" customFormat="1" ht="15" customHeight="1" x14ac:dyDescent="0.2">
      <c r="A9" s="934" t="s">
        <v>8</v>
      </c>
      <c r="B9" s="496" t="str">
        <f>IF(Stammblatt!$L$4=1,AO9,AP9)</f>
        <v>Studiodreh, Originalmotive, Bauten</v>
      </c>
      <c r="C9" s="936"/>
      <c r="D9" s="213">
        <f>ZS_5_Atelier_Ausleuchtung_Außenaufnahmen</f>
        <v>0</v>
      </c>
      <c r="E9" s="937">
        <f>'Kalkulation Herstellungskosten'!L371</f>
        <v>0</v>
      </c>
      <c r="F9" s="938">
        <f>'Kalkulation Herstellungskosten'!M371</f>
        <v>0</v>
      </c>
      <c r="G9" s="939">
        <f>'Kalkulation Herstellungskosten'!O371</f>
        <v>0</v>
      </c>
      <c r="H9" s="940">
        <f>'Kalkulation Herstellungskosten'!P371</f>
        <v>0</v>
      </c>
      <c r="I9" s="941">
        <f>'Kalkulation Herstellungskosten'!Q371</f>
        <v>0</v>
      </c>
      <c r="J9" s="942">
        <f>'Kalkulation Herstellungskosten'!R371</f>
        <v>0</v>
      </c>
      <c r="K9" s="189"/>
      <c r="L9" s="943">
        <f>'Kalkulation Herstellungskosten'!T371</f>
        <v>0</v>
      </c>
      <c r="M9" s="213">
        <f>'Kalkulation Herstellungskosten'!U371</f>
        <v>0</v>
      </c>
      <c r="N9" s="213">
        <f>'Kalkulation Herstellungskosten'!V371</f>
        <v>0</v>
      </c>
      <c r="O9" s="944">
        <f t="shared" si="0"/>
        <v>0</v>
      </c>
      <c r="P9" s="939">
        <f>'Kalkulation Herstellungskosten'!X371</f>
        <v>0</v>
      </c>
      <c r="Q9" s="945">
        <f>'Kalkulation Herstellungskosten'!Y371</f>
        <v>0</v>
      </c>
      <c r="R9" s="941">
        <f>'Kalkulation Herstellungskosten'!Z371</f>
        <v>0</v>
      </c>
      <c r="S9" s="946">
        <f>'Kalkulation Herstellungskosten'!AA371</f>
        <v>0</v>
      </c>
      <c r="T9" s="910"/>
      <c r="U9" s="911"/>
      <c r="V9" s="948">
        <f>'Kalkulation Herstellungskosten'!AD371</f>
        <v>0</v>
      </c>
      <c r="W9" s="213">
        <f>'Kalkulation Herstellungskosten'!AE371</f>
        <v>0</v>
      </c>
      <c r="X9" s="213">
        <f>'Kalkulation Herstellungskosten'!AF371</f>
        <v>0</v>
      </c>
      <c r="Y9" s="213">
        <f t="shared" si="2"/>
        <v>0</v>
      </c>
      <c r="Z9" s="948">
        <f>'Kalkulation Herstellungskosten'!AH371</f>
        <v>0</v>
      </c>
      <c r="AA9" s="213">
        <f>'Kalkulation Herstellungskosten'!AI371</f>
        <v>0</v>
      </c>
      <c r="AB9" s="213">
        <f>'Kalkulation Herstellungskosten'!AJ371</f>
        <v>0</v>
      </c>
      <c r="AC9" s="213">
        <f t="shared" si="3"/>
        <v>0</v>
      </c>
      <c r="AD9" s="948">
        <f>'Kalkulation Herstellungskosten'!AL371</f>
        <v>0</v>
      </c>
      <c r="AE9" s="213">
        <f>'Kalkulation Herstellungskosten'!AM371</f>
        <v>0</v>
      </c>
      <c r="AF9" s="213">
        <f>'Kalkulation Herstellungskosten'!AN371</f>
        <v>0</v>
      </c>
      <c r="AG9" s="947">
        <f t="shared" si="4"/>
        <v>0</v>
      </c>
      <c r="AH9" s="213"/>
      <c r="AI9" s="948">
        <f t="shared" si="1"/>
        <v>0</v>
      </c>
      <c r="AJ9" s="213">
        <f t="shared" si="5"/>
        <v>0</v>
      </c>
      <c r="AK9" s="642">
        <f t="shared" si="6"/>
        <v>0</v>
      </c>
      <c r="AL9" s="201"/>
      <c r="AM9" s="1282"/>
      <c r="AN9" s="1282"/>
      <c r="AO9" s="1283" t="s">
        <v>754</v>
      </c>
      <c r="AP9" s="1283" t="s">
        <v>755</v>
      </c>
      <c r="AQ9" s="1282"/>
      <c r="AR9" s="1284"/>
      <c r="AS9" s="1282"/>
      <c r="AT9" s="1288"/>
      <c r="AU9" s="1288"/>
      <c r="AV9" s="1288"/>
      <c r="AW9" s="1288"/>
      <c r="AX9" s="1288"/>
      <c r="AY9" s="1288"/>
      <c r="AZ9" s="1288"/>
      <c r="BA9" s="1286"/>
      <c r="BB9" s="1286"/>
      <c r="BC9" s="1286"/>
      <c r="BD9" s="1286"/>
      <c r="BE9" s="162"/>
      <c r="BF9" s="203"/>
      <c r="BG9" s="203"/>
      <c r="BH9" s="203"/>
      <c r="BI9" s="203"/>
      <c r="BJ9" s="203"/>
      <c r="BK9" s="203"/>
      <c r="BL9" s="203"/>
      <c r="BM9" s="203"/>
      <c r="BN9" s="203"/>
      <c r="BO9" s="203"/>
      <c r="BP9" s="203"/>
      <c r="BQ9" s="203"/>
      <c r="BR9" s="203"/>
    </row>
    <row r="10" spans="1:70" s="8" customFormat="1" ht="15" customHeight="1" x14ac:dyDescent="0.2">
      <c r="A10" s="934" t="s">
        <v>9</v>
      </c>
      <c r="B10" s="496" t="str">
        <f>IF(Stammblatt!$L$4=1,AO10,AP10)</f>
        <v>Ausstattung</v>
      </c>
      <c r="C10" s="936"/>
      <c r="D10" s="213">
        <f>ZS_6_Austattung</f>
        <v>0</v>
      </c>
      <c r="E10" s="937">
        <f>'Kalkulation Herstellungskosten'!L387</f>
        <v>0</v>
      </c>
      <c r="F10" s="938">
        <f>'Kalkulation Herstellungskosten'!M387</f>
        <v>0</v>
      </c>
      <c r="G10" s="939">
        <f>'Kalkulation Herstellungskosten'!O387</f>
        <v>0</v>
      </c>
      <c r="H10" s="940">
        <f>'Kalkulation Herstellungskosten'!P387</f>
        <v>0</v>
      </c>
      <c r="I10" s="941">
        <f>'Kalkulation Herstellungskosten'!Q387</f>
        <v>0</v>
      </c>
      <c r="J10" s="942">
        <f>'Kalkulation Herstellungskosten'!R387</f>
        <v>0</v>
      </c>
      <c r="K10" s="189"/>
      <c r="L10" s="943">
        <f>'Kalkulation Herstellungskosten'!T387</f>
        <v>0</v>
      </c>
      <c r="M10" s="213">
        <f>'Kalkulation Herstellungskosten'!U387</f>
        <v>0</v>
      </c>
      <c r="N10" s="213">
        <f>'Kalkulation Herstellungskosten'!V387</f>
        <v>0</v>
      </c>
      <c r="O10" s="944">
        <f t="shared" si="0"/>
        <v>0</v>
      </c>
      <c r="P10" s="939">
        <f>'Kalkulation Herstellungskosten'!X387</f>
        <v>0</v>
      </c>
      <c r="Q10" s="945">
        <f>'Kalkulation Herstellungskosten'!Y387</f>
        <v>0</v>
      </c>
      <c r="R10" s="941">
        <f>'Kalkulation Herstellungskosten'!Z387</f>
        <v>0</v>
      </c>
      <c r="S10" s="946">
        <f>'Kalkulation Herstellungskosten'!AA387</f>
        <v>0</v>
      </c>
      <c r="T10" s="910"/>
      <c r="U10" s="911"/>
      <c r="V10" s="948">
        <f>'Kalkulation Herstellungskosten'!AD387</f>
        <v>0</v>
      </c>
      <c r="W10" s="213">
        <f>'Kalkulation Herstellungskosten'!AE387</f>
        <v>0</v>
      </c>
      <c r="X10" s="213">
        <f>'Kalkulation Herstellungskosten'!AF387</f>
        <v>0</v>
      </c>
      <c r="Y10" s="213">
        <f t="shared" si="2"/>
        <v>0</v>
      </c>
      <c r="Z10" s="948">
        <f>'Kalkulation Herstellungskosten'!AH387</f>
        <v>0</v>
      </c>
      <c r="AA10" s="213">
        <f>'Kalkulation Herstellungskosten'!AI387</f>
        <v>0</v>
      </c>
      <c r="AB10" s="213">
        <f>'Kalkulation Herstellungskosten'!AJ387</f>
        <v>0</v>
      </c>
      <c r="AC10" s="213">
        <f t="shared" si="3"/>
        <v>0</v>
      </c>
      <c r="AD10" s="948">
        <f>'Kalkulation Herstellungskosten'!AL387</f>
        <v>0</v>
      </c>
      <c r="AE10" s="213">
        <f>'Kalkulation Herstellungskosten'!AM387</f>
        <v>0</v>
      </c>
      <c r="AF10" s="213">
        <f>'Kalkulation Herstellungskosten'!AN387</f>
        <v>0</v>
      </c>
      <c r="AG10" s="947">
        <f t="shared" si="4"/>
        <v>0</v>
      </c>
      <c r="AH10" s="213"/>
      <c r="AI10" s="948">
        <f t="shared" si="1"/>
        <v>0</v>
      </c>
      <c r="AJ10" s="213">
        <f t="shared" si="5"/>
        <v>0</v>
      </c>
      <c r="AK10" s="642">
        <f t="shared" si="6"/>
        <v>0</v>
      </c>
      <c r="AL10" s="201"/>
      <c r="AM10" s="1282"/>
      <c r="AN10" s="1282"/>
      <c r="AO10" s="1283" t="s">
        <v>10</v>
      </c>
      <c r="AP10" s="1283" t="s">
        <v>428</v>
      </c>
      <c r="AQ10" s="1282"/>
      <c r="AR10" s="1284"/>
      <c r="AS10" s="1282"/>
      <c r="AT10" s="1288"/>
      <c r="AU10" s="1288"/>
      <c r="AV10" s="1288"/>
      <c r="AW10" s="1288"/>
      <c r="AX10" s="1288"/>
      <c r="AY10" s="1288"/>
      <c r="AZ10" s="1288"/>
      <c r="BA10" s="1286"/>
      <c r="BB10" s="1293"/>
      <c r="BC10" s="1286"/>
      <c r="BD10" s="1286"/>
      <c r="BE10" s="162"/>
      <c r="BF10" s="203"/>
      <c r="BG10" s="203"/>
      <c r="BH10" s="203"/>
      <c r="BI10" s="203"/>
      <c r="BJ10" s="203"/>
      <c r="BK10" s="203"/>
      <c r="BL10" s="203"/>
      <c r="BM10" s="203"/>
      <c r="BN10" s="203"/>
      <c r="BO10" s="203"/>
      <c r="BP10" s="203"/>
      <c r="BQ10" s="203"/>
      <c r="BR10" s="203"/>
    </row>
    <row r="11" spans="1:70" s="8" customFormat="1" ht="15" customHeight="1" x14ac:dyDescent="0.2">
      <c r="A11" s="934" t="s">
        <v>11</v>
      </c>
      <c r="B11" s="496" t="str">
        <f>IF(Stammblatt!$L$4=1,AO11,AP11)</f>
        <v>Schnitt, Synchronisation, Mischung</v>
      </c>
      <c r="C11" s="936"/>
      <c r="D11" s="213">
        <f>ZS_7_Schnitt_Sync_Mischung</f>
        <v>0</v>
      </c>
      <c r="E11" s="937">
        <f>'Kalkulation Herstellungskosten'!L406</f>
        <v>0</v>
      </c>
      <c r="F11" s="938">
        <f>'Kalkulation Herstellungskosten'!M406</f>
        <v>0</v>
      </c>
      <c r="G11" s="939">
        <f>'Kalkulation Herstellungskosten'!O406</f>
        <v>0</v>
      </c>
      <c r="H11" s="940">
        <f>'Kalkulation Herstellungskosten'!P406</f>
        <v>0</v>
      </c>
      <c r="I11" s="941">
        <f>'Kalkulation Herstellungskosten'!Q406</f>
        <v>0</v>
      </c>
      <c r="J11" s="942">
        <f>'Kalkulation Herstellungskosten'!R406</f>
        <v>0</v>
      </c>
      <c r="K11" s="189"/>
      <c r="L11" s="943">
        <f>'Kalkulation Herstellungskosten'!T406</f>
        <v>0</v>
      </c>
      <c r="M11" s="213">
        <f>'Kalkulation Herstellungskosten'!U406</f>
        <v>0</v>
      </c>
      <c r="N11" s="213">
        <f>'Kalkulation Herstellungskosten'!V406</f>
        <v>0</v>
      </c>
      <c r="O11" s="944">
        <f t="shared" si="0"/>
        <v>0</v>
      </c>
      <c r="P11" s="939">
        <f>'Kalkulation Herstellungskosten'!X406</f>
        <v>0</v>
      </c>
      <c r="Q11" s="945">
        <f>'Kalkulation Herstellungskosten'!Y406</f>
        <v>0</v>
      </c>
      <c r="R11" s="941">
        <f>'Kalkulation Herstellungskosten'!Z406</f>
        <v>0</v>
      </c>
      <c r="S11" s="946">
        <f>'Kalkulation Herstellungskosten'!AA406</f>
        <v>0</v>
      </c>
      <c r="T11" s="910"/>
      <c r="U11" s="911"/>
      <c r="V11" s="948">
        <f>'Kalkulation Herstellungskosten'!AD406</f>
        <v>0</v>
      </c>
      <c r="W11" s="213">
        <f>'Kalkulation Herstellungskosten'!AE406</f>
        <v>0</v>
      </c>
      <c r="X11" s="213">
        <f>'Kalkulation Herstellungskosten'!AF406</f>
        <v>0</v>
      </c>
      <c r="Y11" s="213">
        <f t="shared" si="2"/>
        <v>0</v>
      </c>
      <c r="Z11" s="948">
        <f>'Kalkulation Herstellungskosten'!AH406</f>
        <v>0</v>
      </c>
      <c r="AA11" s="213">
        <f>'Kalkulation Herstellungskosten'!AI406</f>
        <v>0</v>
      </c>
      <c r="AB11" s="213">
        <f>'Kalkulation Herstellungskosten'!AJ406</f>
        <v>0</v>
      </c>
      <c r="AC11" s="213">
        <f t="shared" si="3"/>
        <v>0</v>
      </c>
      <c r="AD11" s="948">
        <f>'Kalkulation Herstellungskosten'!AL406</f>
        <v>0</v>
      </c>
      <c r="AE11" s="213">
        <f>'Kalkulation Herstellungskosten'!AM406</f>
        <v>0</v>
      </c>
      <c r="AF11" s="213">
        <f>'Kalkulation Herstellungskosten'!AN406</f>
        <v>0</v>
      </c>
      <c r="AG11" s="947">
        <f t="shared" si="4"/>
        <v>0</v>
      </c>
      <c r="AH11" s="213"/>
      <c r="AI11" s="948">
        <f t="shared" si="1"/>
        <v>0</v>
      </c>
      <c r="AJ11" s="213">
        <f t="shared" si="5"/>
        <v>0</v>
      </c>
      <c r="AK11" s="642">
        <f t="shared" si="6"/>
        <v>0</v>
      </c>
      <c r="AL11" s="201"/>
      <c r="AM11" s="1282"/>
      <c r="AN11" s="1282"/>
      <c r="AO11" s="1283" t="s">
        <v>12</v>
      </c>
      <c r="AP11" s="1283" t="s">
        <v>429</v>
      </c>
      <c r="AQ11" s="1282"/>
      <c r="AR11" s="1284"/>
      <c r="AS11" s="1282"/>
      <c r="AT11" s="1288"/>
      <c r="AU11" s="1288"/>
      <c r="AV11" s="1288"/>
      <c r="AW11" s="1288"/>
      <c r="AX11" s="1288"/>
      <c r="AY11" s="1288"/>
      <c r="AZ11" s="1288"/>
      <c r="BA11" s="1286"/>
      <c r="BB11" s="1286"/>
      <c r="BC11" s="1286"/>
      <c r="BD11" s="1286"/>
      <c r="BE11" s="162"/>
      <c r="BF11" s="203"/>
      <c r="BG11" s="203"/>
      <c r="BH11" s="203"/>
      <c r="BI11" s="203"/>
      <c r="BJ11" s="203"/>
      <c r="BK11" s="203"/>
      <c r="BL11" s="203"/>
      <c r="BM11" s="203"/>
      <c r="BN11" s="203"/>
      <c r="BO11" s="203"/>
      <c r="BP11" s="203"/>
      <c r="BQ11" s="203"/>
      <c r="BR11" s="203"/>
    </row>
    <row r="12" spans="1:70" s="8" customFormat="1" ht="15" customHeight="1" x14ac:dyDescent="0.2">
      <c r="A12" s="934" t="s">
        <v>13</v>
      </c>
      <c r="B12" s="496" t="str">
        <f>IF(Stammblatt!$L$4=1,AO12,AP12)</f>
        <v>Bild, Ton, Bearbeitung</v>
      </c>
      <c r="C12" s="936"/>
      <c r="D12" s="213">
        <f>ZS_8_Bild_Ton_Bearbeitung</f>
        <v>0</v>
      </c>
      <c r="E12" s="937">
        <f>'Kalkulation Herstellungskosten'!L438</f>
        <v>0</v>
      </c>
      <c r="F12" s="938">
        <f>'Kalkulation Herstellungskosten'!M438</f>
        <v>0</v>
      </c>
      <c r="G12" s="939">
        <f>'Kalkulation Herstellungskosten'!O438</f>
        <v>0</v>
      </c>
      <c r="H12" s="940">
        <f>'Kalkulation Herstellungskosten'!P438</f>
        <v>0</v>
      </c>
      <c r="I12" s="941">
        <f>'Kalkulation Herstellungskosten'!Q438</f>
        <v>0</v>
      </c>
      <c r="J12" s="942">
        <f>'Kalkulation Herstellungskosten'!R438</f>
        <v>0</v>
      </c>
      <c r="K12" s="189"/>
      <c r="L12" s="943">
        <f>'Kalkulation Herstellungskosten'!T438</f>
        <v>0</v>
      </c>
      <c r="M12" s="213">
        <f>'Kalkulation Herstellungskosten'!U438</f>
        <v>0</v>
      </c>
      <c r="N12" s="213">
        <f>'Kalkulation Herstellungskosten'!V438</f>
        <v>0</v>
      </c>
      <c r="O12" s="944">
        <f t="shared" si="0"/>
        <v>0</v>
      </c>
      <c r="P12" s="939">
        <f>'Kalkulation Herstellungskosten'!X438</f>
        <v>0</v>
      </c>
      <c r="Q12" s="945">
        <f>'Kalkulation Herstellungskosten'!Y438</f>
        <v>0</v>
      </c>
      <c r="R12" s="941">
        <f>'Kalkulation Herstellungskosten'!Z438</f>
        <v>0</v>
      </c>
      <c r="S12" s="946">
        <f>'Kalkulation Herstellungskosten'!AA438</f>
        <v>0</v>
      </c>
      <c r="T12" s="910"/>
      <c r="U12" s="911"/>
      <c r="V12" s="948">
        <f>'Kalkulation Herstellungskosten'!AD438</f>
        <v>0</v>
      </c>
      <c r="W12" s="213">
        <f>'Kalkulation Herstellungskosten'!AE438</f>
        <v>0</v>
      </c>
      <c r="X12" s="213">
        <f>'Kalkulation Herstellungskosten'!AF438</f>
        <v>0</v>
      </c>
      <c r="Y12" s="213">
        <f t="shared" si="2"/>
        <v>0</v>
      </c>
      <c r="Z12" s="948">
        <f>'Kalkulation Herstellungskosten'!AH438</f>
        <v>0</v>
      </c>
      <c r="AA12" s="213">
        <f>'Kalkulation Herstellungskosten'!AI438</f>
        <v>0</v>
      </c>
      <c r="AB12" s="213">
        <f>'Kalkulation Herstellungskosten'!AJ438</f>
        <v>0</v>
      </c>
      <c r="AC12" s="213">
        <f t="shared" si="3"/>
        <v>0</v>
      </c>
      <c r="AD12" s="948">
        <f>'Kalkulation Herstellungskosten'!AL438</f>
        <v>0</v>
      </c>
      <c r="AE12" s="213">
        <f>'Kalkulation Herstellungskosten'!AM438</f>
        <v>0</v>
      </c>
      <c r="AF12" s="213">
        <f>'Kalkulation Herstellungskosten'!AN438</f>
        <v>0</v>
      </c>
      <c r="AG12" s="947">
        <f t="shared" si="4"/>
        <v>0</v>
      </c>
      <c r="AH12" s="213"/>
      <c r="AI12" s="948">
        <f t="shared" si="1"/>
        <v>0</v>
      </c>
      <c r="AJ12" s="213">
        <f t="shared" si="5"/>
        <v>0</v>
      </c>
      <c r="AK12" s="642">
        <f t="shared" si="6"/>
        <v>0</v>
      </c>
      <c r="AL12" s="201"/>
      <c r="AM12" s="1282"/>
      <c r="AN12" s="1282"/>
      <c r="AO12" s="1283" t="s">
        <v>14</v>
      </c>
      <c r="AP12" s="1283" t="s">
        <v>267</v>
      </c>
      <c r="AQ12" s="1282"/>
      <c r="AR12" s="1284"/>
      <c r="AS12" s="1282"/>
      <c r="AT12" s="1288"/>
      <c r="AU12" s="1288"/>
      <c r="AV12" s="1288"/>
      <c r="AW12" s="1288"/>
      <c r="AX12" s="1288"/>
      <c r="AY12" s="1288"/>
      <c r="AZ12" s="1288"/>
      <c r="BA12" s="1286"/>
      <c r="BB12" s="1286"/>
      <c r="BC12" s="1286"/>
      <c r="BD12" s="1286"/>
      <c r="BE12" s="162"/>
      <c r="BF12" s="203"/>
      <c r="BG12" s="203"/>
      <c r="BH12" s="203"/>
      <c r="BI12" s="203"/>
      <c r="BJ12" s="203"/>
      <c r="BK12" s="203"/>
      <c r="BL12" s="203"/>
      <c r="BM12" s="203"/>
      <c r="BN12" s="203"/>
      <c r="BO12" s="203"/>
      <c r="BP12" s="203"/>
      <c r="BQ12" s="203"/>
      <c r="BR12" s="203"/>
    </row>
    <row r="13" spans="1:70" s="8" customFormat="1" ht="15" customHeight="1" x14ac:dyDescent="0.2">
      <c r="A13" s="934" t="s">
        <v>15</v>
      </c>
      <c r="B13" s="496" t="str">
        <f>IF(Stammblatt!$L$4=1,AO13,AP13)</f>
        <v>Versicherungen</v>
      </c>
      <c r="C13" s="936"/>
      <c r="D13" s="213">
        <f>ZS_9_Versicherungen</f>
        <v>0</v>
      </c>
      <c r="E13" s="937">
        <f>'Kalkulation Herstellungskosten'!L451</f>
        <v>0</v>
      </c>
      <c r="F13" s="938">
        <f>'Kalkulation Herstellungskosten'!M451</f>
        <v>0</v>
      </c>
      <c r="G13" s="939">
        <f>'Kalkulation Herstellungskosten'!O451</f>
        <v>0</v>
      </c>
      <c r="H13" s="940">
        <f>'Kalkulation Herstellungskosten'!P451</f>
        <v>0</v>
      </c>
      <c r="I13" s="941">
        <f>'Kalkulation Herstellungskosten'!Q451</f>
        <v>0</v>
      </c>
      <c r="J13" s="942">
        <f>'Kalkulation Herstellungskosten'!R451</f>
        <v>0</v>
      </c>
      <c r="K13" s="189"/>
      <c r="L13" s="943">
        <f>'Kalkulation Herstellungskosten'!T451</f>
        <v>0</v>
      </c>
      <c r="M13" s="213">
        <f>'Kalkulation Herstellungskosten'!U451</f>
        <v>0</v>
      </c>
      <c r="N13" s="213">
        <f>'Kalkulation Herstellungskosten'!V451</f>
        <v>0</v>
      </c>
      <c r="O13" s="944">
        <f t="shared" si="0"/>
        <v>0</v>
      </c>
      <c r="P13" s="939">
        <f>'Kalkulation Herstellungskosten'!X451</f>
        <v>0</v>
      </c>
      <c r="Q13" s="945">
        <f>'Kalkulation Herstellungskosten'!Y451</f>
        <v>0</v>
      </c>
      <c r="R13" s="941">
        <f>'Kalkulation Herstellungskosten'!Z451</f>
        <v>0</v>
      </c>
      <c r="S13" s="946">
        <f>'Kalkulation Herstellungskosten'!AA451</f>
        <v>0</v>
      </c>
      <c r="T13" s="910"/>
      <c r="U13" s="911"/>
      <c r="V13" s="948">
        <f>'Kalkulation Herstellungskosten'!AD451</f>
        <v>0</v>
      </c>
      <c r="W13" s="213">
        <f>'Kalkulation Herstellungskosten'!AE451</f>
        <v>0</v>
      </c>
      <c r="X13" s="213">
        <f>'Kalkulation Herstellungskosten'!AF451</f>
        <v>0</v>
      </c>
      <c r="Y13" s="213">
        <f t="shared" si="2"/>
        <v>0</v>
      </c>
      <c r="Z13" s="948">
        <f>'Kalkulation Herstellungskosten'!AH451</f>
        <v>0</v>
      </c>
      <c r="AA13" s="213">
        <f>'Kalkulation Herstellungskosten'!AI451</f>
        <v>0</v>
      </c>
      <c r="AB13" s="213">
        <f>'Kalkulation Herstellungskosten'!AJ451</f>
        <v>0</v>
      </c>
      <c r="AC13" s="213">
        <f t="shared" si="3"/>
        <v>0</v>
      </c>
      <c r="AD13" s="948">
        <f>'Kalkulation Herstellungskosten'!AL451</f>
        <v>0</v>
      </c>
      <c r="AE13" s="213">
        <f>'Kalkulation Herstellungskosten'!AM451</f>
        <v>0</v>
      </c>
      <c r="AF13" s="213">
        <f>'Kalkulation Herstellungskosten'!AN451</f>
        <v>0</v>
      </c>
      <c r="AG13" s="947">
        <f t="shared" si="4"/>
        <v>0</v>
      </c>
      <c r="AH13" s="213"/>
      <c r="AI13" s="948">
        <f t="shared" si="1"/>
        <v>0</v>
      </c>
      <c r="AJ13" s="213">
        <f t="shared" si="5"/>
        <v>0</v>
      </c>
      <c r="AK13" s="642">
        <f t="shared" si="6"/>
        <v>0</v>
      </c>
      <c r="AL13" s="201"/>
      <c r="AM13" s="1282"/>
      <c r="AN13" s="1282"/>
      <c r="AO13" s="1283" t="s">
        <v>16</v>
      </c>
      <c r="AP13" s="1283" t="s">
        <v>268</v>
      </c>
      <c r="AQ13" s="1282"/>
      <c r="AR13" s="1284"/>
      <c r="AS13" s="1282"/>
      <c r="AT13" s="1288"/>
      <c r="AU13" s="1288"/>
      <c r="AV13" s="1288"/>
      <c r="AW13" s="1288"/>
      <c r="AX13" s="1288"/>
      <c r="AY13" s="1288"/>
      <c r="AZ13" s="1288"/>
      <c r="BA13" s="1286"/>
      <c r="BB13" s="1286"/>
      <c r="BC13" s="1286"/>
      <c r="BD13" s="1286"/>
      <c r="BE13" s="162"/>
      <c r="BF13" s="203"/>
      <c r="BG13" s="203"/>
      <c r="BH13" s="203"/>
      <c r="BI13" s="203"/>
      <c r="BJ13" s="203"/>
      <c r="BK13" s="203"/>
      <c r="BL13" s="203"/>
      <c r="BM13" s="203"/>
      <c r="BN13" s="203"/>
      <c r="BO13" s="203"/>
      <c r="BP13" s="203"/>
      <c r="BQ13" s="203"/>
      <c r="BR13" s="203"/>
    </row>
    <row r="14" spans="1:70" s="8" customFormat="1" ht="15" customHeight="1" x14ac:dyDescent="0.2">
      <c r="A14" s="934" t="s">
        <v>17</v>
      </c>
      <c r="B14" s="496" t="str">
        <f>IF(Stammblatt!$L$4=1,AO14,AP14)</f>
        <v>Reise-, Beförderungs- und Transportkosten</v>
      </c>
      <c r="C14" s="936"/>
      <c r="D14" s="213">
        <f>ZS_10_Reisekosten</f>
        <v>0</v>
      </c>
      <c r="E14" s="937">
        <f>'Kalkulation Herstellungskosten'!L459</f>
        <v>0</v>
      </c>
      <c r="F14" s="938">
        <f>'Kalkulation Herstellungskosten'!M459</f>
        <v>0</v>
      </c>
      <c r="G14" s="939">
        <f>'Kalkulation Herstellungskosten'!O459</f>
        <v>0</v>
      </c>
      <c r="H14" s="940">
        <f>'Kalkulation Herstellungskosten'!P459</f>
        <v>0</v>
      </c>
      <c r="I14" s="941">
        <f>'Kalkulation Herstellungskosten'!Q459</f>
        <v>0</v>
      </c>
      <c r="J14" s="942">
        <f>'Kalkulation Herstellungskosten'!R459</f>
        <v>0</v>
      </c>
      <c r="K14" s="189"/>
      <c r="L14" s="943">
        <f>'Kalkulation Herstellungskosten'!T459</f>
        <v>0</v>
      </c>
      <c r="M14" s="213">
        <f>'Kalkulation Herstellungskosten'!U459</f>
        <v>0</v>
      </c>
      <c r="N14" s="213">
        <f>'Kalkulation Herstellungskosten'!V459</f>
        <v>0</v>
      </c>
      <c r="O14" s="944">
        <f t="shared" si="0"/>
        <v>0</v>
      </c>
      <c r="P14" s="939">
        <f>'Kalkulation Herstellungskosten'!X459</f>
        <v>0</v>
      </c>
      <c r="Q14" s="945">
        <f>'Kalkulation Herstellungskosten'!Y459</f>
        <v>0</v>
      </c>
      <c r="R14" s="941">
        <f>'Kalkulation Herstellungskosten'!Z459</f>
        <v>0</v>
      </c>
      <c r="S14" s="946">
        <f>'Kalkulation Herstellungskosten'!AA459</f>
        <v>0</v>
      </c>
      <c r="T14" s="910"/>
      <c r="U14" s="911"/>
      <c r="V14" s="948">
        <f>'Kalkulation Herstellungskosten'!AD459</f>
        <v>0</v>
      </c>
      <c r="W14" s="213">
        <f>'Kalkulation Herstellungskosten'!AE459</f>
        <v>0</v>
      </c>
      <c r="X14" s="213">
        <f>'Kalkulation Herstellungskosten'!AF459</f>
        <v>0</v>
      </c>
      <c r="Y14" s="213">
        <f t="shared" si="2"/>
        <v>0</v>
      </c>
      <c r="Z14" s="948">
        <f>'Kalkulation Herstellungskosten'!AH459</f>
        <v>0</v>
      </c>
      <c r="AA14" s="213">
        <f>'Kalkulation Herstellungskosten'!AI459</f>
        <v>0</v>
      </c>
      <c r="AB14" s="213">
        <f>'Kalkulation Herstellungskosten'!AJ459</f>
        <v>0</v>
      </c>
      <c r="AC14" s="213">
        <f t="shared" si="3"/>
        <v>0</v>
      </c>
      <c r="AD14" s="948">
        <f>'Kalkulation Herstellungskosten'!AL459</f>
        <v>0</v>
      </c>
      <c r="AE14" s="213">
        <f>'Kalkulation Herstellungskosten'!AM459</f>
        <v>0</v>
      </c>
      <c r="AF14" s="213">
        <f>'Kalkulation Herstellungskosten'!AN459</f>
        <v>0</v>
      </c>
      <c r="AG14" s="947">
        <f t="shared" si="4"/>
        <v>0</v>
      </c>
      <c r="AH14" s="213"/>
      <c r="AI14" s="948">
        <f t="shared" si="1"/>
        <v>0</v>
      </c>
      <c r="AJ14" s="213">
        <f t="shared" si="5"/>
        <v>0</v>
      </c>
      <c r="AK14" s="642">
        <f t="shared" si="6"/>
        <v>0</v>
      </c>
      <c r="AL14" s="201"/>
      <c r="AM14" s="1282"/>
      <c r="AN14" s="1282"/>
      <c r="AO14" s="1283" t="s">
        <v>18</v>
      </c>
      <c r="AP14" s="1283" t="s">
        <v>434</v>
      </c>
      <c r="AQ14" s="1282"/>
      <c r="AR14" s="1284"/>
      <c r="AS14" s="1282"/>
      <c r="AT14" s="1288"/>
      <c r="AU14" s="1288"/>
      <c r="AV14" s="1288"/>
      <c r="AW14" s="1288"/>
      <c r="AX14" s="1288"/>
      <c r="AY14" s="1288"/>
      <c r="AZ14" s="1288"/>
      <c r="BA14" s="1286"/>
      <c r="BB14" s="1286"/>
      <c r="BC14" s="1286"/>
      <c r="BD14" s="1286"/>
      <c r="BE14" s="162"/>
      <c r="BF14" s="203"/>
      <c r="BG14" s="203"/>
      <c r="BH14" s="203"/>
      <c r="BI14" s="203"/>
      <c r="BJ14" s="203"/>
      <c r="BK14" s="203"/>
      <c r="BL14" s="203"/>
      <c r="BM14" s="203"/>
      <c r="BN14" s="203"/>
      <c r="BO14" s="203"/>
      <c r="BP14" s="203"/>
      <c r="BQ14" s="203"/>
      <c r="BR14" s="203"/>
    </row>
    <row r="15" spans="1:70" s="8" customFormat="1" ht="15" customHeight="1" x14ac:dyDescent="0.2">
      <c r="A15" s="934" t="s">
        <v>19</v>
      </c>
      <c r="B15" s="496" t="str">
        <f>IF(Stammblatt!$L$4=1,AO15,AP15)</f>
        <v>Allgemeine Kosten</v>
      </c>
      <c r="C15" s="936"/>
      <c r="D15" s="213">
        <f>ZS_11_Allgemeine_Kosten</f>
        <v>0</v>
      </c>
      <c r="E15" s="937">
        <f>'Kalkulation Herstellungskosten'!L476</f>
        <v>0</v>
      </c>
      <c r="F15" s="938">
        <f>'Kalkulation Herstellungskosten'!M476</f>
        <v>0</v>
      </c>
      <c r="G15" s="939">
        <f>'Kalkulation Herstellungskosten'!O476</f>
        <v>0</v>
      </c>
      <c r="H15" s="940">
        <f>'Kalkulation Herstellungskosten'!P476</f>
        <v>0</v>
      </c>
      <c r="I15" s="941">
        <f>'Kalkulation Herstellungskosten'!Q476</f>
        <v>0</v>
      </c>
      <c r="J15" s="942">
        <f>'Kalkulation Herstellungskosten'!R476</f>
        <v>0</v>
      </c>
      <c r="K15" s="189"/>
      <c r="L15" s="943">
        <f>'Kalkulation Herstellungskosten'!T476</f>
        <v>0</v>
      </c>
      <c r="M15" s="213">
        <f>'Kalkulation Herstellungskosten'!U476</f>
        <v>0</v>
      </c>
      <c r="N15" s="213">
        <f>'Kalkulation Herstellungskosten'!V476</f>
        <v>0</v>
      </c>
      <c r="O15" s="944">
        <f t="shared" si="0"/>
        <v>0</v>
      </c>
      <c r="P15" s="939">
        <f>'Kalkulation Herstellungskosten'!X476</f>
        <v>0</v>
      </c>
      <c r="Q15" s="945">
        <f>'Kalkulation Herstellungskosten'!Y476</f>
        <v>0</v>
      </c>
      <c r="R15" s="941">
        <f>'Kalkulation Herstellungskosten'!Z476</f>
        <v>0</v>
      </c>
      <c r="S15" s="946">
        <f>'Kalkulation Herstellungskosten'!AA476</f>
        <v>0</v>
      </c>
      <c r="T15" s="910"/>
      <c r="U15" s="911"/>
      <c r="V15" s="948">
        <f>'Kalkulation Herstellungskosten'!AD476</f>
        <v>0</v>
      </c>
      <c r="W15" s="213">
        <f>'Kalkulation Herstellungskosten'!AE476</f>
        <v>0</v>
      </c>
      <c r="X15" s="213">
        <f>'Kalkulation Herstellungskosten'!AF476</f>
        <v>0</v>
      </c>
      <c r="Y15" s="213">
        <f t="shared" si="2"/>
        <v>0</v>
      </c>
      <c r="Z15" s="948">
        <f>'Kalkulation Herstellungskosten'!AH476</f>
        <v>0</v>
      </c>
      <c r="AA15" s="213">
        <f>'Kalkulation Herstellungskosten'!AI476</f>
        <v>0</v>
      </c>
      <c r="AB15" s="213">
        <f>'Kalkulation Herstellungskosten'!AJ476</f>
        <v>0</v>
      </c>
      <c r="AC15" s="213">
        <f t="shared" si="3"/>
        <v>0</v>
      </c>
      <c r="AD15" s="948">
        <f>'Kalkulation Herstellungskosten'!AL476</f>
        <v>0</v>
      </c>
      <c r="AE15" s="213">
        <f>'Kalkulation Herstellungskosten'!AM476</f>
        <v>0</v>
      </c>
      <c r="AF15" s="213">
        <f>'Kalkulation Herstellungskosten'!AN476</f>
        <v>0</v>
      </c>
      <c r="AG15" s="947">
        <f t="shared" si="4"/>
        <v>0</v>
      </c>
      <c r="AH15" s="213"/>
      <c r="AI15" s="948">
        <f t="shared" si="1"/>
        <v>0</v>
      </c>
      <c r="AJ15" s="213">
        <f t="shared" si="5"/>
        <v>0</v>
      </c>
      <c r="AK15" s="642">
        <f t="shared" si="6"/>
        <v>0</v>
      </c>
      <c r="AL15" s="201"/>
      <c r="AM15" s="1282"/>
      <c r="AN15" s="1282"/>
      <c r="AO15" s="1283" t="s">
        <v>20</v>
      </c>
      <c r="AP15" s="1283" t="s">
        <v>437</v>
      </c>
      <c r="AQ15" s="1282"/>
      <c r="AR15" s="1284"/>
      <c r="AS15" s="1282"/>
      <c r="AT15" s="1288"/>
      <c r="AU15" s="1288"/>
      <c r="AV15" s="1288"/>
      <c r="AW15" s="1288"/>
      <c r="AX15" s="1288"/>
      <c r="AY15" s="1288"/>
      <c r="AZ15" s="1288"/>
      <c r="BA15" s="1286"/>
      <c r="BB15" s="1286"/>
      <c r="BC15" s="1286"/>
      <c r="BD15" s="1286"/>
      <c r="BE15" s="162"/>
      <c r="BF15" s="203"/>
      <c r="BG15" s="203"/>
      <c r="BH15" s="203"/>
      <c r="BI15" s="203"/>
      <c r="BJ15" s="203"/>
      <c r="BK15" s="203"/>
      <c r="BL15" s="203"/>
      <c r="BM15" s="203"/>
      <c r="BN15" s="203"/>
      <c r="BO15" s="203"/>
      <c r="BP15" s="203"/>
      <c r="BQ15" s="203"/>
      <c r="BR15" s="203"/>
    </row>
    <row r="16" spans="1:70" s="8" customFormat="1" ht="15" customHeight="1" thickBot="1" x14ac:dyDescent="0.25">
      <c r="A16" s="934" t="s">
        <v>21</v>
      </c>
      <c r="B16" s="496" t="str">
        <f>IF(Stammblatt!$L$4=1,AO16,AP16)</f>
        <v>Kostenmindernde Erträge</v>
      </c>
      <c r="C16" s="936"/>
      <c r="D16" s="950">
        <f>ZS_12_Kostenmindernde_Erträge</f>
        <v>0</v>
      </c>
      <c r="E16" s="951">
        <f>'Kalkulation Herstellungskosten'!L486</f>
        <v>0</v>
      </c>
      <c r="F16" s="952">
        <f>'Kalkulation Herstellungskosten'!M486</f>
        <v>0</v>
      </c>
      <c r="G16" s="953">
        <f>'Kalkulation Herstellungskosten'!O486</f>
        <v>0</v>
      </c>
      <c r="H16" s="940">
        <f>'Kalkulation Herstellungskosten'!P486</f>
        <v>0</v>
      </c>
      <c r="I16" s="941">
        <f>'Kalkulation Herstellungskosten'!Q486</f>
        <v>0</v>
      </c>
      <c r="J16" s="942">
        <f>'Kalkulation Herstellungskosten'!R486</f>
        <v>0</v>
      </c>
      <c r="K16" s="189"/>
      <c r="L16" s="943">
        <f>'Kalkulation Herstellungskosten'!T486</f>
        <v>0</v>
      </c>
      <c r="M16" s="213">
        <f>'Kalkulation Herstellungskosten'!U486</f>
        <v>0</v>
      </c>
      <c r="N16" s="213">
        <f>'Kalkulation Herstellungskosten'!V486</f>
        <v>0</v>
      </c>
      <c r="O16" s="944">
        <f t="shared" si="0"/>
        <v>0</v>
      </c>
      <c r="P16" s="953">
        <f>'Kalkulation Herstellungskosten'!X486</f>
        <v>0</v>
      </c>
      <c r="Q16" s="954">
        <f>'Kalkulation Herstellungskosten'!Y486</f>
        <v>0</v>
      </c>
      <c r="R16" s="941">
        <f>'Kalkulation Herstellungskosten'!Z486</f>
        <v>0</v>
      </c>
      <c r="S16" s="955">
        <f>'Kalkulation Herstellungskosten'!AA486</f>
        <v>0</v>
      </c>
      <c r="T16" s="910"/>
      <c r="U16" s="911"/>
      <c r="V16" s="994">
        <f>'Kalkulation Herstellungskosten'!AD486</f>
        <v>0</v>
      </c>
      <c r="W16" s="950">
        <f>'Kalkulation Herstellungskosten'!AE486</f>
        <v>0</v>
      </c>
      <c r="X16" s="950">
        <f>'Kalkulation Herstellungskosten'!AF486</f>
        <v>0</v>
      </c>
      <c r="Y16" s="213">
        <f t="shared" si="2"/>
        <v>0</v>
      </c>
      <c r="Z16" s="994">
        <f>'Kalkulation Herstellungskosten'!AH486</f>
        <v>0</v>
      </c>
      <c r="AA16" s="950">
        <f>'Kalkulation Herstellungskosten'!AI486</f>
        <v>0</v>
      </c>
      <c r="AB16" s="950">
        <f>'Kalkulation Herstellungskosten'!AJ486</f>
        <v>0</v>
      </c>
      <c r="AC16" s="213">
        <f t="shared" si="3"/>
        <v>0</v>
      </c>
      <c r="AD16" s="994">
        <f>'Kalkulation Herstellungskosten'!AL486</f>
        <v>0</v>
      </c>
      <c r="AE16" s="950">
        <f>'Kalkulation Herstellungskosten'!AM486</f>
        <v>0</v>
      </c>
      <c r="AF16" s="950">
        <f>'Kalkulation Herstellungskosten'!AN486</f>
        <v>0</v>
      </c>
      <c r="AG16" s="947">
        <f t="shared" si="4"/>
        <v>0</v>
      </c>
      <c r="AH16" s="950"/>
      <c r="AI16" s="948">
        <f t="shared" si="1"/>
        <v>0</v>
      </c>
      <c r="AJ16" s="213">
        <f t="shared" si="5"/>
        <v>0</v>
      </c>
      <c r="AK16" s="642">
        <f t="shared" si="6"/>
        <v>0</v>
      </c>
      <c r="AL16" s="201"/>
      <c r="AM16" s="1282"/>
      <c r="AN16" s="1282"/>
      <c r="AO16" s="1283" t="s">
        <v>22</v>
      </c>
      <c r="AP16" s="1283" t="s">
        <v>420</v>
      </c>
      <c r="AQ16" s="1282"/>
      <c r="AR16" s="1284"/>
      <c r="AS16" s="1282"/>
      <c r="AT16" s="1288"/>
      <c r="AU16" s="1288"/>
      <c r="AV16" s="1288"/>
      <c r="AW16" s="1288"/>
      <c r="AX16" s="1288"/>
      <c r="AY16" s="1288"/>
      <c r="AZ16" s="1288"/>
      <c r="BA16" s="1286"/>
      <c r="BB16" s="1286"/>
      <c r="BC16" s="1286"/>
      <c r="BD16" s="1286"/>
      <c r="BE16" s="162"/>
      <c r="BF16" s="203"/>
      <c r="BG16" s="203"/>
      <c r="BH16" s="203"/>
      <c r="BI16" s="203"/>
      <c r="BJ16" s="203"/>
      <c r="BK16" s="203"/>
      <c r="BL16" s="203"/>
      <c r="BM16" s="203"/>
      <c r="BN16" s="203"/>
      <c r="BO16" s="203"/>
      <c r="BP16" s="203"/>
      <c r="BQ16" s="203"/>
      <c r="BR16" s="203"/>
    </row>
    <row r="17" spans="1:70" s="8" customFormat="1" ht="21" customHeight="1" thickBot="1" x14ac:dyDescent="0.25">
      <c r="A17" s="956" t="s">
        <v>23</v>
      </c>
      <c r="B17" s="957" t="str">
        <f>IF(Stammblatt!$L$4=1,AO17,AP17)</f>
        <v>Fertigungskosten</v>
      </c>
      <c r="C17" s="958"/>
      <c r="D17" s="1264">
        <f ca="1">SUM(D5:D16)</f>
        <v>0</v>
      </c>
      <c r="E17" s="959">
        <f ca="1">SUM(E5:E16)</f>
        <v>0</v>
      </c>
      <c r="F17" s="960">
        <f ca="1">SUM(F5:F16)</f>
        <v>0</v>
      </c>
      <c r="G17" s="110">
        <f t="shared" ref="G17:N17" si="7">SUM(G5:G16)</f>
        <v>0</v>
      </c>
      <c r="H17" s="110">
        <f>SUM(H5:H16)</f>
        <v>0</v>
      </c>
      <c r="I17" s="110">
        <f t="shared" si="7"/>
        <v>0</v>
      </c>
      <c r="J17" s="110">
        <f t="shared" si="7"/>
        <v>0</v>
      </c>
      <c r="K17" s="189"/>
      <c r="L17" s="961">
        <f t="shared" si="7"/>
        <v>0</v>
      </c>
      <c r="M17" s="110">
        <f t="shared" si="7"/>
        <v>0</v>
      </c>
      <c r="N17" s="110">
        <f t="shared" si="7"/>
        <v>0</v>
      </c>
      <c r="O17" s="962">
        <f ca="1">NFK-N17</f>
        <v>0</v>
      </c>
      <c r="P17" s="110">
        <f>SUM(P5:P16)</f>
        <v>0</v>
      </c>
      <c r="Q17" s="963">
        <f>SUM(Q5:Q16)</f>
        <v>0</v>
      </c>
      <c r="R17" s="110">
        <f t="shared" ref="R17:S17" si="8">SUM(R5:R16)</f>
        <v>0</v>
      </c>
      <c r="S17" s="963">
        <f t="shared" si="8"/>
        <v>0</v>
      </c>
      <c r="T17" s="910"/>
      <c r="U17" s="911"/>
      <c r="V17" s="965">
        <f t="shared" ref="V17:AJ17" si="9">SUM(V5:V16)</f>
        <v>0</v>
      </c>
      <c r="W17" s="110">
        <f t="shared" si="9"/>
        <v>0</v>
      </c>
      <c r="X17" s="110">
        <f t="shared" si="9"/>
        <v>0</v>
      </c>
      <c r="Y17" s="110">
        <f t="shared" si="9"/>
        <v>0</v>
      </c>
      <c r="Z17" s="965">
        <f t="shared" si="9"/>
        <v>0</v>
      </c>
      <c r="AA17" s="110">
        <f t="shared" si="9"/>
        <v>0</v>
      </c>
      <c r="AB17" s="110">
        <f t="shared" si="9"/>
        <v>0</v>
      </c>
      <c r="AC17" s="110">
        <f t="shared" si="9"/>
        <v>0</v>
      </c>
      <c r="AD17" s="965">
        <f t="shared" si="9"/>
        <v>0</v>
      </c>
      <c r="AE17" s="110">
        <f t="shared" si="9"/>
        <v>0</v>
      </c>
      <c r="AF17" s="110">
        <f t="shared" si="9"/>
        <v>0</v>
      </c>
      <c r="AG17" s="964">
        <f t="shared" si="9"/>
        <v>0</v>
      </c>
      <c r="AH17" s="110"/>
      <c r="AI17" s="965">
        <f ca="1">SUM(AI5:AI16)</f>
        <v>0</v>
      </c>
      <c r="AJ17" s="110">
        <f t="shared" si="9"/>
        <v>0</v>
      </c>
      <c r="AK17" s="966">
        <f ca="1">NFK_ges-AJ17</f>
        <v>0</v>
      </c>
      <c r="AL17" s="201"/>
      <c r="AM17" s="1282"/>
      <c r="AN17" s="1282"/>
      <c r="AO17" s="1283" t="s">
        <v>250</v>
      </c>
      <c r="AP17" s="1283" t="s">
        <v>273</v>
      </c>
      <c r="AQ17" s="1282"/>
      <c r="AR17" s="1284"/>
      <c r="AS17" s="1282"/>
      <c r="AT17" s="1288"/>
      <c r="AU17" s="1288"/>
      <c r="AV17" s="1288"/>
      <c r="AW17" s="1288"/>
      <c r="AX17" s="1288"/>
      <c r="AY17" s="1288"/>
      <c r="AZ17" s="1288"/>
      <c r="BA17" s="1286"/>
      <c r="BB17" s="1286"/>
      <c r="BC17" s="1286"/>
      <c r="BD17" s="1286"/>
      <c r="BE17" s="162"/>
      <c r="BF17" s="203"/>
      <c r="BG17" s="203"/>
      <c r="BH17" s="203"/>
      <c r="BI17" s="203"/>
      <c r="BJ17" s="203"/>
      <c r="BK17" s="203"/>
      <c r="BL17" s="203"/>
      <c r="BM17" s="203"/>
      <c r="BN17" s="203"/>
      <c r="BO17" s="203"/>
      <c r="BP17" s="203"/>
      <c r="BQ17" s="203"/>
      <c r="BR17" s="203"/>
    </row>
    <row r="18" spans="1:70" s="8" customFormat="1" ht="15" customHeight="1" x14ac:dyDescent="0.2">
      <c r="A18" s="934" t="s">
        <v>24</v>
      </c>
      <c r="B18" s="496" t="str">
        <f>IF(Stammblatt!$L$4=1,AO18,AP18)</f>
        <v>Fertigungsgemeinkosten</v>
      </c>
      <c r="C18" s="936"/>
      <c r="D18" s="213">
        <f ca="1">IF(Stammblatt!I10=TRUE,NFK*7.5%,FGK)</f>
        <v>0</v>
      </c>
      <c r="E18" s="219" t="str">
        <f ca="1">IF(E17=0,"",E17/(E17+F17))</f>
        <v/>
      </c>
      <c r="F18" s="220" t="str">
        <f ca="1">IF(F17=0,"",F17/(E17+F17))</f>
        <v/>
      </c>
      <c r="G18" s="142">
        <v>0</v>
      </c>
      <c r="H18" s="142">
        <v>0</v>
      </c>
      <c r="I18" s="142"/>
      <c r="J18" s="142"/>
      <c r="K18" s="189"/>
      <c r="L18" s="143">
        <v>0</v>
      </c>
      <c r="M18" s="142">
        <v>0</v>
      </c>
      <c r="N18" s="213">
        <f>SUM(L18:M18)</f>
        <v>0</v>
      </c>
      <c r="O18" s="213">
        <f ca="1">D18-N18</f>
        <v>0</v>
      </c>
      <c r="P18" s="991">
        <v>0</v>
      </c>
      <c r="Q18" s="992">
        <v>0</v>
      </c>
      <c r="R18" s="991"/>
      <c r="S18" s="992"/>
      <c r="T18" s="910"/>
      <c r="U18" s="911"/>
      <c r="V18" s="995"/>
      <c r="W18" s="142"/>
      <c r="X18" s="142"/>
      <c r="Y18" s="142"/>
      <c r="Z18" s="995"/>
      <c r="AA18" s="142"/>
      <c r="AB18" s="142"/>
      <c r="AC18" s="142"/>
      <c r="AD18" s="995"/>
      <c r="AE18" s="142"/>
      <c r="AF18" s="142"/>
      <c r="AG18" s="838"/>
      <c r="AH18" s="213"/>
      <c r="AI18" s="948">
        <f t="shared" ca="1" si="1"/>
        <v>0</v>
      </c>
      <c r="AJ18" s="213">
        <f t="shared" si="5"/>
        <v>0</v>
      </c>
      <c r="AK18" s="642">
        <f t="shared" ca="1" si="6"/>
        <v>0</v>
      </c>
      <c r="AL18" s="201"/>
      <c r="AM18" s="1282"/>
      <c r="AN18" s="1282"/>
      <c r="AO18" s="1283" t="s">
        <v>25</v>
      </c>
      <c r="AP18" s="1283" t="s">
        <v>270</v>
      </c>
      <c r="AQ18" s="1282"/>
      <c r="AR18" s="1284"/>
      <c r="AS18" s="1282"/>
      <c r="AT18" s="1288"/>
      <c r="AU18" s="1288"/>
      <c r="AV18" s="1288"/>
      <c r="AW18" s="1288"/>
      <c r="AX18" s="1288"/>
      <c r="AY18" s="1288"/>
      <c r="AZ18" s="1288"/>
      <c r="BA18" s="1286"/>
      <c r="BB18" s="1286"/>
      <c r="BC18" s="1286"/>
      <c r="BD18" s="1286"/>
      <c r="BE18" s="162"/>
      <c r="BF18" s="203"/>
      <c r="BG18" s="203"/>
      <c r="BH18" s="203"/>
      <c r="BI18" s="203"/>
      <c r="BJ18" s="203"/>
      <c r="BK18" s="203"/>
      <c r="BL18" s="203"/>
      <c r="BM18" s="203"/>
      <c r="BN18" s="203"/>
      <c r="BO18" s="203"/>
      <c r="BP18" s="203"/>
      <c r="BQ18" s="203"/>
      <c r="BR18" s="203"/>
    </row>
    <row r="19" spans="1:70" s="8" customFormat="1" ht="15" customHeight="1" thickBot="1" x14ac:dyDescent="0.25">
      <c r="A19" s="934" t="s">
        <v>26</v>
      </c>
      <c r="B19" s="496" t="str">
        <f>IF(Stammblatt!$L$4=1,AO19,AP19)</f>
        <v>Fertigstellungsversicherung (Completion Bond)</v>
      </c>
      <c r="C19" s="967"/>
      <c r="D19" s="142"/>
      <c r="E19" s="1390" t="str">
        <f ca="1">IF(OR(E17=0,F17=0),"",(E17+F17)/NFK)</f>
        <v/>
      </c>
      <c r="F19" s="1391"/>
      <c r="G19" s="142">
        <v>0</v>
      </c>
      <c r="H19" s="142">
        <v>0</v>
      </c>
      <c r="I19" s="142"/>
      <c r="J19" s="142"/>
      <c r="K19" s="189"/>
      <c r="L19" s="143">
        <v>0</v>
      </c>
      <c r="M19" s="142">
        <v>0</v>
      </c>
      <c r="N19" s="213">
        <f t="shared" ref="N19:N20" si="10">SUM(L19:M19)</f>
        <v>0</v>
      </c>
      <c r="O19" s="213">
        <f>Bond-N19</f>
        <v>0</v>
      </c>
      <c r="P19" s="142">
        <v>0</v>
      </c>
      <c r="Q19" s="992">
        <v>0</v>
      </c>
      <c r="R19" s="142"/>
      <c r="S19" s="992"/>
      <c r="T19" s="910"/>
      <c r="U19" s="911"/>
      <c r="V19" s="995"/>
      <c r="W19" s="142"/>
      <c r="X19" s="142"/>
      <c r="Y19" s="142"/>
      <c r="Z19" s="995"/>
      <c r="AA19" s="142"/>
      <c r="AB19" s="142"/>
      <c r="AC19" s="142"/>
      <c r="AD19" s="995"/>
      <c r="AE19" s="142"/>
      <c r="AF19" s="142"/>
      <c r="AG19" s="838"/>
      <c r="AH19" s="213"/>
      <c r="AI19" s="948">
        <f t="shared" si="1"/>
        <v>0</v>
      </c>
      <c r="AJ19" s="213">
        <f t="shared" si="5"/>
        <v>0</v>
      </c>
      <c r="AK19" s="642">
        <f t="shared" si="6"/>
        <v>0</v>
      </c>
      <c r="AL19" s="201"/>
      <c r="AM19" s="1282"/>
      <c r="AN19" s="1282"/>
      <c r="AO19" s="1283" t="s">
        <v>30</v>
      </c>
      <c r="AP19" s="1283" t="s">
        <v>271</v>
      </c>
      <c r="AQ19" s="1282"/>
      <c r="AR19" s="1284"/>
      <c r="AS19" s="1282"/>
      <c r="AT19" s="1288"/>
      <c r="AU19" s="1288"/>
      <c r="AV19" s="1288"/>
      <c r="AW19" s="1288"/>
      <c r="AX19" s="1288"/>
      <c r="AY19" s="1288"/>
      <c r="AZ19" s="1288"/>
      <c r="BA19" s="1286"/>
      <c r="BB19" s="1286"/>
      <c r="BC19" s="1286"/>
      <c r="BD19" s="1286"/>
      <c r="BE19" s="162"/>
      <c r="BF19" s="203"/>
      <c r="BG19" s="203"/>
      <c r="BH19" s="203"/>
      <c r="BI19" s="203"/>
      <c r="BJ19" s="203"/>
      <c r="BK19" s="203"/>
      <c r="BL19" s="203"/>
      <c r="BM19" s="203"/>
      <c r="BN19" s="203"/>
      <c r="BO19" s="203"/>
      <c r="BP19" s="203"/>
      <c r="BQ19" s="203"/>
      <c r="BR19" s="203"/>
    </row>
    <row r="20" spans="1:70" s="8" customFormat="1" ht="15" customHeight="1" x14ac:dyDescent="0.2">
      <c r="A20" s="934" t="s">
        <v>27</v>
      </c>
      <c r="B20" s="496" t="str">
        <f>IF(Stammblatt!$L$4=1,AO20,AP20)</f>
        <v>Kosten der Finanzierung &amp; Währungskursrisiken *)</v>
      </c>
      <c r="C20" s="936"/>
      <c r="D20" s="142"/>
      <c r="E20" s="213"/>
      <c r="F20" s="213"/>
      <c r="G20" s="201"/>
      <c r="H20" s="142">
        <v>0</v>
      </c>
      <c r="I20" s="201"/>
      <c r="J20" s="201"/>
      <c r="K20" s="189"/>
      <c r="L20" s="143">
        <v>0</v>
      </c>
      <c r="M20" s="142">
        <v>0</v>
      </c>
      <c r="N20" s="213">
        <f t="shared" si="10"/>
        <v>0</v>
      </c>
      <c r="O20" s="213">
        <f>FinKosten-N20</f>
        <v>0</v>
      </c>
      <c r="P20" s="142">
        <v>0</v>
      </c>
      <c r="Q20" s="992">
        <v>0</v>
      </c>
      <c r="R20" s="142"/>
      <c r="S20" s="992"/>
      <c r="T20" s="910"/>
      <c r="U20" s="911"/>
      <c r="V20" s="995"/>
      <c r="W20" s="142"/>
      <c r="X20" s="142"/>
      <c r="Y20" s="142"/>
      <c r="Z20" s="995"/>
      <c r="AA20" s="142"/>
      <c r="AB20" s="142"/>
      <c r="AC20" s="142"/>
      <c r="AD20" s="995"/>
      <c r="AE20" s="142"/>
      <c r="AF20" s="142"/>
      <c r="AG20" s="838"/>
      <c r="AH20" s="213"/>
      <c r="AI20" s="948">
        <f t="shared" si="1"/>
        <v>0</v>
      </c>
      <c r="AJ20" s="213">
        <f t="shared" si="5"/>
        <v>0</v>
      </c>
      <c r="AK20" s="642">
        <f t="shared" si="6"/>
        <v>0</v>
      </c>
      <c r="AL20" s="201"/>
      <c r="AM20" s="1282"/>
      <c r="AN20" s="1282"/>
      <c r="AO20" s="1283" t="s">
        <v>1229</v>
      </c>
      <c r="AP20" s="1283" t="s">
        <v>1228</v>
      </c>
      <c r="AQ20" s="1282"/>
      <c r="AR20" s="1284"/>
      <c r="AS20" s="1282"/>
      <c r="AT20" s="1288"/>
      <c r="AU20" s="1288"/>
      <c r="AV20" s="1288"/>
      <c r="AW20" s="1288"/>
      <c r="AX20" s="1288"/>
      <c r="AY20" s="1288"/>
      <c r="AZ20" s="1288"/>
      <c r="BA20" s="1286"/>
      <c r="BB20" s="1286"/>
      <c r="BC20" s="1286"/>
      <c r="BD20" s="1286"/>
      <c r="BE20" s="162"/>
      <c r="BF20" s="203"/>
      <c r="BG20" s="203"/>
      <c r="BH20" s="203"/>
      <c r="BI20" s="203"/>
      <c r="BJ20" s="203"/>
      <c r="BK20" s="203"/>
      <c r="BL20" s="203"/>
      <c r="BM20" s="203"/>
      <c r="BN20" s="203"/>
      <c r="BO20" s="203"/>
      <c r="BP20" s="203"/>
      <c r="BQ20" s="203"/>
      <c r="BR20" s="203"/>
    </row>
    <row r="21" spans="1:70" s="7" customFormat="1" ht="15" customHeight="1" thickBot="1" x14ac:dyDescent="0.25">
      <c r="A21" s="934" t="s">
        <v>28</v>
      </c>
      <c r="B21" s="496" t="str">
        <f>IF(Stammblatt!$L$4=1,AO21,AP21)</f>
        <v>Überschreitungsreserve</v>
      </c>
      <c r="C21" s="990">
        <v>0.05</v>
      </c>
      <c r="D21" s="213">
        <f ca="1">ROUND(NFK*ÜR,-1)</f>
        <v>0</v>
      </c>
      <c r="E21" s="213"/>
      <c r="F21" s="213"/>
      <c r="G21" s="142"/>
      <c r="H21" s="968">
        <f>ROUND(H17*ÜR,-1)</f>
        <v>0</v>
      </c>
      <c r="I21" s="142"/>
      <c r="J21" s="142"/>
      <c r="K21" s="189"/>
      <c r="L21" s="213"/>
      <c r="M21" s="213"/>
      <c r="N21" s="213"/>
      <c r="O21" s="944"/>
      <c r="P21" s="944"/>
      <c r="Q21" s="932"/>
      <c r="R21" s="944"/>
      <c r="S21" s="932"/>
      <c r="T21" s="910"/>
      <c r="U21" s="911"/>
      <c r="V21" s="996"/>
      <c r="W21" s="1031"/>
      <c r="X21" s="1031"/>
      <c r="Y21" s="1031"/>
      <c r="Z21" s="996"/>
      <c r="AA21" s="1031"/>
      <c r="AB21" s="1031"/>
      <c r="AC21" s="1031"/>
      <c r="AD21" s="996"/>
      <c r="AE21" s="944"/>
      <c r="AF21" s="944"/>
      <c r="AG21" s="969"/>
      <c r="AH21" s="213"/>
      <c r="AI21" s="948">
        <f t="shared" ca="1" si="1"/>
        <v>0</v>
      </c>
      <c r="AJ21" s="213"/>
      <c r="AK21" s="642"/>
      <c r="AL21" s="925"/>
      <c r="AM21" s="1282"/>
      <c r="AN21" s="1282"/>
      <c r="AO21" s="1283" t="s">
        <v>124</v>
      </c>
      <c r="AP21" s="1283" t="s">
        <v>272</v>
      </c>
      <c r="AQ21" s="1282"/>
      <c r="AR21" s="1284"/>
      <c r="AS21" s="1282"/>
      <c r="AT21" s="1287"/>
      <c r="AU21" s="1287"/>
      <c r="AV21" s="1287"/>
      <c r="AW21" s="1287"/>
      <c r="AX21" s="1287"/>
      <c r="AY21" s="1287"/>
      <c r="AZ21" s="1287"/>
      <c r="BA21" s="1286"/>
      <c r="BB21" s="1286"/>
      <c r="BC21" s="1286"/>
      <c r="BD21" s="1286"/>
      <c r="BE21" s="162"/>
      <c r="BF21" s="210"/>
      <c r="BG21" s="210"/>
      <c r="BH21" s="210"/>
      <c r="BI21" s="210"/>
      <c r="BJ21" s="210"/>
      <c r="BK21" s="210"/>
      <c r="BL21" s="210"/>
      <c r="BM21" s="210"/>
      <c r="BN21" s="210"/>
      <c r="BO21" s="210"/>
      <c r="BP21" s="210"/>
      <c r="BQ21" s="210"/>
      <c r="BR21" s="210"/>
    </row>
    <row r="22" spans="1:70" s="7" customFormat="1" ht="21" customHeight="1" thickBot="1" x14ac:dyDescent="0.25">
      <c r="A22" s="956" t="s">
        <v>29</v>
      </c>
      <c r="B22" s="957" t="str">
        <f>IF(Stammblatt!$L$4=1,AO22,AP22)</f>
        <v>Herstellungskosten (HK)</v>
      </c>
      <c r="C22" s="958"/>
      <c r="D22" s="110">
        <f ca="1">SUM(D17:D21)</f>
        <v>0</v>
      </c>
      <c r="E22" s="110"/>
      <c r="F22" s="110"/>
      <c r="G22" s="110">
        <f>SUM(G17:G21)</f>
        <v>0</v>
      </c>
      <c r="H22" s="110">
        <f>SUM(H17:H21)</f>
        <v>0</v>
      </c>
      <c r="I22" s="110">
        <f>SUM(I17:I21)</f>
        <v>0</v>
      </c>
      <c r="J22" s="110">
        <f>SUM(J17:J21)</f>
        <v>0</v>
      </c>
      <c r="K22" s="189"/>
      <c r="L22" s="961">
        <f t="shared" ref="L22:S22" si="11">SUM(L17:L21)</f>
        <v>0</v>
      </c>
      <c r="M22" s="110">
        <f t="shared" si="11"/>
        <v>0</v>
      </c>
      <c r="N22" s="110">
        <f t="shared" si="11"/>
        <v>0</v>
      </c>
      <c r="O22" s="110">
        <f ca="1">GHSTK-N22</f>
        <v>0</v>
      </c>
      <c r="P22" s="110">
        <f t="shared" si="11"/>
        <v>0</v>
      </c>
      <c r="Q22" s="963">
        <f t="shared" si="11"/>
        <v>0</v>
      </c>
      <c r="R22" s="110">
        <f t="shared" si="11"/>
        <v>0</v>
      </c>
      <c r="S22" s="963">
        <f t="shared" si="11"/>
        <v>0</v>
      </c>
      <c r="T22" s="910"/>
      <c r="U22" s="911"/>
      <c r="V22" s="965">
        <f t="shared" ref="V22:AG22" si="12">SUM(V17:V21)</f>
        <v>0</v>
      </c>
      <c r="W22" s="110">
        <f t="shared" si="12"/>
        <v>0</v>
      </c>
      <c r="X22" s="110">
        <f t="shared" si="12"/>
        <v>0</v>
      </c>
      <c r="Y22" s="110">
        <f t="shared" si="12"/>
        <v>0</v>
      </c>
      <c r="Z22" s="965">
        <f t="shared" si="12"/>
        <v>0</v>
      </c>
      <c r="AA22" s="110">
        <f t="shared" si="12"/>
        <v>0</v>
      </c>
      <c r="AB22" s="110">
        <f t="shared" si="12"/>
        <v>0</v>
      </c>
      <c r="AC22" s="110">
        <f t="shared" si="12"/>
        <v>0</v>
      </c>
      <c r="AD22" s="965">
        <f t="shared" si="12"/>
        <v>0</v>
      </c>
      <c r="AE22" s="110">
        <f t="shared" si="12"/>
        <v>0</v>
      </c>
      <c r="AF22" s="110">
        <f t="shared" si="12"/>
        <v>0</v>
      </c>
      <c r="AG22" s="964">
        <f t="shared" si="12"/>
        <v>0</v>
      </c>
      <c r="AH22" s="110"/>
      <c r="AI22" s="965">
        <f t="shared" ref="AI22:AJ22" ca="1" si="13">SUM(AI17:AI21)</f>
        <v>0</v>
      </c>
      <c r="AJ22" s="110">
        <f t="shared" si="13"/>
        <v>0</v>
      </c>
      <c r="AK22" s="966">
        <f ca="1">GHSTK_ges-GHSTK_ges_final</f>
        <v>0</v>
      </c>
      <c r="AL22" s="925"/>
      <c r="AM22" s="1282"/>
      <c r="AN22" s="1282"/>
      <c r="AO22" s="1283" t="s">
        <v>930</v>
      </c>
      <c r="AP22" s="1283" t="s">
        <v>274</v>
      </c>
      <c r="AQ22" s="1282"/>
      <c r="AR22" s="1284"/>
      <c r="AS22" s="1282"/>
      <c r="AT22" s="1287"/>
      <c r="AU22" s="1287"/>
      <c r="AV22" s="1287"/>
      <c r="AW22" s="1287"/>
      <c r="AX22" s="1287"/>
      <c r="AY22" s="1287"/>
      <c r="AZ22" s="1287"/>
      <c r="BA22" s="1286"/>
      <c r="BB22" s="1286"/>
      <c r="BC22" s="1286"/>
      <c r="BD22" s="1286"/>
      <c r="BE22" s="162"/>
      <c r="BF22" s="210"/>
      <c r="BG22" s="210"/>
      <c r="BH22" s="210"/>
      <c r="BI22" s="210"/>
      <c r="BJ22" s="210"/>
      <c r="BK22" s="210"/>
      <c r="BL22" s="210"/>
      <c r="BM22" s="210"/>
      <c r="BN22" s="210"/>
      <c r="BO22" s="210"/>
      <c r="BP22" s="210"/>
      <c r="BQ22" s="210"/>
      <c r="BR22" s="210"/>
    </row>
    <row r="23" spans="1:70" s="7" customFormat="1" ht="15" customHeight="1" outlineLevel="1" thickBot="1" x14ac:dyDescent="0.25">
      <c r="A23" s="934" t="s">
        <v>759</v>
      </c>
      <c r="B23" s="496" t="str">
        <f>IF(Stammblatt!$L$4=1,AO23,AP23)</f>
        <v>Mitteltransfer (Zu-/Abflüsse) **)</v>
      </c>
      <c r="C23" s="497"/>
      <c r="D23" s="142">
        <v>0</v>
      </c>
      <c r="E23" s="213"/>
      <c r="F23" s="213"/>
      <c r="G23" s="970"/>
      <c r="H23" s="968">
        <f ca="1">IF(D23&lt;(GHSTK-H22+100000),0,D23-(GHSTK-H22))</f>
        <v>0</v>
      </c>
      <c r="I23" s="970"/>
      <c r="J23" s="970"/>
      <c r="K23" s="189"/>
      <c r="L23" s="142">
        <v>0</v>
      </c>
      <c r="M23" s="142">
        <v>0</v>
      </c>
      <c r="N23" s="213">
        <f t="shared" ref="N23" si="14">L23+M23</f>
        <v>0</v>
      </c>
      <c r="O23" s="925"/>
      <c r="P23" s="925"/>
      <c r="Q23" s="971">
        <f ca="1">IF(AND(EndK&gt;=GHSTK,EndSpend&gt;=Spend_Plan,Transfer_End&gt;=Transfer_Plan),Trans_ST_Plan,IF(AND(EndK&gt;=GHSTK,EndSpend&gt;=Spend_Plan,Transfer_End&lt;Transfer_Plan),IF(Trans_ST_Plan-(Transfer_Plan-Transfer_End)&gt;=100000,Trans_ST_Plan-(Transfer_Plan-Transfer_End),0),IF(AND(EndK&gt;=GHSTK,EndSpend&lt;Spend_Plan),IF(Transfer_End-(GHSTK-EndSpend)&gt;=100000,Transfer_End-(GHSTK-EndSpend),0),IF(AND(EndK&lt;GHSTK,EndSpend&gt;Spend_Plan),IF(Transfer_End-(EndK-EndSpend)&gt;=Trans_ST_Plan,Trans_ST_Plan,IF(Transfer_End-(EndK-EndSpend)&gt;=100000,Transfer_End-(EndK-EndSpend),0)),IF(AND(EndK&lt;GHSTK,EndSpend&lt;Spend_Plan),Transfer_End-(EndK-EndSpend))))))</f>
        <v>0</v>
      </c>
      <c r="R23" s="972"/>
      <c r="S23" s="973"/>
      <c r="T23" s="910"/>
      <c r="U23" s="911"/>
      <c r="V23" s="995"/>
      <c r="W23" s="142"/>
      <c r="X23" s="142"/>
      <c r="Y23" s="142"/>
      <c r="Z23" s="995"/>
      <c r="AA23" s="142"/>
      <c r="AB23" s="142"/>
      <c r="AC23" s="142"/>
      <c r="AD23" s="995"/>
      <c r="AE23" s="142"/>
      <c r="AF23" s="142"/>
      <c r="AG23" s="838"/>
      <c r="AH23" s="911"/>
      <c r="AI23" s="948">
        <f t="shared" si="1"/>
        <v>0</v>
      </c>
      <c r="AJ23" s="213">
        <f t="shared" si="5"/>
        <v>0</v>
      </c>
      <c r="AK23" s="642">
        <f>AI23-AJ23</f>
        <v>0</v>
      </c>
      <c r="AL23" s="925"/>
      <c r="AM23" s="1282"/>
      <c r="AN23" s="1282"/>
      <c r="AO23" s="1283" t="s">
        <v>802</v>
      </c>
      <c r="AP23" s="1283" t="s">
        <v>803</v>
      </c>
      <c r="AQ23" s="1282"/>
      <c r="AR23" s="1284"/>
      <c r="AS23" s="1282"/>
      <c r="AT23" s="1287"/>
      <c r="AU23" s="1287"/>
      <c r="AV23" s="1287"/>
      <c r="AW23" s="1287"/>
      <c r="AX23" s="1287"/>
      <c r="AY23" s="1287"/>
      <c r="AZ23" s="1287"/>
      <c r="BA23" s="1286"/>
      <c r="BB23" s="1286"/>
      <c r="BC23" s="1286"/>
      <c r="BD23" s="1286"/>
      <c r="BE23" s="162"/>
      <c r="BF23" s="210"/>
      <c r="BG23" s="210"/>
      <c r="BH23" s="210"/>
      <c r="BI23" s="210"/>
      <c r="BJ23" s="210"/>
      <c r="BK23" s="210"/>
      <c r="BL23" s="210"/>
      <c r="BM23" s="210"/>
      <c r="BN23" s="210"/>
      <c r="BO23" s="210"/>
      <c r="BP23" s="210"/>
      <c r="BQ23" s="210"/>
      <c r="BR23" s="210"/>
    </row>
    <row r="24" spans="1:70" s="9" customFormat="1" ht="20.25" customHeight="1" outlineLevel="1" thickBot="1" x14ac:dyDescent="0.25">
      <c r="A24" s="974" t="s">
        <v>800</v>
      </c>
      <c r="B24" s="974" t="str">
        <f>IF(Stammblatt!$L$4=1,AO24,AP24)</f>
        <v>Bemessungsgrundlage ÖFI+ (max. 80% der Gesamt-HK)</v>
      </c>
      <c r="C24" s="975"/>
      <c r="D24" s="975"/>
      <c r="E24" s="975"/>
      <c r="F24" s="975"/>
      <c r="G24" s="975"/>
      <c r="H24" s="974">
        <f ca="1">IF(H22&gt;GHSTK_ges*0.8,GHSTK_ges*0.8,H22)</f>
        <v>0</v>
      </c>
      <c r="I24" s="213"/>
      <c r="J24" s="213"/>
      <c r="K24" s="213"/>
      <c r="L24" s="976"/>
      <c r="M24" s="213"/>
      <c r="N24" s="213"/>
      <c r="O24" s="213"/>
      <c r="P24" s="213"/>
      <c r="Q24" s="977">
        <f ca="1">IF(Q22&gt;H24,H24,Q22)</f>
        <v>0</v>
      </c>
      <c r="R24" s="213"/>
      <c r="S24" s="973"/>
      <c r="T24" s="978" t="e">
        <f ca="1">Bem_End/GHSTK_ges_final</f>
        <v>#DIV/0!</v>
      </c>
      <c r="U24" s="213"/>
      <c r="V24" s="948"/>
      <c r="W24" s="213"/>
      <c r="X24" s="213"/>
      <c r="Y24" s="213"/>
      <c r="Z24" s="948"/>
      <c r="AA24" s="213"/>
      <c r="AB24" s="213"/>
      <c r="AC24" s="213"/>
      <c r="AD24" s="948"/>
      <c r="AE24" s="213"/>
      <c r="AF24" s="213"/>
      <c r="AG24" s="947"/>
      <c r="AH24" s="213"/>
      <c r="AI24" s="948"/>
      <c r="AJ24" s="213"/>
      <c r="AK24" s="642"/>
      <c r="AL24" s="213"/>
      <c r="AM24" s="1282"/>
      <c r="AN24" s="1282"/>
      <c r="AO24" s="1283" t="s">
        <v>929</v>
      </c>
      <c r="AP24" s="1283" t="s">
        <v>931</v>
      </c>
      <c r="AQ24" s="1282"/>
      <c r="AR24" s="1284"/>
      <c r="AS24" s="1282"/>
      <c r="AT24" s="1289"/>
      <c r="AU24" s="1289"/>
      <c r="AV24" s="1289"/>
      <c r="AW24" s="1289"/>
      <c r="AX24" s="1289"/>
      <c r="AY24" s="1289"/>
      <c r="AZ24" s="1289"/>
      <c r="BA24" s="1286"/>
      <c r="BB24" s="1286"/>
      <c r="BC24" s="1286"/>
      <c r="BD24" s="1286"/>
      <c r="BE24" s="162"/>
      <c r="BF24" s="217"/>
      <c r="BG24" s="217"/>
      <c r="BH24" s="217"/>
      <c r="BI24" s="217"/>
      <c r="BJ24" s="217"/>
      <c r="BK24" s="217"/>
      <c r="BL24" s="217"/>
      <c r="BM24" s="217"/>
      <c r="BN24" s="217"/>
      <c r="BO24" s="217"/>
      <c r="BP24" s="217"/>
      <c r="BQ24" s="217"/>
      <c r="BR24" s="217"/>
    </row>
    <row r="25" spans="1:70" s="9" customFormat="1" ht="21" customHeight="1" outlineLevel="1" thickBot="1" x14ac:dyDescent="0.25">
      <c r="A25" s="956" t="s">
        <v>886</v>
      </c>
      <c r="B25" s="957" t="str">
        <f>IF(Stammblatt!$L$4=1,AO25,AP25)</f>
        <v>Finanzierungssummen</v>
      </c>
      <c r="C25" s="958"/>
      <c r="D25" s="110">
        <f ca="1">GHSTK-D23</f>
        <v>0</v>
      </c>
      <c r="E25" s="110"/>
      <c r="F25" s="110"/>
      <c r="G25" s="110"/>
      <c r="H25" s="110"/>
      <c r="I25" s="110"/>
      <c r="J25" s="110"/>
      <c r="K25" s="110"/>
      <c r="L25" s="110"/>
      <c r="M25" s="110"/>
      <c r="N25" s="110">
        <f>N22-N23</f>
        <v>0</v>
      </c>
      <c r="O25" s="110"/>
      <c r="P25" s="110"/>
      <c r="Q25" s="110"/>
      <c r="R25" s="110"/>
      <c r="S25" s="110"/>
      <c r="T25" s="213"/>
      <c r="U25" s="213"/>
      <c r="V25" s="965">
        <f>GHSTK_A-V23</f>
        <v>0</v>
      </c>
      <c r="W25" s="110"/>
      <c r="X25" s="110"/>
      <c r="Y25" s="110">
        <f>GHSTK_C-Y23</f>
        <v>0</v>
      </c>
      <c r="Z25" s="965">
        <f>GHSTK_B-Z23</f>
        <v>0</v>
      </c>
      <c r="AA25" s="110"/>
      <c r="AB25" s="110"/>
      <c r="AC25" s="110">
        <f>GHSTK_C-AC23</f>
        <v>0</v>
      </c>
      <c r="AD25" s="965">
        <f>GHSTK_C-AD23</f>
        <v>0</v>
      </c>
      <c r="AE25" s="110"/>
      <c r="AF25" s="110"/>
      <c r="AG25" s="964">
        <f>GHSTK_C-AG23</f>
        <v>0</v>
      </c>
      <c r="AH25" s="110"/>
      <c r="AI25" s="965">
        <f ca="1">SUM(FIN,FIN_A,FIN_B,FIN_C)</f>
        <v>0</v>
      </c>
      <c r="AJ25" s="110">
        <f>SUM(AG25,AC25,Y25,N25)</f>
        <v>0</v>
      </c>
      <c r="AK25" s="966">
        <f ca="1">FIN_ges-AJ25</f>
        <v>0</v>
      </c>
      <c r="AL25" s="213"/>
      <c r="AM25" s="1282"/>
      <c r="AN25" s="1282"/>
      <c r="AO25" s="1283" t="s">
        <v>887</v>
      </c>
      <c r="AP25" s="1283" t="s">
        <v>888</v>
      </c>
      <c r="AQ25" s="1282"/>
      <c r="AR25" s="1284"/>
      <c r="AS25" s="1282"/>
      <c r="AT25" s="1289"/>
      <c r="AU25" s="1289"/>
      <c r="AV25" s="1289"/>
      <c r="AW25" s="1289"/>
      <c r="AX25" s="1289"/>
      <c r="AY25" s="1289"/>
      <c r="AZ25" s="1289"/>
      <c r="BA25" s="1286"/>
      <c r="BB25" s="1286"/>
      <c r="BC25" s="1286"/>
      <c r="BD25" s="1286"/>
      <c r="BE25" s="162"/>
      <c r="BF25" s="217"/>
      <c r="BG25" s="217"/>
      <c r="BH25" s="217"/>
      <c r="BI25" s="217"/>
      <c r="BJ25" s="217"/>
      <c r="BK25" s="217"/>
      <c r="BL25" s="217"/>
      <c r="BM25" s="217"/>
      <c r="BN25" s="217"/>
      <c r="BO25" s="217"/>
      <c r="BP25" s="217"/>
      <c r="BQ25" s="217"/>
      <c r="BR25" s="217"/>
    </row>
    <row r="26" spans="1:70" ht="21" customHeight="1" thickBot="1" x14ac:dyDescent="0.25">
      <c r="A26" s="189"/>
      <c r="B26" s="213" t="str">
        <f>IF(Stammblatt!$L$4=1,AO26,AP26)</f>
        <v>*)   Lt. Anlage</v>
      </c>
      <c r="C26" s="213"/>
      <c r="D26" s="979">
        <f ca="1">IF(FIN_ges=0,0,FIN/FIN_ges)</f>
        <v>0</v>
      </c>
      <c r="E26" s="627"/>
      <c r="F26" s="627"/>
      <c r="G26" s="980"/>
      <c r="H26" s="627"/>
      <c r="I26" s="627"/>
      <c r="J26" s="627"/>
      <c r="K26" s="627"/>
      <c r="L26" s="213"/>
      <c r="M26" s="213"/>
      <c r="N26" s="213"/>
      <c r="O26" s="213"/>
      <c r="P26" s="213"/>
      <c r="Q26" s="627"/>
      <c r="R26" s="627"/>
      <c r="S26" s="627"/>
      <c r="T26" s="627"/>
      <c r="U26" s="627"/>
      <c r="V26" s="979">
        <f ca="1">IF(FIN_ges=0,0,FIN_A/FIN_ges)</f>
        <v>0</v>
      </c>
      <c r="W26" s="979"/>
      <c r="X26" s="979"/>
      <c r="Y26" s="979"/>
      <c r="Z26" s="979">
        <f ca="1">IF(FIN_ges=0,0,FIN_B/FIN_ges)</f>
        <v>0</v>
      </c>
      <c r="AA26" s="979"/>
      <c r="AB26" s="979"/>
      <c r="AC26" s="979"/>
      <c r="AD26" s="979">
        <f ca="1">IF(FIN_ges=0,0,FIN_C/FIN_ges)</f>
        <v>0</v>
      </c>
      <c r="AE26" s="979"/>
      <c r="AF26" s="979"/>
      <c r="AG26" s="979"/>
      <c r="AH26" s="627"/>
      <c r="AI26" s="979">
        <f ca="1">SUM(V26:AH26,D26)</f>
        <v>0</v>
      </c>
      <c r="AJ26" s="213"/>
      <c r="AK26" s="979"/>
      <c r="AL26" s="213"/>
      <c r="AM26" s="1282"/>
      <c r="AN26" s="1282"/>
      <c r="AO26" s="1283" t="s">
        <v>805</v>
      </c>
      <c r="AP26" s="1283" t="s">
        <v>807</v>
      </c>
      <c r="AQ26" s="1282"/>
      <c r="AR26" s="1290"/>
      <c r="AS26" s="1286"/>
      <c r="AT26" s="1286"/>
      <c r="AU26" s="1286"/>
      <c r="AV26" s="1286"/>
      <c r="AW26" s="1286"/>
      <c r="AX26" s="1286"/>
      <c r="AY26" s="1286"/>
      <c r="AZ26" s="1286"/>
      <c r="BA26" s="1286"/>
      <c r="BB26" s="1286"/>
      <c r="BC26" s="1286"/>
      <c r="BD26" s="1286"/>
      <c r="BE26" s="162"/>
      <c r="BF26" s="162"/>
      <c r="BG26" s="162"/>
      <c r="BH26" s="162"/>
      <c r="BI26" s="162"/>
      <c r="BJ26" s="162"/>
      <c r="BK26" s="162"/>
      <c r="BL26" s="162"/>
      <c r="BM26" s="162"/>
      <c r="BN26" s="162"/>
      <c r="BO26" s="162"/>
      <c r="BP26" s="162"/>
      <c r="BQ26" s="162"/>
      <c r="BR26" s="162"/>
    </row>
    <row r="27" spans="1:70" ht="27" customHeight="1" x14ac:dyDescent="0.2">
      <c r="A27" s="189"/>
      <c r="B27" s="213" t="str">
        <f>IF(Stammblatt!$L$4=1,AO27,AP27)</f>
        <v>**) nur bei Koproduktionen</v>
      </c>
      <c r="C27" s="213"/>
      <c r="D27" s="213"/>
      <c r="E27" s="213"/>
      <c r="F27" s="213"/>
      <c r="G27" s="213"/>
      <c r="H27" s="213"/>
      <c r="I27" s="213"/>
      <c r="J27" s="213"/>
      <c r="K27" s="213"/>
      <c r="L27" s="981" t="s">
        <v>1169</v>
      </c>
      <c r="M27" s="982"/>
      <c r="N27" s="983" t="str">
        <f>IF(Stammblatt!$L$4=1,"Vertrag","contractual")</f>
        <v>Vertrag</v>
      </c>
      <c r="O27" s="983" t="str">
        <f>IF(Stammblatt!$L$4=1,"ausbezahlt","disbursed")</f>
        <v>ausbezahlt</v>
      </c>
      <c r="P27" s="984" t="str">
        <f>IF(Stammblatt!$L$4=1,"noch offen","open payment")</f>
        <v>noch offen</v>
      </c>
      <c r="Q27" s="985" t="str">
        <f>IF(Stammblatt!$L$4=1,"Summe","Total")</f>
        <v>Summe</v>
      </c>
      <c r="R27" s="213"/>
      <c r="S27" s="213"/>
      <c r="T27" s="213"/>
      <c r="U27" s="213"/>
      <c r="V27" s="986"/>
      <c r="W27" s="986"/>
      <c r="X27" s="986"/>
      <c r="Y27" s="986"/>
      <c r="Z27" s="213"/>
      <c r="AA27" s="213"/>
      <c r="AB27" s="213"/>
      <c r="AC27" s="213"/>
      <c r="AD27" s="213"/>
      <c r="AE27" s="213"/>
      <c r="AF27" s="213"/>
      <c r="AG27" s="213"/>
      <c r="AH27" s="213"/>
      <c r="AI27" s="213"/>
      <c r="AJ27" s="213"/>
      <c r="AK27" s="213"/>
      <c r="AL27" s="213"/>
      <c r="AM27" s="1282"/>
      <c r="AN27" s="1282"/>
      <c r="AO27" s="1283" t="s">
        <v>804</v>
      </c>
      <c r="AP27" s="1283" t="s">
        <v>806</v>
      </c>
      <c r="AQ27" s="1282"/>
      <c r="AR27" s="1290"/>
      <c r="AS27" s="1286"/>
      <c r="AT27" s="1286"/>
      <c r="AU27" s="1286"/>
      <c r="AV27" s="1286"/>
      <c r="AW27" s="1286"/>
      <c r="AX27" s="1286"/>
      <c r="AY27" s="1286"/>
      <c r="AZ27" s="1286"/>
      <c r="BA27" s="1286"/>
      <c r="BB27" s="1286"/>
      <c r="BC27" s="1286"/>
      <c r="BD27" s="1286"/>
      <c r="BE27" s="162"/>
      <c r="BF27" s="162"/>
      <c r="BG27" s="162"/>
      <c r="BH27" s="162"/>
      <c r="BI27" s="162"/>
      <c r="BJ27" s="162"/>
      <c r="BK27" s="162"/>
      <c r="BL27" s="162"/>
      <c r="BM27" s="162"/>
      <c r="BN27" s="162"/>
      <c r="BO27" s="162"/>
      <c r="BP27" s="162"/>
      <c r="BQ27" s="162"/>
      <c r="BR27" s="162"/>
    </row>
    <row r="28" spans="1:70" ht="15" customHeight="1" x14ac:dyDescent="0.2">
      <c r="A28" s="189"/>
      <c r="B28" s="213"/>
      <c r="C28" s="213"/>
      <c r="D28" s="213"/>
      <c r="E28" s="213"/>
      <c r="F28" s="213"/>
      <c r="G28" s="216"/>
      <c r="H28" s="213"/>
      <c r="I28" s="213"/>
      <c r="J28" s="213"/>
      <c r="K28" s="213"/>
      <c r="L28" s="943" t="str">
        <f>IF(Stammblatt!$L$4=1,"Eigenanteil","own investment")</f>
        <v>Eigenanteil</v>
      </c>
      <c r="M28" s="213"/>
      <c r="N28" s="213">
        <f ca="1">Finanzierungsplan!D5</f>
        <v>0</v>
      </c>
      <c r="O28" s="142"/>
      <c r="P28" s="213">
        <f t="shared" ref="P28:P32" ca="1" si="15">N28-O28</f>
        <v>0</v>
      </c>
      <c r="Q28" s="987">
        <f t="shared" ref="Q28:Q32" ca="1" si="16">SUM(O28:P28)</f>
        <v>0</v>
      </c>
      <c r="R28" s="213"/>
      <c r="S28" s="213"/>
      <c r="T28" s="213"/>
      <c r="U28" s="213"/>
      <c r="V28" s="371"/>
      <c r="W28" s="371"/>
      <c r="X28" s="371"/>
      <c r="Y28" s="371"/>
      <c r="Z28" s="213"/>
      <c r="AA28" s="213"/>
      <c r="AB28" s="213"/>
      <c r="AC28" s="213"/>
      <c r="AD28" s="213"/>
      <c r="AE28" s="213"/>
      <c r="AF28" s="213"/>
      <c r="AG28" s="213"/>
      <c r="AH28" s="213"/>
      <c r="AI28" s="213"/>
      <c r="AJ28" s="213"/>
      <c r="AK28" s="213"/>
      <c r="AL28" s="213"/>
      <c r="AM28" s="1282"/>
      <c r="AN28" s="1282"/>
      <c r="AO28" s="1283"/>
      <c r="AP28" s="1283"/>
      <c r="AQ28" s="1282"/>
      <c r="AR28" s="1290"/>
      <c r="AS28" s="1286"/>
      <c r="AT28" s="1286"/>
      <c r="AU28" s="1286"/>
      <c r="AV28" s="1286"/>
      <c r="AW28" s="1286"/>
      <c r="AX28" s="1286"/>
      <c r="AY28" s="1286"/>
      <c r="AZ28" s="1286"/>
      <c r="BA28" s="1286"/>
      <c r="BB28" s="1286"/>
      <c r="BC28" s="1286"/>
      <c r="BD28" s="1286"/>
      <c r="BE28" s="162"/>
      <c r="BF28" s="162"/>
      <c r="BG28" s="162"/>
      <c r="BH28" s="162"/>
      <c r="BI28" s="162"/>
      <c r="BJ28" s="162"/>
      <c r="BK28" s="162"/>
      <c r="BL28" s="162"/>
      <c r="BM28" s="162"/>
      <c r="BN28" s="162"/>
      <c r="BO28" s="162"/>
      <c r="BP28" s="162"/>
      <c r="BQ28" s="162"/>
      <c r="BR28" s="162"/>
    </row>
    <row r="29" spans="1:70" ht="15" customHeight="1" x14ac:dyDescent="0.2">
      <c r="A29" s="189"/>
      <c r="B29" s="213"/>
      <c r="C29" s="988"/>
      <c r="D29" s="213"/>
      <c r="E29" s="213"/>
      <c r="F29" s="213"/>
      <c r="G29" s="213"/>
      <c r="H29" s="213"/>
      <c r="I29" s="213"/>
      <c r="J29" s="213"/>
      <c r="K29" s="213"/>
      <c r="L29" s="943" t="s">
        <v>1059</v>
      </c>
      <c r="M29" s="213"/>
      <c r="N29" s="213">
        <f>Finanzierungsplan!D13</f>
        <v>0</v>
      </c>
      <c r="O29" s="142"/>
      <c r="P29" s="213">
        <f t="shared" si="15"/>
        <v>0</v>
      </c>
      <c r="Q29" s="987">
        <f t="shared" si="16"/>
        <v>0</v>
      </c>
      <c r="R29" s="213"/>
      <c r="S29" s="213"/>
      <c r="T29" s="213"/>
      <c r="U29" s="213"/>
      <c r="V29" s="213"/>
      <c r="W29" s="213"/>
      <c r="X29" s="213"/>
      <c r="Y29" s="213"/>
      <c r="Z29" s="213"/>
      <c r="AA29" s="213"/>
      <c r="AB29" s="213"/>
      <c r="AC29" s="213"/>
      <c r="AD29" s="213"/>
      <c r="AE29" s="213"/>
      <c r="AF29" s="213"/>
      <c r="AG29" s="213"/>
      <c r="AH29" s="213"/>
      <c r="AI29" s="213"/>
      <c r="AJ29" s="213"/>
      <c r="AK29" s="213"/>
      <c r="AL29" s="213"/>
      <c r="AM29" s="1282"/>
      <c r="AN29" s="1282"/>
      <c r="AO29" s="1283"/>
      <c r="AP29" s="1283"/>
      <c r="AQ29" s="1282"/>
      <c r="AR29" s="1290"/>
      <c r="AS29" s="1286"/>
      <c r="AT29" s="1286"/>
      <c r="AU29" s="1286"/>
      <c r="AV29" s="1286"/>
      <c r="AW29" s="1286"/>
      <c r="AX29" s="1286"/>
      <c r="AY29" s="1286"/>
      <c r="AZ29" s="1286"/>
      <c r="BA29" s="1286"/>
      <c r="BB29" s="1286"/>
      <c r="BC29" s="1286"/>
      <c r="BD29" s="1286"/>
      <c r="BE29" s="162"/>
      <c r="BF29" s="162"/>
      <c r="BG29" s="162"/>
      <c r="BH29" s="162"/>
      <c r="BI29" s="162"/>
      <c r="BJ29" s="162"/>
      <c r="BK29" s="162"/>
      <c r="BL29" s="162"/>
      <c r="BM29" s="162"/>
      <c r="BN29" s="162"/>
      <c r="BO29" s="162"/>
      <c r="BP29" s="162"/>
      <c r="BQ29" s="162"/>
      <c r="BR29" s="162"/>
    </row>
    <row r="30" spans="1:70" ht="15" customHeight="1" x14ac:dyDescent="0.2">
      <c r="A30" s="189"/>
      <c r="B30" s="213"/>
      <c r="C30" s="213"/>
      <c r="D30" s="213"/>
      <c r="E30" s="213"/>
      <c r="F30" s="213"/>
      <c r="G30" s="213"/>
      <c r="H30" s="213"/>
      <c r="I30" s="213"/>
      <c r="J30" s="213"/>
      <c r="K30" s="213"/>
      <c r="L30" s="943" t="s">
        <v>811</v>
      </c>
      <c r="M30" s="213"/>
      <c r="N30" s="213">
        <f>Finanzierungsplan!D18</f>
        <v>0</v>
      </c>
      <c r="O30" s="142"/>
      <c r="P30" s="213">
        <f t="shared" si="15"/>
        <v>0</v>
      </c>
      <c r="Q30" s="987">
        <f t="shared" si="16"/>
        <v>0</v>
      </c>
      <c r="R30" s="213"/>
      <c r="S30" s="213"/>
      <c r="T30" s="213"/>
      <c r="U30" s="213"/>
      <c r="V30" s="213"/>
      <c r="W30" s="213"/>
      <c r="X30" s="213"/>
      <c r="Y30" s="213"/>
      <c r="Z30" s="213"/>
      <c r="AA30" s="213"/>
      <c r="AB30" s="213"/>
      <c r="AC30" s="213"/>
      <c r="AD30" s="213"/>
      <c r="AE30" s="213"/>
      <c r="AF30" s="213"/>
      <c r="AG30" s="213"/>
      <c r="AH30" s="213"/>
      <c r="AI30" s="213"/>
      <c r="AJ30" s="213"/>
      <c r="AK30" s="213"/>
      <c r="AL30" s="213"/>
      <c r="AM30" s="1282"/>
      <c r="AN30" s="1282"/>
      <c r="AO30" s="1283"/>
      <c r="AP30" s="1283"/>
      <c r="AQ30" s="1282"/>
      <c r="AR30" s="1290"/>
      <c r="AS30" s="1286"/>
      <c r="AT30" s="1286"/>
      <c r="AU30" s="1286"/>
      <c r="AV30" s="1286"/>
      <c r="AW30" s="1286"/>
      <c r="AX30" s="1286"/>
      <c r="AY30" s="1286"/>
      <c r="AZ30" s="1286"/>
      <c r="BA30" s="1286"/>
      <c r="BB30" s="1286"/>
      <c r="BC30" s="1286"/>
      <c r="BD30" s="1286"/>
      <c r="BE30" s="162"/>
      <c r="BF30" s="162"/>
      <c r="BG30" s="162"/>
      <c r="BH30" s="162"/>
      <c r="BI30" s="162"/>
      <c r="BJ30" s="162"/>
      <c r="BK30" s="162"/>
      <c r="BL30" s="162"/>
      <c r="BM30" s="162"/>
      <c r="BN30" s="162"/>
      <c r="BO30" s="162"/>
      <c r="BP30" s="162"/>
      <c r="BQ30" s="162"/>
      <c r="BR30" s="162"/>
    </row>
    <row r="31" spans="1:70" ht="15" customHeight="1" x14ac:dyDescent="0.2">
      <c r="A31" s="189"/>
      <c r="B31" s="213"/>
      <c r="C31" s="213"/>
      <c r="D31" s="213"/>
      <c r="E31" s="213"/>
      <c r="F31" s="213"/>
      <c r="G31" s="213"/>
      <c r="H31" s="213"/>
      <c r="I31" s="213"/>
      <c r="J31" s="213"/>
      <c r="K31" s="213"/>
      <c r="L31" s="943" t="s">
        <v>890</v>
      </c>
      <c r="M31" s="213"/>
      <c r="N31" s="213">
        <f>Finanzierungsplan!D22</f>
        <v>0</v>
      </c>
      <c r="O31" s="142"/>
      <c r="P31" s="213">
        <f t="shared" si="15"/>
        <v>0</v>
      </c>
      <c r="Q31" s="987">
        <f t="shared" si="16"/>
        <v>0</v>
      </c>
      <c r="R31" s="213"/>
      <c r="S31" s="213"/>
      <c r="T31" s="213"/>
      <c r="U31" s="213"/>
      <c r="V31" s="213"/>
      <c r="W31" s="213"/>
      <c r="X31" s="213"/>
      <c r="Y31" s="213"/>
      <c r="Z31" s="213"/>
      <c r="AA31" s="213"/>
      <c r="AB31" s="213"/>
      <c r="AC31" s="213"/>
      <c r="AD31" s="213"/>
      <c r="AE31" s="213"/>
      <c r="AF31" s="213"/>
      <c r="AG31" s="213"/>
      <c r="AH31" s="213"/>
      <c r="AI31" s="213"/>
      <c r="AJ31" s="213"/>
      <c r="AK31" s="213"/>
      <c r="AL31" s="213"/>
      <c r="AM31" s="1282"/>
      <c r="AN31" s="1282"/>
      <c r="AO31" s="1283"/>
      <c r="AP31" s="1283"/>
      <c r="AQ31" s="1282"/>
      <c r="AR31" s="1290"/>
      <c r="AS31" s="1286"/>
      <c r="AT31" s="1286"/>
      <c r="AU31" s="1286"/>
      <c r="AV31" s="1286"/>
      <c r="AW31" s="1286"/>
      <c r="AX31" s="1286"/>
      <c r="AY31" s="1286"/>
      <c r="AZ31" s="1286"/>
      <c r="BA31" s="1286"/>
      <c r="BB31" s="1286"/>
      <c r="BC31" s="1286"/>
      <c r="BD31" s="1286"/>
      <c r="BE31" s="162"/>
      <c r="BF31" s="162"/>
      <c r="BG31" s="162"/>
      <c r="BH31" s="162"/>
      <c r="BI31" s="162"/>
      <c r="BJ31" s="162"/>
      <c r="BK31" s="162"/>
      <c r="BL31" s="162"/>
      <c r="BM31" s="162"/>
      <c r="BN31" s="162"/>
      <c r="BO31" s="162"/>
      <c r="BP31" s="162"/>
      <c r="BQ31" s="162"/>
      <c r="BR31" s="162"/>
    </row>
    <row r="32" spans="1:70" ht="15" customHeight="1" x14ac:dyDescent="0.2">
      <c r="A32" s="189"/>
      <c r="B32" s="213"/>
      <c r="C32" s="213"/>
      <c r="D32" s="213"/>
      <c r="E32" s="213"/>
      <c r="F32" s="213"/>
      <c r="G32" s="213"/>
      <c r="H32" s="213"/>
      <c r="I32" s="213"/>
      <c r="J32" s="213"/>
      <c r="K32" s="213"/>
      <c r="L32" s="943" t="s">
        <v>1060</v>
      </c>
      <c r="M32" s="213"/>
      <c r="N32" s="213">
        <f>Finanzierungsplan!D25</f>
        <v>0</v>
      </c>
      <c r="O32" s="142"/>
      <c r="P32" s="213">
        <f t="shared" si="15"/>
        <v>0</v>
      </c>
      <c r="Q32" s="987">
        <f t="shared" si="16"/>
        <v>0</v>
      </c>
      <c r="R32" s="213"/>
      <c r="S32" s="213"/>
      <c r="T32" s="213"/>
      <c r="U32" s="213"/>
      <c r="V32" s="213"/>
      <c r="W32" s="213"/>
      <c r="X32" s="213"/>
      <c r="Y32" s="213"/>
      <c r="Z32" s="213"/>
      <c r="AA32" s="213"/>
      <c r="AB32" s="213"/>
      <c r="AC32" s="213"/>
      <c r="AD32" s="213"/>
      <c r="AE32" s="213"/>
      <c r="AF32" s="213"/>
      <c r="AG32" s="213"/>
      <c r="AH32" s="213"/>
      <c r="AI32" s="213"/>
      <c r="AJ32" s="213"/>
      <c r="AK32" s="213"/>
      <c r="AL32" s="213"/>
      <c r="AM32" s="1282"/>
      <c r="AN32" s="1282"/>
      <c r="AO32" s="1283"/>
      <c r="AP32" s="1283"/>
      <c r="AQ32" s="1282"/>
      <c r="AR32" s="1290"/>
      <c r="AS32" s="1286"/>
      <c r="AT32" s="1286"/>
      <c r="AU32" s="1286"/>
      <c r="AV32" s="1286"/>
      <c r="AW32" s="1286"/>
      <c r="AX32" s="1286"/>
      <c r="AY32" s="1286"/>
      <c r="AZ32" s="1286"/>
      <c r="BA32" s="1286"/>
      <c r="BB32" s="1286"/>
      <c r="BC32" s="1286"/>
      <c r="BD32" s="1286"/>
      <c r="BE32" s="162"/>
      <c r="BF32" s="162"/>
      <c r="BG32" s="162"/>
      <c r="BH32" s="162"/>
      <c r="BI32" s="162"/>
      <c r="BJ32" s="162"/>
      <c r="BK32" s="162"/>
      <c r="BL32" s="162"/>
      <c r="BM32" s="162"/>
      <c r="BN32" s="162"/>
      <c r="BO32" s="162"/>
      <c r="BP32" s="162"/>
      <c r="BQ32" s="162"/>
      <c r="BR32" s="162"/>
    </row>
    <row r="33" spans="1:70" ht="15" customHeight="1" x14ac:dyDescent="0.2">
      <c r="A33" s="189"/>
      <c r="B33" s="189"/>
      <c r="C33" s="189"/>
      <c r="D33" s="189"/>
      <c r="E33" s="213"/>
      <c r="F33" s="213"/>
      <c r="G33" s="213"/>
      <c r="H33" s="213"/>
      <c r="I33" s="213"/>
      <c r="J33" s="213"/>
      <c r="K33" s="213"/>
      <c r="L33" s="943" t="s">
        <v>194</v>
      </c>
      <c r="M33" s="213"/>
      <c r="N33" s="213">
        <f>Finanzierungsplan!D29</f>
        <v>0</v>
      </c>
      <c r="O33" s="142"/>
      <c r="P33" s="213">
        <f t="shared" ref="P33:P35" si="17">N33-O33</f>
        <v>0</v>
      </c>
      <c r="Q33" s="987">
        <f t="shared" ref="Q33:Q35" si="18">SUM(O33:P33)</f>
        <v>0</v>
      </c>
      <c r="R33" s="213"/>
      <c r="S33" s="213"/>
      <c r="T33" s="213"/>
      <c r="U33" s="213"/>
      <c r="V33" s="213"/>
      <c r="W33" s="213"/>
      <c r="X33" s="213"/>
      <c r="Y33" s="213"/>
      <c r="Z33" s="213"/>
      <c r="AA33" s="213"/>
      <c r="AB33" s="213"/>
      <c r="AC33" s="213"/>
      <c r="AD33" s="213"/>
      <c r="AE33" s="213"/>
      <c r="AF33" s="213"/>
      <c r="AG33" s="213"/>
      <c r="AH33" s="213"/>
      <c r="AI33" s="213"/>
      <c r="AJ33" s="213"/>
      <c r="AK33" s="213"/>
      <c r="AL33" s="213"/>
      <c r="AM33" s="1282"/>
      <c r="AN33" s="1282"/>
      <c r="AO33" s="1283"/>
      <c r="AP33" s="1283"/>
      <c r="AQ33" s="1282"/>
      <c r="AR33" s="1290"/>
      <c r="AS33" s="1286"/>
      <c r="AT33" s="1286"/>
      <c r="AU33" s="1286"/>
      <c r="AV33" s="1286"/>
      <c r="AW33" s="1286"/>
      <c r="AX33" s="1286"/>
      <c r="AY33" s="1286"/>
      <c r="AZ33" s="1286"/>
      <c r="BA33" s="1286"/>
      <c r="BB33" s="1286"/>
      <c r="BC33" s="1286"/>
      <c r="BD33" s="1286"/>
      <c r="BE33" s="162"/>
      <c r="BF33" s="162"/>
      <c r="BG33" s="162"/>
      <c r="BH33" s="162"/>
      <c r="BI33" s="162"/>
      <c r="BJ33" s="162"/>
      <c r="BK33" s="162"/>
      <c r="BL33" s="162"/>
      <c r="BM33" s="162"/>
      <c r="BN33" s="162"/>
      <c r="BO33" s="162"/>
      <c r="BP33" s="162"/>
      <c r="BQ33" s="162"/>
      <c r="BR33" s="162"/>
    </row>
    <row r="34" spans="1:70" ht="15" customHeight="1" x14ac:dyDescent="0.2">
      <c r="A34" s="189"/>
      <c r="B34" s="189"/>
      <c r="C34" s="189"/>
      <c r="D34" s="189"/>
      <c r="E34" s="213"/>
      <c r="F34" s="213"/>
      <c r="G34" s="213"/>
      <c r="H34" s="213"/>
      <c r="I34" s="213"/>
      <c r="J34" s="213"/>
      <c r="K34" s="213"/>
      <c r="L34" s="943" t="s">
        <v>210</v>
      </c>
      <c r="M34" s="213"/>
      <c r="N34" s="213">
        <f>Finanzierungsplan!D30</f>
        <v>0</v>
      </c>
      <c r="O34" s="142"/>
      <c r="P34" s="213">
        <f t="shared" si="17"/>
        <v>0</v>
      </c>
      <c r="Q34" s="987">
        <f t="shared" si="18"/>
        <v>0</v>
      </c>
      <c r="R34" s="213"/>
      <c r="S34" s="213"/>
      <c r="T34" s="213"/>
      <c r="U34" s="213"/>
      <c r="V34" s="213"/>
      <c r="W34" s="213"/>
      <c r="X34" s="213"/>
      <c r="Y34" s="213"/>
      <c r="Z34" s="213"/>
      <c r="AA34" s="213"/>
      <c r="AB34" s="213"/>
      <c r="AC34" s="213"/>
      <c r="AD34" s="213"/>
      <c r="AE34" s="213"/>
      <c r="AF34" s="213"/>
      <c r="AG34" s="213"/>
      <c r="AH34" s="213"/>
      <c r="AI34" s="213"/>
      <c r="AJ34" s="213"/>
      <c r="AK34" s="213"/>
      <c r="AL34" s="213"/>
      <c r="AM34" s="1282"/>
      <c r="AN34" s="1282"/>
      <c r="AO34" s="1283"/>
      <c r="AP34" s="1283"/>
      <c r="AQ34" s="1282"/>
      <c r="AR34" s="1290"/>
      <c r="AS34" s="1286"/>
      <c r="AT34" s="1286"/>
      <c r="AU34" s="1286"/>
      <c r="AV34" s="1286"/>
      <c r="AW34" s="1286"/>
      <c r="AX34" s="1286"/>
      <c r="AY34" s="1286"/>
      <c r="AZ34" s="1286"/>
      <c r="BA34" s="1286"/>
      <c r="BB34" s="1286"/>
      <c r="BC34" s="1286"/>
      <c r="BD34" s="1286"/>
      <c r="BE34" s="162"/>
      <c r="BF34" s="162"/>
      <c r="BG34" s="162"/>
      <c r="BH34" s="162"/>
      <c r="BI34" s="162"/>
      <c r="BJ34" s="162"/>
      <c r="BK34" s="162"/>
      <c r="BL34" s="162"/>
      <c r="BM34" s="162"/>
      <c r="BN34" s="162"/>
      <c r="BO34" s="162"/>
      <c r="BP34" s="162"/>
      <c r="BQ34" s="162"/>
      <c r="BR34" s="162"/>
    </row>
    <row r="35" spans="1:70" ht="15" customHeight="1" thickBot="1" x14ac:dyDescent="0.25">
      <c r="A35" s="189"/>
      <c r="B35" s="189"/>
      <c r="C35" s="189"/>
      <c r="D35" s="189"/>
      <c r="E35" s="213"/>
      <c r="F35" s="213"/>
      <c r="G35" s="213"/>
      <c r="H35" s="213"/>
      <c r="I35" s="213"/>
      <c r="J35" s="213"/>
      <c r="K35" s="213"/>
      <c r="L35" s="943" t="s">
        <v>209</v>
      </c>
      <c r="M35" s="213"/>
      <c r="N35" s="213">
        <f>Finanzierungsplan!D31</f>
        <v>0</v>
      </c>
      <c r="O35" s="142"/>
      <c r="P35" s="213">
        <f t="shared" si="17"/>
        <v>0</v>
      </c>
      <c r="Q35" s="987">
        <f t="shared" si="18"/>
        <v>0</v>
      </c>
      <c r="R35" s="213"/>
      <c r="S35" s="213"/>
      <c r="T35" s="213"/>
      <c r="U35" s="213"/>
      <c r="V35" s="213"/>
      <c r="W35" s="213"/>
      <c r="X35" s="213"/>
      <c r="Y35" s="213"/>
      <c r="Z35" s="213"/>
      <c r="AA35" s="213"/>
      <c r="AB35" s="213"/>
      <c r="AC35" s="213"/>
      <c r="AD35" s="213"/>
      <c r="AE35" s="213"/>
      <c r="AF35" s="213"/>
      <c r="AG35" s="213"/>
      <c r="AH35" s="213"/>
      <c r="AI35" s="213"/>
      <c r="AJ35" s="213"/>
      <c r="AK35" s="213"/>
      <c r="AL35" s="213"/>
      <c r="AM35" s="1282"/>
      <c r="AN35" s="1282"/>
      <c r="AO35" s="1283"/>
      <c r="AP35" s="1283"/>
      <c r="AQ35" s="1282"/>
      <c r="AR35" s="1290"/>
      <c r="AS35" s="1286"/>
      <c r="AT35" s="1286"/>
      <c r="AU35" s="1286"/>
      <c r="AV35" s="1286"/>
      <c r="AW35" s="1286"/>
      <c r="AX35" s="1286"/>
      <c r="AY35" s="1286"/>
      <c r="AZ35" s="1286"/>
      <c r="BA35" s="1286"/>
      <c r="BB35" s="1286"/>
      <c r="BC35" s="1286"/>
      <c r="BD35" s="1286"/>
      <c r="BE35" s="162"/>
      <c r="BF35" s="162"/>
      <c r="BG35" s="162"/>
      <c r="BH35" s="162"/>
      <c r="BI35" s="162"/>
      <c r="BJ35" s="162"/>
      <c r="BK35" s="162"/>
      <c r="BL35" s="162"/>
      <c r="BM35" s="162"/>
      <c r="BN35" s="162"/>
      <c r="BO35" s="162"/>
      <c r="BP35" s="162"/>
      <c r="BQ35" s="162"/>
      <c r="BR35" s="162"/>
    </row>
    <row r="36" spans="1:70" ht="21" customHeight="1" thickBot="1" x14ac:dyDescent="0.25">
      <c r="A36" s="189"/>
      <c r="B36" s="189"/>
      <c r="C36" s="189"/>
      <c r="D36" s="189"/>
      <c r="E36" s="213"/>
      <c r="F36" s="213"/>
      <c r="G36" s="213"/>
      <c r="H36" s="213"/>
      <c r="I36" s="213"/>
      <c r="J36" s="213"/>
      <c r="K36" s="213"/>
      <c r="L36" s="961" t="str">
        <f>IF(Stammblatt!$L$4=1,"SUMME","TOTAL")</f>
        <v>SUMME</v>
      </c>
      <c r="M36" s="110"/>
      <c r="N36" s="110">
        <f ca="1">SUM(N28:N35)</f>
        <v>0</v>
      </c>
      <c r="O36" s="110">
        <f>SUM(O28:O35)</f>
        <v>0</v>
      </c>
      <c r="P36" s="110">
        <f ca="1">SUM(P28:P35)</f>
        <v>0</v>
      </c>
      <c r="Q36" s="989">
        <f ca="1">SUM(Q28:Q35)</f>
        <v>0</v>
      </c>
      <c r="R36" s="213"/>
      <c r="S36" s="213"/>
      <c r="T36" s="213"/>
      <c r="U36" s="213"/>
      <c r="V36" s="213"/>
      <c r="W36" s="213"/>
      <c r="X36" s="213"/>
      <c r="Y36" s="213"/>
      <c r="Z36" s="213"/>
      <c r="AA36" s="213"/>
      <c r="AB36" s="213"/>
      <c r="AC36" s="213"/>
      <c r="AD36" s="213"/>
      <c r="AE36" s="213"/>
      <c r="AF36" s="213"/>
      <c r="AG36" s="213"/>
      <c r="AH36" s="213"/>
      <c r="AI36" s="213"/>
      <c r="AJ36" s="213"/>
      <c r="AK36" s="213"/>
      <c r="AL36" s="213"/>
      <c r="AM36" s="1282"/>
      <c r="AN36" s="1282"/>
      <c r="AO36" s="1283"/>
      <c r="AP36" s="1283"/>
      <c r="AQ36" s="1282"/>
      <c r="AR36" s="1290"/>
      <c r="AS36" s="1286"/>
      <c r="AT36" s="1286"/>
      <c r="AU36" s="1286"/>
      <c r="AV36" s="1286"/>
      <c r="AW36" s="1286"/>
      <c r="AX36" s="1286"/>
      <c r="AY36" s="1286"/>
      <c r="AZ36" s="1286"/>
      <c r="BA36" s="1286"/>
      <c r="BB36" s="1286"/>
      <c r="BC36" s="1286"/>
      <c r="BD36" s="1286"/>
      <c r="BE36" s="162"/>
      <c r="BF36" s="162"/>
      <c r="BG36" s="162"/>
      <c r="BH36" s="162"/>
      <c r="BI36" s="162"/>
      <c r="BJ36" s="162"/>
      <c r="BK36" s="162"/>
      <c r="BL36" s="162"/>
      <c r="BM36" s="162"/>
      <c r="BN36" s="162"/>
      <c r="BO36" s="162"/>
      <c r="BP36" s="162"/>
      <c r="BQ36" s="162"/>
      <c r="BR36" s="162"/>
    </row>
    <row r="37" spans="1:70" x14ac:dyDescent="0.2">
      <c r="A37" s="189"/>
      <c r="B37" s="189"/>
      <c r="C37" s="189"/>
      <c r="D37" s="189"/>
      <c r="E37" s="213"/>
      <c r="F37" s="213"/>
      <c r="G37" s="213"/>
      <c r="H37" s="213"/>
      <c r="I37" s="213"/>
      <c r="J37" s="213"/>
      <c r="K37" s="213"/>
      <c r="L37" s="213"/>
      <c r="M37" s="213"/>
      <c r="N37" s="213"/>
      <c r="O37" s="213"/>
      <c r="P37" s="213"/>
      <c r="Q37" s="213"/>
      <c r="R37" s="213"/>
      <c r="S37" s="213"/>
      <c r="T37" s="213"/>
      <c r="U37" s="213"/>
      <c r="V37" s="213"/>
      <c r="W37" s="213"/>
      <c r="X37" s="213"/>
      <c r="Y37" s="213"/>
      <c r="Z37" s="213"/>
      <c r="AA37" s="213"/>
      <c r="AB37" s="213"/>
      <c r="AC37" s="213"/>
      <c r="AD37" s="213"/>
      <c r="AE37" s="213"/>
      <c r="AF37" s="213"/>
      <c r="AG37" s="213"/>
      <c r="AH37" s="213"/>
      <c r="AI37" s="213"/>
      <c r="AJ37" s="213"/>
      <c r="AK37" s="213"/>
      <c r="AL37" s="213"/>
      <c r="AM37" s="1282"/>
      <c r="AN37" s="1282"/>
      <c r="AO37" s="1283"/>
      <c r="AP37" s="1283"/>
      <c r="AQ37" s="1282"/>
      <c r="AR37" s="1290"/>
      <c r="AS37" s="1286"/>
      <c r="AT37" s="1286"/>
      <c r="AU37" s="1286"/>
      <c r="AV37" s="1286"/>
      <c r="AW37" s="1286"/>
      <c r="AX37" s="1286"/>
      <c r="AY37" s="1286"/>
      <c r="AZ37" s="1286"/>
      <c r="BA37" s="1286"/>
      <c r="BB37" s="1286"/>
      <c r="BC37" s="1286"/>
      <c r="BD37" s="1286"/>
      <c r="BE37" s="162"/>
      <c r="BF37" s="162"/>
      <c r="BG37" s="162"/>
      <c r="BH37" s="162"/>
      <c r="BI37" s="162"/>
      <c r="BJ37" s="162"/>
      <c r="BK37" s="162"/>
      <c r="BL37" s="162"/>
      <c r="BM37" s="162"/>
      <c r="BN37" s="162"/>
      <c r="BO37" s="162"/>
      <c r="BP37" s="162"/>
      <c r="BQ37" s="162"/>
      <c r="BR37" s="162"/>
    </row>
    <row r="38" spans="1:70" x14ac:dyDescent="0.2">
      <c r="A38" s="189"/>
      <c r="B38" s="189"/>
      <c r="C38" s="221"/>
      <c r="D38" s="189"/>
      <c r="E38" s="213"/>
      <c r="F38" s="213"/>
      <c r="G38" s="213"/>
      <c r="H38" s="189"/>
      <c r="I38" s="189"/>
      <c r="J38" s="189"/>
      <c r="K38" s="189"/>
      <c r="L38" s="213"/>
      <c r="M38" s="213"/>
      <c r="N38" s="213"/>
      <c r="O38" s="213"/>
      <c r="P38" s="213"/>
      <c r="Q38" s="189"/>
      <c r="R38" s="189"/>
      <c r="S38" s="189"/>
      <c r="T38" s="189"/>
      <c r="U38" s="189"/>
      <c r="V38" s="189"/>
      <c r="W38" s="189"/>
      <c r="X38" s="189"/>
      <c r="Y38" s="189"/>
      <c r="Z38" s="189"/>
      <c r="AA38" s="189"/>
      <c r="AB38" s="189"/>
      <c r="AC38" s="189"/>
      <c r="AD38" s="189"/>
      <c r="AE38" s="189"/>
      <c r="AF38" s="189"/>
      <c r="AG38" s="189"/>
      <c r="AH38" s="189"/>
      <c r="AI38" s="189"/>
      <c r="AJ38" s="189"/>
      <c r="AK38" s="189"/>
      <c r="AL38" s="189"/>
      <c r="AM38" s="1286"/>
      <c r="AN38" s="1286"/>
      <c r="AO38" s="1286"/>
      <c r="AP38" s="1286"/>
      <c r="AQ38" s="1286"/>
      <c r="AR38" s="1290"/>
      <c r="AS38" s="1286"/>
      <c r="AT38" s="1286"/>
      <c r="AU38" s="1286"/>
      <c r="AV38" s="1286"/>
      <c r="AW38" s="1286"/>
      <c r="AX38" s="1286"/>
      <c r="AY38" s="1286"/>
      <c r="AZ38" s="1286"/>
      <c r="BA38" s="1286"/>
      <c r="BB38" s="1286"/>
      <c r="BC38" s="1286"/>
      <c r="BD38" s="1286"/>
      <c r="BE38" s="162"/>
      <c r="BF38" s="162"/>
      <c r="BG38" s="162"/>
      <c r="BH38" s="162"/>
      <c r="BI38" s="162"/>
      <c r="BJ38" s="162"/>
      <c r="BK38" s="162"/>
      <c r="BL38" s="162"/>
      <c r="BM38" s="162"/>
      <c r="BN38" s="162"/>
      <c r="BO38" s="162"/>
      <c r="BP38" s="162"/>
      <c r="BQ38" s="162"/>
      <c r="BR38" s="162"/>
    </row>
    <row r="39" spans="1:70" x14ac:dyDescent="0.2">
      <c r="A39" s="162"/>
      <c r="B39" s="162"/>
      <c r="C39" s="162"/>
      <c r="D39" s="162"/>
      <c r="E39" s="213"/>
      <c r="F39" s="213"/>
      <c r="G39" s="213"/>
      <c r="H39" s="162"/>
      <c r="I39" s="162"/>
      <c r="J39" s="162"/>
      <c r="K39" s="162"/>
      <c r="L39" s="213"/>
      <c r="M39" s="213"/>
      <c r="N39" s="213"/>
      <c r="O39" s="213"/>
      <c r="P39" s="213"/>
      <c r="Q39" s="162"/>
      <c r="R39" s="162"/>
      <c r="S39" s="162"/>
      <c r="T39" s="162"/>
      <c r="U39" s="162"/>
      <c r="V39" s="162"/>
      <c r="W39" s="162"/>
      <c r="X39" s="162"/>
      <c r="Y39" s="162"/>
      <c r="Z39" s="162"/>
      <c r="AA39" s="162"/>
      <c r="AB39" s="162"/>
      <c r="AC39" s="162"/>
      <c r="AD39" s="162"/>
      <c r="AE39" s="162"/>
      <c r="AF39" s="162"/>
      <c r="AG39" s="162"/>
      <c r="AH39" s="162"/>
      <c r="AI39" s="162"/>
      <c r="AJ39" s="162"/>
      <c r="AK39" s="162"/>
      <c r="AL39" s="162"/>
      <c r="AM39" s="1286"/>
      <c r="AN39" s="1286"/>
      <c r="AO39" s="1286"/>
      <c r="AP39" s="1286"/>
      <c r="AQ39" s="1286"/>
      <c r="AR39" s="1290"/>
      <c r="AS39" s="1286"/>
      <c r="AT39" s="1286"/>
      <c r="AU39" s="1286"/>
      <c r="AV39" s="1286"/>
      <c r="AW39" s="1286"/>
      <c r="AX39" s="1286"/>
      <c r="AY39" s="1286"/>
      <c r="AZ39" s="1286"/>
      <c r="BA39" s="1286"/>
      <c r="BB39" s="1286"/>
      <c r="BC39" s="1286"/>
      <c r="BD39" s="1286"/>
      <c r="BE39" s="162"/>
      <c r="BF39" s="162"/>
      <c r="BG39" s="162"/>
      <c r="BH39" s="162"/>
      <c r="BI39" s="162"/>
      <c r="BJ39" s="162"/>
      <c r="BK39" s="162"/>
      <c r="BL39" s="162"/>
      <c r="BM39" s="162"/>
      <c r="BN39" s="162"/>
      <c r="BO39" s="162"/>
      <c r="BP39" s="162"/>
      <c r="BQ39" s="162"/>
      <c r="BR39" s="162"/>
    </row>
    <row r="40" spans="1:70" x14ac:dyDescent="0.2">
      <c r="A40" s="162"/>
      <c r="B40" s="162"/>
      <c r="C40" s="162"/>
      <c r="D40" s="162"/>
      <c r="E40" s="213"/>
      <c r="F40" s="213"/>
      <c r="G40" s="213"/>
      <c r="H40" s="162"/>
      <c r="I40" s="162"/>
      <c r="J40" s="162"/>
      <c r="K40" s="162"/>
      <c r="L40" s="162"/>
      <c r="M40" s="162"/>
      <c r="N40" s="162"/>
      <c r="O40" s="162"/>
      <c r="P40" s="162"/>
      <c r="Q40" s="162"/>
      <c r="R40" s="162"/>
      <c r="S40" s="162"/>
      <c r="T40" s="162"/>
      <c r="U40" s="162"/>
      <c r="V40" s="162"/>
      <c r="W40" s="162"/>
      <c r="X40" s="162"/>
      <c r="Y40" s="162"/>
      <c r="Z40" s="162"/>
      <c r="AA40" s="162"/>
      <c r="AB40" s="162"/>
      <c r="AC40" s="162"/>
      <c r="AD40" s="162"/>
      <c r="AE40" s="162"/>
      <c r="AF40" s="162"/>
      <c r="AG40" s="162"/>
      <c r="AH40" s="162"/>
      <c r="AI40" s="162"/>
      <c r="AJ40" s="162"/>
      <c r="AK40" s="162"/>
      <c r="AL40" s="162"/>
      <c r="AM40" s="1286"/>
      <c r="AN40" s="1286"/>
      <c r="AO40" s="1286"/>
      <c r="AP40" s="1286"/>
      <c r="AQ40" s="1286"/>
      <c r="AR40" s="1290"/>
      <c r="AS40" s="1286"/>
      <c r="AT40" s="1286"/>
      <c r="AU40" s="1286"/>
      <c r="AV40" s="1286"/>
      <c r="AW40" s="1286"/>
      <c r="AX40" s="1286"/>
      <c r="AY40" s="1286"/>
      <c r="AZ40" s="1286"/>
      <c r="BA40" s="1286"/>
      <c r="BB40" s="1286"/>
      <c r="BC40" s="1286"/>
      <c r="BD40" s="1286"/>
      <c r="BE40" s="162"/>
      <c r="BF40" s="162"/>
      <c r="BG40" s="162"/>
      <c r="BH40" s="162"/>
      <c r="BI40" s="162"/>
      <c r="BJ40" s="162"/>
      <c r="BK40" s="162"/>
      <c r="BL40" s="162"/>
      <c r="BM40" s="162"/>
      <c r="BN40" s="162"/>
      <c r="BO40" s="162"/>
      <c r="BP40" s="162"/>
      <c r="BQ40" s="162"/>
      <c r="BR40" s="162"/>
    </row>
    <row r="41" spans="1:70" x14ac:dyDescent="0.2">
      <c r="A41" s="162"/>
      <c r="B41" s="162"/>
      <c r="C41" s="162"/>
      <c r="D41" s="162"/>
      <c r="E41" s="213"/>
      <c r="F41" s="213"/>
      <c r="G41" s="213"/>
      <c r="H41" s="162"/>
      <c r="I41" s="162"/>
      <c r="J41" s="162"/>
      <c r="K41" s="162"/>
      <c r="L41" s="162"/>
      <c r="M41" s="162"/>
      <c r="N41" s="162"/>
      <c r="O41" s="162"/>
      <c r="P41" s="162"/>
      <c r="Q41" s="162"/>
      <c r="R41" s="162"/>
      <c r="S41" s="162"/>
      <c r="T41" s="162"/>
      <c r="U41" s="162"/>
      <c r="V41" s="162"/>
      <c r="W41" s="162"/>
      <c r="X41" s="162"/>
      <c r="Y41" s="162"/>
      <c r="Z41" s="162"/>
      <c r="AA41" s="162"/>
      <c r="AB41" s="162"/>
      <c r="AC41" s="162"/>
      <c r="AD41" s="162"/>
      <c r="AE41" s="162"/>
      <c r="AF41" s="162"/>
      <c r="AG41" s="162"/>
      <c r="AH41" s="162"/>
      <c r="AI41" s="162"/>
      <c r="AJ41" s="162"/>
      <c r="AK41" s="162"/>
      <c r="AL41" s="162"/>
      <c r="AM41" s="1286"/>
      <c r="AN41" s="1286"/>
      <c r="AO41" s="1286"/>
      <c r="AP41" s="1286"/>
      <c r="AQ41" s="1286"/>
      <c r="AR41" s="1290"/>
      <c r="AS41" s="1286"/>
      <c r="AT41" s="1286"/>
      <c r="AU41" s="1286"/>
      <c r="AV41" s="1286"/>
      <c r="AW41" s="1286"/>
      <c r="AX41" s="1286"/>
      <c r="AY41" s="1286"/>
      <c r="AZ41" s="1286"/>
      <c r="BA41" s="1286"/>
      <c r="BB41" s="1286"/>
      <c r="BC41" s="1286"/>
      <c r="BD41" s="1286"/>
      <c r="BE41" s="162"/>
      <c r="BF41" s="162"/>
      <c r="BG41" s="162"/>
      <c r="BH41" s="162"/>
      <c r="BI41" s="162"/>
      <c r="BJ41" s="162"/>
      <c r="BK41" s="162"/>
      <c r="BL41" s="162"/>
      <c r="BM41" s="162"/>
      <c r="BN41" s="162"/>
      <c r="BO41" s="162"/>
      <c r="BP41" s="162"/>
      <c r="BQ41" s="162"/>
      <c r="BR41" s="162"/>
    </row>
    <row r="42" spans="1:70" x14ac:dyDescent="0.2">
      <c r="A42" s="162"/>
      <c r="B42" s="162"/>
      <c r="C42" s="162"/>
      <c r="D42" s="162"/>
      <c r="E42" s="213"/>
      <c r="F42" s="213"/>
      <c r="G42" s="213"/>
      <c r="H42" s="162"/>
      <c r="I42" s="162"/>
      <c r="J42" s="162"/>
      <c r="K42" s="162"/>
      <c r="L42" s="162"/>
      <c r="M42" s="162"/>
      <c r="N42" s="162"/>
      <c r="O42" s="162"/>
      <c r="P42" s="162"/>
      <c r="Q42" s="162"/>
      <c r="R42" s="162"/>
      <c r="S42" s="162"/>
      <c r="T42" s="162"/>
      <c r="U42" s="162"/>
      <c r="V42" s="162"/>
      <c r="W42" s="162"/>
      <c r="X42" s="162"/>
      <c r="Y42" s="162"/>
      <c r="Z42" s="162"/>
      <c r="AA42" s="162"/>
      <c r="AB42" s="162"/>
      <c r="AC42" s="162"/>
      <c r="AD42" s="162"/>
      <c r="AE42" s="162"/>
      <c r="AF42" s="162"/>
      <c r="AG42" s="162"/>
      <c r="AH42" s="162"/>
      <c r="AI42" s="162"/>
      <c r="AJ42" s="162"/>
      <c r="AK42" s="162"/>
      <c r="AL42" s="162"/>
      <c r="AM42" s="1286"/>
      <c r="AN42" s="1286"/>
      <c r="AO42" s="1286"/>
      <c r="AP42" s="1286"/>
      <c r="AQ42" s="1286"/>
      <c r="AR42" s="1290"/>
      <c r="AS42" s="1286"/>
      <c r="AT42" s="1286"/>
      <c r="AU42" s="1286"/>
      <c r="AV42" s="1286"/>
      <c r="AW42" s="1286"/>
      <c r="AX42" s="1286"/>
      <c r="AY42" s="1286"/>
      <c r="AZ42" s="1286"/>
      <c r="BA42" s="1286"/>
      <c r="BB42" s="1286"/>
      <c r="BC42" s="1286"/>
      <c r="BD42" s="1286"/>
      <c r="BE42" s="162"/>
      <c r="BF42" s="162"/>
      <c r="BG42" s="162"/>
      <c r="BH42" s="162"/>
      <c r="BI42" s="162"/>
      <c r="BJ42" s="162"/>
      <c r="BK42" s="162"/>
      <c r="BL42" s="162"/>
      <c r="BM42" s="162"/>
      <c r="BN42" s="162"/>
      <c r="BO42" s="162"/>
      <c r="BP42" s="162"/>
      <c r="BQ42" s="162"/>
      <c r="BR42" s="162"/>
    </row>
    <row r="43" spans="1:70" x14ac:dyDescent="0.2">
      <c r="A43" s="162"/>
      <c r="B43" s="162"/>
      <c r="C43" s="162"/>
      <c r="D43" s="162"/>
      <c r="E43" s="213"/>
      <c r="F43" s="213"/>
      <c r="G43" s="213"/>
      <c r="H43" s="162"/>
      <c r="I43" s="162"/>
      <c r="J43" s="162"/>
      <c r="K43" s="162"/>
      <c r="L43" s="162"/>
      <c r="M43" s="162"/>
      <c r="N43" s="162"/>
      <c r="O43" s="162"/>
      <c r="P43" s="162"/>
      <c r="Q43" s="162"/>
      <c r="R43" s="162"/>
      <c r="S43" s="162"/>
      <c r="T43" s="162"/>
      <c r="U43" s="162"/>
      <c r="V43" s="162"/>
      <c r="W43" s="162"/>
      <c r="X43" s="162"/>
      <c r="Y43" s="162"/>
      <c r="Z43" s="162"/>
      <c r="AA43" s="162"/>
      <c r="AB43" s="162"/>
      <c r="AC43" s="162"/>
      <c r="AD43" s="162"/>
      <c r="AE43" s="162"/>
      <c r="AF43" s="162"/>
      <c r="AG43" s="162"/>
      <c r="AH43" s="162"/>
      <c r="AI43" s="162"/>
      <c r="AJ43" s="162"/>
      <c r="AK43" s="162"/>
      <c r="AL43" s="162"/>
      <c r="AM43" s="1286"/>
      <c r="AN43" s="1286"/>
      <c r="AO43" s="1286"/>
      <c r="AP43" s="1286"/>
      <c r="AQ43" s="1286"/>
      <c r="AR43" s="1290"/>
      <c r="AS43" s="1286"/>
      <c r="AT43" s="1286"/>
      <c r="AU43" s="1286"/>
      <c r="AV43" s="1286"/>
      <c r="AW43" s="1286"/>
      <c r="AX43" s="1286"/>
      <c r="AY43" s="1286"/>
      <c r="AZ43" s="1286"/>
      <c r="BA43" s="1286"/>
      <c r="BB43" s="1286"/>
      <c r="BC43" s="1286"/>
      <c r="BD43" s="1286"/>
      <c r="BE43" s="162"/>
      <c r="BF43" s="162"/>
      <c r="BG43" s="162"/>
      <c r="BH43" s="162"/>
      <c r="BI43" s="162"/>
      <c r="BJ43" s="162"/>
      <c r="BK43" s="162"/>
      <c r="BL43" s="162"/>
      <c r="BM43" s="162"/>
      <c r="BN43" s="162"/>
      <c r="BO43" s="162"/>
      <c r="BP43" s="162"/>
      <c r="BQ43" s="162"/>
      <c r="BR43" s="162"/>
    </row>
    <row r="44" spans="1:70" x14ac:dyDescent="0.2">
      <c r="A44" s="162"/>
      <c r="B44" s="162"/>
      <c r="C44" s="162"/>
      <c r="D44" s="162"/>
      <c r="E44" s="213"/>
      <c r="F44" s="213"/>
      <c r="G44" s="213"/>
      <c r="H44" s="162"/>
      <c r="I44" s="162"/>
      <c r="J44" s="162"/>
      <c r="K44" s="162"/>
      <c r="L44" s="162"/>
      <c r="M44" s="162"/>
      <c r="N44" s="162"/>
      <c r="O44" s="162"/>
      <c r="P44" s="162"/>
      <c r="Q44" s="162"/>
      <c r="R44" s="162"/>
      <c r="S44" s="162"/>
      <c r="T44" s="162"/>
      <c r="U44" s="162"/>
      <c r="V44" s="162"/>
      <c r="W44" s="162"/>
      <c r="X44" s="162"/>
      <c r="Y44" s="162"/>
      <c r="Z44" s="162"/>
      <c r="AA44" s="162"/>
      <c r="AB44" s="162"/>
      <c r="AC44" s="162"/>
      <c r="AD44" s="162"/>
      <c r="AE44" s="162"/>
      <c r="AF44" s="162"/>
      <c r="AG44" s="162"/>
      <c r="AH44" s="162"/>
      <c r="AI44" s="162"/>
      <c r="AJ44" s="162"/>
      <c r="AK44" s="162"/>
      <c r="AL44" s="162"/>
      <c r="AM44" s="1286"/>
      <c r="AN44" s="1286"/>
      <c r="AO44" s="1286"/>
      <c r="AP44" s="1286"/>
      <c r="AQ44" s="1286"/>
      <c r="AR44" s="1290"/>
      <c r="AS44" s="1286"/>
      <c r="AT44" s="1286"/>
      <c r="AU44" s="1286"/>
      <c r="AV44" s="1286"/>
      <c r="AW44" s="1286"/>
      <c r="AX44" s="1286"/>
      <c r="AY44" s="1286"/>
      <c r="AZ44" s="1286"/>
      <c r="BA44" s="1286"/>
      <c r="BB44" s="1286"/>
      <c r="BC44" s="1286"/>
      <c r="BD44" s="1286"/>
      <c r="BE44" s="162"/>
      <c r="BF44" s="162"/>
      <c r="BG44" s="162"/>
      <c r="BH44" s="162"/>
      <c r="BI44" s="162"/>
      <c r="BJ44" s="162"/>
      <c r="BK44" s="162"/>
      <c r="BL44" s="162"/>
      <c r="BM44" s="162"/>
      <c r="BN44" s="162"/>
      <c r="BO44" s="162"/>
      <c r="BP44" s="162"/>
      <c r="BQ44" s="162"/>
      <c r="BR44" s="162"/>
    </row>
    <row r="45" spans="1:70" x14ac:dyDescent="0.2">
      <c r="A45" s="162"/>
      <c r="B45" s="162"/>
      <c r="C45" s="162"/>
      <c r="D45" s="162"/>
      <c r="E45" s="162"/>
      <c r="F45" s="162"/>
      <c r="G45" s="213"/>
      <c r="H45" s="162"/>
      <c r="I45" s="162"/>
      <c r="J45" s="162"/>
      <c r="K45" s="162"/>
      <c r="L45" s="162"/>
      <c r="M45" s="162"/>
      <c r="N45" s="162"/>
      <c r="O45" s="162"/>
      <c r="P45" s="162"/>
      <c r="Q45" s="162"/>
      <c r="R45" s="162"/>
      <c r="S45" s="162"/>
      <c r="T45" s="162"/>
      <c r="U45" s="162"/>
      <c r="V45" s="162"/>
      <c r="W45" s="162"/>
      <c r="X45" s="162"/>
      <c r="Y45" s="162"/>
      <c r="Z45" s="162"/>
      <c r="AA45" s="162"/>
      <c r="AB45" s="162"/>
      <c r="AC45" s="162"/>
      <c r="AD45" s="162"/>
      <c r="AE45" s="162"/>
      <c r="AF45" s="162"/>
      <c r="AG45" s="162"/>
      <c r="AH45" s="162"/>
      <c r="AI45" s="162"/>
      <c r="AJ45" s="162"/>
      <c r="AK45" s="162"/>
      <c r="AL45" s="162"/>
      <c r="AM45" s="1286"/>
      <c r="AN45" s="1286"/>
      <c r="AO45" s="1286"/>
      <c r="AP45" s="1286"/>
      <c r="AQ45" s="1286"/>
      <c r="AR45" s="1290"/>
      <c r="AS45" s="1286"/>
      <c r="AT45" s="1286"/>
      <c r="AU45" s="1286"/>
      <c r="AV45" s="1286"/>
      <c r="AW45" s="1286"/>
      <c r="AX45" s="1286"/>
      <c r="AY45" s="1286"/>
      <c r="AZ45" s="1286"/>
      <c r="BA45" s="1286"/>
      <c r="BB45" s="1286"/>
      <c r="BC45" s="1286"/>
      <c r="BD45" s="1286"/>
      <c r="BE45" s="162"/>
      <c r="BF45" s="162"/>
      <c r="BG45" s="162"/>
      <c r="BH45" s="162"/>
      <c r="BI45" s="162"/>
      <c r="BJ45" s="162"/>
      <c r="BK45" s="162"/>
      <c r="BL45" s="162"/>
      <c r="BM45" s="162"/>
      <c r="BN45" s="162"/>
      <c r="BO45" s="162"/>
      <c r="BP45" s="162"/>
      <c r="BQ45" s="162"/>
      <c r="BR45" s="162"/>
    </row>
    <row r="46" spans="1:70" x14ac:dyDescent="0.2">
      <c r="A46" s="162"/>
      <c r="B46" s="162"/>
      <c r="C46" s="162"/>
      <c r="D46" s="162"/>
      <c r="E46" s="162"/>
      <c r="F46" s="162"/>
      <c r="G46" s="213"/>
      <c r="H46" s="162"/>
      <c r="I46" s="162"/>
      <c r="J46" s="162"/>
      <c r="K46" s="162"/>
      <c r="L46" s="162"/>
      <c r="M46" s="162"/>
      <c r="N46" s="162"/>
      <c r="O46" s="162"/>
      <c r="P46" s="162"/>
      <c r="Q46" s="162"/>
      <c r="R46" s="162"/>
      <c r="S46" s="162"/>
      <c r="T46" s="162"/>
      <c r="U46" s="162"/>
      <c r="V46" s="162"/>
      <c r="W46" s="162"/>
      <c r="X46" s="162"/>
      <c r="Y46" s="162"/>
      <c r="Z46" s="162"/>
      <c r="AA46" s="162"/>
      <c r="AB46" s="162"/>
      <c r="AC46" s="162"/>
      <c r="AD46" s="162"/>
      <c r="AE46" s="162"/>
      <c r="AF46" s="162"/>
      <c r="AG46" s="162"/>
      <c r="AH46" s="162"/>
      <c r="AI46" s="162"/>
      <c r="AJ46" s="162"/>
      <c r="AK46" s="162"/>
      <c r="AL46" s="162"/>
      <c r="AM46" s="1286"/>
      <c r="AN46" s="1286"/>
      <c r="AO46" s="1286"/>
      <c r="AP46" s="1286"/>
      <c r="AQ46" s="1286"/>
      <c r="AR46" s="1290"/>
      <c r="AS46" s="1286"/>
      <c r="AT46" s="1286"/>
      <c r="AU46" s="1286"/>
      <c r="AV46" s="1286"/>
      <c r="AW46" s="1286"/>
      <c r="AX46" s="1286"/>
      <c r="AY46" s="1286"/>
      <c r="AZ46" s="1286"/>
      <c r="BA46" s="1286"/>
      <c r="BB46" s="1286"/>
      <c r="BC46" s="1286"/>
      <c r="BD46" s="1286"/>
      <c r="BE46" s="162"/>
      <c r="BF46" s="162"/>
      <c r="BG46" s="162"/>
      <c r="BH46" s="162"/>
      <c r="BI46" s="162"/>
      <c r="BJ46" s="162"/>
      <c r="BK46" s="162"/>
      <c r="BL46" s="162"/>
      <c r="BM46" s="162"/>
      <c r="BN46" s="162"/>
      <c r="BO46" s="162"/>
      <c r="BP46" s="162"/>
      <c r="BQ46" s="162"/>
      <c r="BR46" s="162"/>
    </row>
    <row r="47" spans="1:70" x14ac:dyDescent="0.2">
      <c r="A47" s="162"/>
      <c r="B47" s="162"/>
      <c r="C47" s="162"/>
      <c r="D47" s="162"/>
      <c r="E47" s="162"/>
      <c r="F47" s="162"/>
      <c r="G47" s="213"/>
      <c r="H47" s="162"/>
      <c r="I47" s="162"/>
      <c r="J47" s="162"/>
      <c r="K47" s="162"/>
      <c r="L47" s="162"/>
      <c r="M47" s="162"/>
      <c r="N47" s="162"/>
      <c r="O47" s="162"/>
      <c r="P47" s="162"/>
      <c r="Q47" s="162"/>
      <c r="R47" s="162"/>
      <c r="S47" s="162"/>
      <c r="T47" s="162"/>
      <c r="U47" s="162"/>
      <c r="V47" s="162"/>
      <c r="W47" s="162"/>
      <c r="X47" s="162"/>
      <c r="Y47" s="162"/>
      <c r="Z47" s="162"/>
      <c r="AA47" s="162"/>
      <c r="AB47" s="162"/>
      <c r="AC47" s="162"/>
      <c r="AD47" s="162"/>
      <c r="AE47" s="162"/>
      <c r="AF47" s="162"/>
      <c r="AG47" s="162"/>
      <c r="AH47" s="162"/>
      <c r="AI47" s="162"/>
      <c r="AJ47" s="162"/>
      <c r="AK47" s="162"/>
      <c r="AL47" s="162"/>
      <c r="AM47" s="1286"/>
      <c r="AN47" s="1286"/>
      <c r="AO47" s="1286"/>
      <c r="AP47" s="1286"/>
      <c r="AQ47" s="1286"/>
      <c r="AR47" s="1290"/>
      <c r="AS47" s="1286"/>
      <c r="AT47" s="1286"/>
      <c r="AU47" s="1286"/>
      <c r="AV47" s="1286"/>
      <c r="AW47" s="1286"/>
      <c r="AX47" s="1286"/>
      <c r="AY47" s="1286"/>
      <c r="AZ47" s="1286"/>
      <c r="BA47" s="1286"/>
      <c r="BB47" s="1286"/>
      <c r="BC47" s="1286"/>
      <c r="BD47" s="1286"/>
      <c r="BE47" s="162"/>
      <c r="BF47" s="162"/>
      <c r="BG47" s="162"/>
      <c r="BH47" s="162"/>
      <c r="BI47" s="162"/>
      <c r="BJ47" s="162"/>
      <c r="BK47" s="162"/>
      <c r="BL47" s="162"/>
      <c r="BM47" s="162"/>
      <c r="BN47" s="162"/>
      <c r="BO47" s="162"/>
      <c r="BP47" s="162"/>
      <c r="BQ47" s="162"/>
      <c r="BR47" s="162"/>
    </row>
    <row r="48" spans="1:70" x14ac:dyDescent="0.2">
      <c r="A48" s="162"/>
      <c r="B48" s="162"/>
      <c r="C48" s="162"/>
      <c r="D48" s="162"/>
      <c r="E48" s="162"/>
      <c r="F48" s="162"/>
      <c r="G48" s="213"/>
      <c r="H48" s="162"/>
      <c r="I48" s="162"/>
      <c r="J48" s="162"/>
      <c r="K48" s="162"/>
      <c r="L48" s="162"/>
      <c r="M48" s="162"/>
      <c r="N48" s="162"/>
      <c r="O48" s="162"/>
      <c r="P48" s="162"/>
      <c r="Q48" s="162"/>
      <c r="R48" s="162"/>
      <c r="S48" s="162"/>
      <c r="T48" s="162"/>
      <c r="U48" s="162"/>
      <c r="V48" s="162"/>
      <c r="W48" s="162"/>
      <c r="X48" s="162"/>
      <c r="Y48" s="162"/>
      <c r="Z48" s="162"/>
      <c r="AA48" s="162"/>
      <c r="AB48" s="162"/>
      <c r="AC48" s="162"/>
      <c r="AD48" s="162"/>
      <c r="AE48" s="162"/>
      <c r="AF48" s="162"/>
      <c r="AG48" s="162"/>
      <c r="AH48" s="162"/>
      <c r="AI48" s="162"/>
      <c r="AJ48" s="162"/>
      <c r="AK48" s="162"/>
      <c r="AL48" s="162"/>
      <c r="AM48" s="1286"/>
      <c r="AN48" s="1286"/>
      <c r="AO48" s="1286"/>
      <c r="AP48" s="1286"/>
      <c r="AQ48" s="1286"/>
      <c r="AR48" s="1290"/>
      <c r="AS48" s="1286"/>
      <c r="AT48" s="1286"/>
      <c r="AU48" s="1286"/>
      <c r="AV48" s="1286"/>
      <c r="AW48" s="1286"/>
      <c r="AX48" s="1286"/>
      <c r="AY48" s="1286"/>
      <c r="AZ48" s="1286"/>
      <c r="BA48" s="1286"/>
      <c r="BB48" s="1286"/>
      <c r="BC48" s="1286"/>
      <c r="BD48" s="1286"/>
      <c r="BE48" s="162"/>
      <c r="BF48" s="162"/>
      <c r="BG48" s="162"/>
      <c r="BH48" s="162"/>
      <c r="BI48" s="162"/>
      <c r="BJ48" s="162"/>
      <c r="BK48" s="162"/>
      <c r="BL48" s="162"/>
      <c r="BM48" s="162"/>
      <c r="BN48" s="162"/>
      <c r="BO48" s="162"/>
      <c r="BP48" s="162"/>
      <c r="BQ48" s="162"/>
      <c r="BR48" s="162"/>
    </row>
    <row r="49" spans="1:70" x14ac:dyDescent="0.2">
      <c r="A49" s="162"/>
      <c r="B49" s="162"/>
      <c r="C49" s="162"/>
      <c r="D49" s="162"/>
      <c r="E49" s="162"/>
      <c r="F49" s="162"/>
      <c r="G49" s="213"/>
      <c r="H49" s="162"/>
      <c r="I49" s="162"/>
      <c r="J49" s="162"/>
      <c r="K49" s="162"/>
      <c r="L49" s="162"/>
      <c r="M49" s="162"/>
      <c r="N49" s="162"/>
      <c r="O49" s="162"/>
      <c r="P49" s="162"/>
      <c r="Q49" s="162"/>
      <c r="R49" s="162"/>
      <c r="S49" s="162"/>
      <c r="T49" s="162"/>
      <c r="U49" s="162"/>
      <c r="V49" s="162"/>
      <c r="W49" s="162"/>
      <c r="X49" s="162"/>
      <c r="Y49" s="162"/>
      <c r="Z49" s="162"/>
      <c r="AA49" s="162"/>
      <c r="AB49" s="162"/>
      <c r="AC49" s="162"/>
      <c r="AD49" s="162"/>
      <c r="AE49" s="162"/>
      <c r="AF49" s="162"/>
      <c r="AG49" s="162"/>
      <c r="AH49" s="162"/>
      <c r="AI49" s="162"/>
      <c r="AJ49" s="162"/>
      <c r="AK49" s="162"/>
      <c r="AL49" s="162"/>
      <c r="AM49" s="1286"/>
      <c r="AN49" s="1286"/>
      <c r="AO49" s="1286"/>
      <c r="AP49" s="1286"/>
      <c r="AQ49" s="1286"/>
      <c r="AR49" s="1290"/>
      <c r="AS49" s="1286"/>
      <c r="AT49" s="1286"/>
      <c r="AU49" s="1286"/>
      <c r="AV49" s="1286"/>
      <c r="AW49" s="1286"/>
      <c r="AX49" s="1286"/>
      <c r="AY49" s="1286"/>
      <c r="AZ49" s="1286"/>
      <c r="BA49" s="1286"/>
      <c r="BB49" s="1286"/>
      <c r="BC49" s="1286"/>
      <c r="BD49" s="1286"/>
      <c r="BE49" s="162"/>
      <c r="BF49" s="162"/>
      <c r="BG49" s="162"/>
      <c r="BH49" s="162"/>
      <c r="BI49" s="162"/>
      <c r="BJ49" s="162"/>
      <c r="BK49" s="162"/>
      <c r="BL49" s="162"/>
      <c r="BM49" s="162"/>
      <c r="BN49" s="162"/>
      <c r="BO49" s="162"/>
      <c r="BP49" s="162"/>
      <c r="BQ49" s="162"/>
      <c r="BR49" s="162"/>
    </row>
    <row r="50" spans="1:70" x14ac:dyDescent="0.2">
      <c r="A50" s="162"/>
      <c r="B50" s="162"/>
      <c r="C50" s="162"/>
      <c r="D50" s="162"/>
      <c r="E50" s="162"/>
      <c r="F50" s="162"/>
      <c r="G50" s="213"/>
      <c r="H50" s="162"/>
      <c r="I50" s="162"/>
      <c r="J50" s="162"/>
      <c r="K50" s="162"/>
      <c r="L50" s="162"/>
      <c r="M50" s="162"/>
      <c r="N50" s="162"/>
      <c r="O50" s="162"/>
      <c r="P50" s="162"/>
      <c r="Q50" s="162"/>
      <c r="R50" s="162"/>
      <c r="S50" s="162"/>
      <c r="T50" s="162"/>
      <c r="U50" s="162"/>
      <c r="V50" s="162"/>
      <c r="W50" s="162"/>
      <c r="X50" s="162"/>
      <c r="Y50" s="162"/>
      <c r="Z50" s="162"/>
      <c r="AA50" s="162"/>
      <c r="AB50" s="162"/>
      <c r="AC50" s="162"/>
      <c r="AD50" s="162"/>
      <c r="AE50" s="162"/>
      <c r="AF50" s="162"/>
      <c r="AG50" s="162"/>
      <c r="AH50" s="162"/>
      <c r="AI50" s="162"/>
      <c r="AJ50" s="162"/>
      <c r="AK50" s="162"/>
      <c r="AL50" s="162"/>
      <c r="AM50" s="1286"/>
      <c r="AN50" s="1286"/>
      <c r="AO50" s="1286"/>
      <c r="AP50" s="1286"/>
      <c r="AQ50" s="1286"/>
      <c r="AR50" s="1290"/>
      <c r="AS50" s="1286"/>
      <c r="AT50" s="1286"/>
      <c r="AU50" s="1286"/>
      <c r="AV50" s="1286"/>
      <c r="AW50" s="1286"/>
      <c r="AX50" s="1286"/>
      <c r="AY50" s="1286"/>
      <c r="AZ50" s="1286"/>
      <c r="BA50" s="1286"/>
      <c r="BB50" s="1286"/>
      <c r="BC50" s="1286"/>
      <c r="BD50" s="1286"/>
      <c r="BE50" s="162"/>
      <c r="BF50" s="162"/>
      <c r="BG50" s="162"/>
      <c r="BH50" s="162"/>
      <c r="BI50" s="162"/>
      <c r="BJ50" s="162"/>
      <c r="BK50" s="162"/>
      <c r="BL50" s="162"/>
      <c r="BM50" s="162"/>
      <c r="BN50" s="162"/>
      <c r="BO50" s="162"/>
      <c r="BP50" s="162"/>
      <c r="BQ50" s="162"/>
      <c r="BR50" s="162"/>
    </row>
    <row r="51" spans="1:70" x14ac:dyDescent="0.2">
      <c r="A51" s="162"/>
      <c r="B51" s="162"/>
      <c r="C51" s="162"/>
      <c r="D51" s="162"/>
      <c r="E51" s="162"/>
      <c r="F51" s="162"/>
      <c r="G51" s="213"/>
      <c r="H51" s="162"/>
      <c r="I51" s="162"/>
      <c r="J51" s="162"/>
      <c r="K51" s="162"/>
      <c r="L51" s="162"/>
      <c r="M51" s="162"/>
      <c r="N51" s="162"/>
      <c r="O51" s="162"/>
      <c r="P51" s="162"/>
      <c r="Q51" s="162"/>
      <c r="R51" s="162"/>
      <c r="S51" s="162"/>
      <c r="T51" s="162"/>
      <c r="U51" s="162"/>
      <c r="V51" s="162"/>
      <c r="W51" s="162"/>
      <c r="X51" s="162"/>
      <c r="Y51" s="162"/>
      <c r="Z51" s="162"/>
      <c r="AA51" s="162"/>
      <c r="AB51" s="162"/>
      <c r="AC51" s="162"/>
      <c r="AD51" s="162"/>
      <c r="AE51" s="162"/>
      <c r="AF51" s="162"/>
      <c r="AG51" s="162"/>
      <c r="AH51" s="162"/>
      <c r="AI51" s="162"/>
      <c r="AJ51" s="162"/>
      <c r="AK51" s="162"/>
      <c r="AL51" s="162"/>
      <c r="AM51" s="1286"/>
      <c r="AN51" s="1286"/>
      <c r="AO51" s="1286"/>
      <c r="AP51" s="1286"/>
      <c r="AQ51" s="1286"/>
      <c r="AR51" s="1290"/>
      <c r="AS51" s="1286"/>
      <c r="AT51" s="1286"/>
      <c r="AU51" s="1286"/>
      <c r="AV51" s="1286"/>
      <c r="AW51" s="1286"/>
      <c r="AX51" s="1286"/>
      <c r="AY51" s="1286"/>
      <c r="AZ51" s="1286"/>
      <c r="BA51" s="1286"/>
      <c r="BB51" s="1286"/>
      <c r="BC51" s="1286"/>
      <c r="BD51" s="1286"/>
      <c r="BE51" s="162"/>
      <c r="BF51" s="162"/>
      <c r="BG51" s="162"/>
      <c r="BH51" s="162"/>
      <c r="BI51" s="162"/>
      <c r="BJ51" s="162"/>
      <c r="BK51" s="162"/>
      <c r="BL51" s="162"/>
      <c r="BM51" s="162"/>
      <c r="BN51" s="162"/>
      <c r="BO51" s="162"/>
      <c r="BP51" s="162"/>
      <c r="BQ51" s="162"/>
      <c r="BR51" s="162"/>
    </row>
    <row r="52" spans="1:70" x14ac:dyDescent="0.2">
      <c r="A52" s="162"/>
      <c r="B52" s="162"/>
      <c r="C52" s="162"/>
      <c r="D52" s="162"/>
      <c r="E52" s="162"/>
      <c r="F52" s="162"/>
      <c r="G52" s="213"/>
      <c r="H52" s="162"/>
      <c r="I52" s="162"/>
      <c r="J52" s="162"/>
      <c r="K52" s="162"/>
      <c r="L52" s="162"/>
      <c r="M52" s="162"/>
      <c r="N52" s="162"/>
      <c r="O52" s="162"/>
      <c r="P52" s="162"/>
      <c r="Q52" s="162"/>
      <c r="R52" s="162"/>
      <c r="S52" s="162"/>
      <c r="T52" s="162"/>
      <c r="U52" s="162"/>
      <c r="V52" s="162"/>
      <c r="W52" s="162"/>
      <c r="X52" s="162"/>
      <c r="Y52" s="162"/>
      <c r="Z52" s="162"/>
      <c r="AA52" s="162"/>
      <c r="AB52" s="162"/>
      <c r="AC52" s="162"/>
      <c r="AD52" s="162"/>
      <c r="AE52" s="162"/>
      <c r="AF52" s="162"/>
      <c r="AG52" s="162"/>
      <c r="AH52" s="162"/>
      <c r="AI52" s="162"/>
      <c r="AJ52" s="162"/>
      <c r="AK52" s="162"/>
      <c r="AL52" s="162"/>
      <c r="AM52" s="1286"/>
      <c r="AN52" s="1286"/>
      <c r="AO52" s="1286"/>
      <c r="AP52" s="1286"/>
      <c r="AQ52" s="1286"/>
      <c r="AR52" s="1290"/>
      <c r="AS52" s="1286"/>
      <c r="AT52" s="1286"/>
      <c r="AU52" s="1286"/>
      <c r="AV52" s="1286"/>
      <c r="AW52" s="1286"/>
      <c r="AX52" s="1286"/>
      <c r="AY52" s="1286"/>
      <c r="AZ52" s="1286"/>
      <c r="BA52" s="1286"/>
      <c r="BB52" s="1286"/>
      <c r="BC52" s="1286"/>
      <c r="BD52" s="1286"/>
      <c r="BE52" s="162"/>
      <c r="BF52" s="162"/>
      <c r="BG52" s="162"/>
      <c r="BH52" s="162"/>
      <c r="BI52" s="162"/>
      <c r="BJ52" s="162"/>
      <c r="BK52" s="162"/>
      <c r="BL52" s="162"/>
      <c r="BM52" s="162"/>
      <c r="BN52" s="162"/>
      <c r="BO52" s="162"/>
      <c r="BP52" s="162"/>
      <c r="BQ52" s="162"/>
      <c r="BR52" s="162"/>
    </row>
    <row r="53" spans="1:70" x14ac:dyDescent="0.2">
      <c r="A53" s="162"/>
      <c r="B53" s="162"/>
      <c r="C53" s="162"/>
      <c r="D53" s="162"/>
      <c r="E53" s="162"/>
      <c r="F53" s="162"/>
      <c r="G53" s="162"/>
      <c r="H53" s="162"/>
      <c r="I53" s="162"/>
      <c r="J53" s="162"/>
      <c r="K53" s="162"/>
      <c r="L53" s="162"/>
      <c r="M53" s="162"/>
      <c r="N53" s="162"/>
      <c r="O53" s="162"/>
      <c r="P53" s="162"/>
      <c r="Q53" s="162"/>
      <c r="R53" s="162"/>
      <c r="S53" s="162"/>
      <c r="T53" s="162"/>
      <c r="U53" s="162"/>
      <c r="V53" s="162"/>
      <c r="W53" s="162"/>
      <c r="X53" s="162"/>
      <c r="Y53" s="162"/>
      <c r="Z53" s="162"/>
      <c r="AA53" s="162"/>
      <c r="AB53" s="162"/>
      <c r="AC53" s="162"/>
      <c r="AD53" s="162"/>
      <c r="AE53" s="162"/>
      <c r="AF53" s="162"/>
      <c r="AG53" s="162"/>
      <c r="AH53" s="162"/>
      <c r="AI53" s="162"/>
      <c r="AJ53" s="162"/>
      <c r="AK53" s="162"/>
      <c r="AL53" s="162"/>
      <c r="AM53" s="1286"/>
      <c r="AN53" s="1286"/>
      <c r="AO53" s="1286"/>
      <c r="AP53" s="1286"/>
      <c r="AQ53" s="1286"/>
      <c r="AR53" s="1290"/>
      <c r="AS53" s="1286"/>
      <c r="AT53" s="1286"/>
      <c r="AU53" s="1286"/>
      <c r="AV53" s="1286"/>
      <c r="AW53" s="1286"/>
      <c r="AX53" s="1286"/>
      <c r="AY53" s="1286"/>
      <c r="AZ53" s="1286"/>
      <c r="BA53" s="1286"/>
      <c r="BB53" s="1286"/>
      <c r="BC53" s="1286"/>
      <c r="BD53" s="1286"/>
      <c r="BE53" s="162"/>
      <c r="BF53" s="162"/>
      <c r="BG53" s="162"/>
      <c r="BH53" s="162"/>
      <c r="BI53" s="162"/>
      <c r="BJ53" s="162"/>
      <c r="BK53" s="162"/>
      <c r="BL53" s="162"/>
      <c r="BM53" s="162"/>
      <c r="BN53" s="162"/>
      <c r="BO53" s="162"/>
      <c r="BP53" s="162"/>
      <c r="BQ53" s="162"/>
      <c r="BR53" s="162"/>
    </row>
    <row r="54" spans="1:70" x14ac:dyDescent="0.2">
      <c r="A54" s="162"/>
      <c r="B54" s="162"/>
      <c r="C54" s="162"/>
      <c r="D54" s="162"/>
      <c r="E54" s="162"/>
      <c r="F54" s="162"/>
      <c r="G54" s="162"/>
      <c r="H54" s="162"/>
      <c r="I54" s="162"/>
      <c r="J54" s="162"/>
      <c r="K54" s="162"/>
      <c r="L54" s="162"/>
      <c r="M54" s="162"/>
      <c r="N54" s="162"/>
      <c r="O54" s="162"/>
      <c r="P54" s="162"/>
      <c r="Q54" s="162"/>
      <c r="R54" s="162"/>
      <c r="S54" s="162"/>
      <c r="T54" s="162"/>
      <c r="U54" s="162"/>
      <c r="V54" s="162"/>
      <c r="W54" s="162"/>
      <c r="X54" s="162"/>
      <c r="Y54" s="162"/>
      <c r="Z54" s="162"/>
      <c r="AA54" s="162"/>
      <c r="AB54" s="162"/>
      <c r="AC54" s="162"/>
      <c r="AD54" s="162"/>
      <c r="AE54" s="162"/>
      <c r="AF54" s="162"/>
      <c r="AG54" s="162"/>
      <c r="AH54" s="162"/>
      <c r="AI54" s="162"/>
      <c r="AJ54" s="162"/>
      <c r="AK54" s="162"/>
      <c r="AL54" s="162"/>
      <c r="AM54" s="1286"/>
      <c r="AN54" s="1286"/>
      <c r="AO54" s="1286"/>
      <c r="AP54" s="1286"/>
      <c r="AQ54" s="1286"/>
      <c r="AR54" s="1290"/>
      <c r="AS54" s="1286"/>
      <c r="AT54" s="1286"/>
      <c r="AU54" s="1286"/>
      <c r="AV54" s="1286"/>
      <c r="AW54" s="1286"/>
      <c r="AX54" s="1286"/>
      <c r="AY54" s="1286"/>
      <c r="AZ54" s="1286"/>
      <c r="BA54" s="1286"/>
      <c r="BB54" s="1286"/>
      <c r="BC54" s="1286"/>
      <c r="BD54" s="1286"/>
      <c r="BE54" s="162"/>
      <c r="BF54" s="162"/>
      <c r="BG54" s="162"/>
      <c r="BH54" s="162"/>
      <c r="BI54" s="162"/>
      <c r="BJ54" s="162"/>
      <c r="BK54" s="162"/>
      <c r="BL54" s="162"/>
      <c r="BM54" s="162"/>
      <c r="BN54" s="162"/>
      <c r="BO54" s="162"/>
      <c r="BP54" s="162"/>
      <c r="BQ54" s="162"/>
      <c r="BR54" s="162"/>
    </row>
    <row r="55" spans="1:70" x14ac:dyDescent="0.2">
      <c r="A55" s="162"/>
      <c r="B55" s="162"/>
      <c r="C55" s="162"/>
      <c r="D55" s="162"/>
      <c r="E55" s="162"/>
      <c r="F55" s="162"/>
      <c r="G55" s="162"/>
      <c r="H55" s="162"/>
      <c r="I55" s="162"/>
      <c r="J55" s="162"/>
      <c r="K55" s="162"/>
      <c r="L55" s="162"/>
      <c r="M55" s="162"/>
      <c r="N55" s="162"/>
      <c r="O55" s="162"/>
      <c r="P55" s="162"/>
      <c r="Q55" s="162"/>
      <c r="R55" s="162"/>
      <c r="S55" s="162"/>
      <c r="T55" s="162"/>
      <c r="U55" s="162"/>
      <c r="V55" s="162"/>
      <c r="W55" s="162"/>
      <c r="X55" s="162"/>
      <c r="Y55" s="162"/>
      <c r="Z55" s="162"/>
      <c r="AA55" s="162"/>
      <c r="AB55" s="162"/>
      <c r="AC55" s="162"/>
      <c r="AD55" s="162"/>
      <c r="AE55" s="162"/>
      <c r="AF55" s="162"/>
      <c r="AG55" s="162"/>
      <c r="AH55" s="162"/>
      <c r="AI55" s="162"/>
      <c r="AJ55" s="162"/>
      <c r="AK55" s="162"/>
      <c r="AL55" s="162"/>
      <c r="AM55" s="1286"/>
      <c r="AN55" s="1286"/>
      <c r="AO55" s="1286"/>
      <c r="AP55" s="1286"/>
      <c r="AQ55" s="1286"/>
      <c r="AR55" s="1290"/>
      <c r="AS55" s="1286"/>
      <c r="AT55" s="1286"/>
      <c r="AU55" s="1286"/>
      <c r="AV55" s="1286"/>
      <c r="AW55" s="1286"/>
      <c r="AX55" s="1286"/>
      <c r="AY55" s="1286"/>
      <c r="AZ55" s="1286"/>
      <c r="BA55" s="1286"/>
      <c r="BB55" s="1286"/>
      <c r="BC55" s="1286"/>
      <c r="BD55" s="1286"/>
      <c r="BE55" s="162"/>
      <c r="BF55" s="162"/>
      <c r="BG55" s="162"/>
      <c r="BH55" s="162"/>
      <c r="BI55" s="162"/>
      <c r="BJ55" s="162"/>
      <c r="BK55" s="162"/>
      <c r="BL55" s="162"/>
      <c r="BM55" s="162"/>
      <c r="BN55" s="162"/>
      <c r="BO55" s="162"/>
      <c r="BP55" s="162"/>
      <c r="BQ55" s="162"/>
      <c r="BR55" s="162"/>
    </row>
    <row r="56" spans="1:70" x14ac:dyDescent="0.2">
      <c r="A56" s="162"/>
      <c r="B56" s="162"/>
      <c r="C56" s="162"/>
      <c r="D56" s="162"/>
      <c r="E56" s="162"/>
      <c r="F56" s="162"/>
      <c r="G56" s="162"/>
      <c r="H56" s="162"/>
      <c r="I56" s="162"/>
      <c r="J56" s="162"/>
      <c r="K56" s="162"/>
      <c r="L56" s="162"/>
      <c r="M56" s="162"/>
      <c r="N56" s="162"/>
      <c r="O56" s="162"/>
      <c r="P56" s="162"/>
      <c r="Q56" s="162"/>
      <c r="R56" s="162"/>
      <c r="S56" s="162"/>
      <c r="T56" s="162"/>
      <c r="U56" s="162"/>
      <c r="V56" s="162"/>
      <c r="W56" s="162"/>
      <c r="X56" s="162"/>
      <c r="Y56" s="162"/>
      <c r="Z56" s="162"/>
      <c r="AA56" s="162"/>
      <c r="AB56" s="162"/>
      <c r="AC56" s="162"/>
      <c r="AD56" s="162"/>
      <c r="AE56" s="162"/>
      <c r="AF56" s="162"/>
      <c r="AG56" s="162"/>
      <c r="AH56" s="162"/>
      <c r="AI56" s="162"/>
      <c r="AJ56" s="162"/>
      <c r="AK56" s="162"/>
      <c r="AL56" s="162"/>
      <c r="AM56" s="1286"/>
      <c r="AN56" s="1286"/>
      <c r="AO56" s="1286"/>
      <c r="AP56" s="1286"/>
      <c r="AQ56" s="1286"/>
      <c r="AR56" s="1290"/>
      <c r="AS56" s="1286"/>
      <c r="AT56" s="1286"/>
      <c r="AU56" s="1286"/>
      <c r="AV56" s="1286"/>
      <c r="AW56" s="1286"/>
      <c r="AX56" s="1286"/>
      <c r="AY56" s="1286"/>
      <c r="AZ56" s="1286"/>
      <c r="BA56" s="1286"/>
      <c r="BB56" s="1286"/>
      <c r="BC56" s="1286"/>
      <c r="BD56" s="1286"/>
      <c r="BE56" s="162"/>
      <c r="BF56" s="162"/>
      <c r="BG56" s="162"/>
      <c r="BH56" s="162"/>
      <c r="BI56" s="162"/>
      <c r="BJ56" s="162"/>
      <c r="BK56" s="162"/>
      <c r="BL56" s="162"/>
      <c r="BM56" s="162"/>
      <c r="BN56" s="162"/>
      <c r="BO56" s="162"/>
      <c r="BP56" s="162"/>
      <c r="BQ56" s="162"/>
      <c r="BR56" s="162"/>
    </row>
    <row r="57" spans="1:70" x14ac:dyDescent="0.2">
      <c r="A57" s="162"/>
      <c r="B57" s="162"/>
      <c r="C57" s="162"/>
      <c r="D57" s="162"/>
      <c r="E57" s="162"/>
      <c r="F57" s="162"/>
      <c r="G57" s="162"/>
      <c r="H57" s="162"/>
      <c r="I57" s="162"/>
      <c r="J57" s="162"/>
      <c r="K57" s="162"/>
      <c r="L57" s="162"/>
      <c r="M57" s="162"/>
      <c r="N57" s="162"/>
      <c r="O57" s="162"/>
      <c r="P57" s="162"/>
      <c r="Q57" s="162"/>
      <c r="R57" s="162"/>
      <c r="S57" s="162"/>
      <c r="T57" s="162"/>
      <c r="U57" s="162"/>
      <c r="V57" s="162"/>
      <c r="W57" s="162"/>
      <c r="X57" s="162"/>
      <c r="Y57" s="162"/>
      <c r="Z57" s="162"/>
      <c r="AA57" s="162"/>
      <c r="AB57" s="162"/>
      <c r="AC57" s="162"/>
      <c r="AD57" s="162"/>
      <c r="AE57" s="162"/>
      <c r="AF57" s="162"/>
      <c r="AG57" s="162"/>
      <c r="AH57" s="162"/>
      <c r="AI57" s="162"/>
      <c r="AJ57" s="162"/>
      <c r="AK57" s="162"/>
      <c r="AL57" s="162"/>
      <c r="AM57" s="1286"/>
      <c r="AN57" s="1286"/>
      <c r="AO57" s="1286"/>
      <c r="AP57" s="1286"/>
      <c r="AQ57" s="1286"/>
      <c r="AR57" s="1290"/>
      <c r="AS57" s="1286"/>
      <c r="AT57" s="1286"/>
      <c r="AU57" s="1286"/>
      <c r="AV57" s="1286"/>
      <c r="AW57" s="1286"/>
      <c r="AX57" s="1286"/>
      <c r="AY57" s="1286"/>
      <c r="AZ57" s="1286"/>
      <c r="BA57" s="1286"/>
      <c r="BB57" s="1286"/>
      <c r="BC57" s="1286"/>
      <c r="BD57" s="1286"/>
      <c r="BE57" s="162"/>
      <c r="BF57" s="162"/>
      <c r="BG57" s="162"/>
      <c r="BH57" s="162"/>
      <c r="BI57" s="162"/>
      <c r="BJ57" s="162"/>
      <c r="BK57" s="162"/>
      <c r="BL57" s="162"/>
      <c r="BM57" s="162"/>
      <c r="BN57" s="162"/>
      <c r="BO57" s="162"/>
      <c r="BP57" s="162"/>
      <c r="BQ57" s="162"/>
      <c r="BR57" s="162"/>
    </row>
    <row r="58" spans="1:70" x14ac:dyDescent="0.2">
      <c r="A58" s="162"/>
      <c r="B58" s="162"/>
      <c r="C58" s="162"/>
      <c r="D58" s="162"/>
      <c r="E58" s="162"/>
      <c r="F58" s="162"/>
      <c r="G58" s="162"/>
      <c r="H58" s="162"/>
      <c r="I58" s="162"/>
      <c r="J58" s="162"/>
      <c r="K58" s="162"/>
      <c r="L58" s="162"/>
      <c r="M58" s="162"/>
      <c r="N58" s="162"/>
      <c r="O58" s="162"/>
      <c r="P58" s="162"/>
      <c r="Q58" s="162"/>
      <c r="R58" s="162"/>
      <c r="S58" s="162"/>
      <c r="T58" s="162"/>
      <c r="U58" s="162"/>
      <c r="V58" s="162"/>
      <c r="W58" s="162"/>
      <c r="X58" s="162"/>
      <c r="Y58" s="162"/>
      <c r="Z58" s="162"/>
      <c r="AA58" s="162"/>
      <c r="AB58" s="162"/>
      <c r="AC58" s="162"/>
      <c r="AD58" s="162"/>
      <c r="AE58" s="162"/>
      <c r="AF58" s="162"/>
      <c r="AG58" s="162"/>
      <c r="AH58" s="162"/>
      <c r="AI58" s="162"/>
      <c r="AJ58" s="162"/>
      <c r="AK58" s="162"/>
      <c r="AL58" s="162"/>
      <c r="AM58" s="1286"/>
      <c r="AN58" s="1286"/>
      <c r="AO58" s="1286"/>
      <c r="AP58" s="1286"/>
      <c r="AQ58" s="1286"/>
      <c r="AR58" s="1290"/>
      <c r="AS58" s="1286"/>
      <c r="AT58" s="1286"/>
      <c r="AU58" s="1286"/>
      <c r="AV58" s="1286"/>
      <c r="AW58" s="1286"/>
      <c r="AX58" s="1286"/>
      <c r="AY58" s="1286"/>
      <c r="AZ58" s="1286"/>
      <c r="BA58" s="1286"/>
      <c r="BB58" s="1286"/>
      <c r="BC58" s="1286"/>
      <c r="BD58" s="1286"/>
      <c r="BE58" s="162"/>
      <c r="BF58" s="162"/>
      <c r="BG58" s="162"/>
      <c r="BH58" s="162"/>
      <c r="BI58" s="162"/>
      <c r="BJ58" s="162"/>
      <c r="BK58" s="162"/>
      <c r="BL58" s="162"/>
      <c r="BM58" s="162"/>
      <c r="BN58" s="162"/>
      <c r="BO58" s="162"/>
      <c r="BP58" s="162"/>
      <c r="BQ58" s="162"/>
      <c r="BR58" s="162"/>
    </row>
    <row r="59" spans="1:70" x14ac:dyDescent="0.2">
      <c r="A59" s="162"/>
      <c r="B59" s="162"/>
      <c r="C59" s="162"/>
      <c r="D59" s="162"/>
      <c r="E59" s="162"/>
      <c r="F59" s="162"/>
      <c r="G59" s="162"/>
      <c r="H59" s="162"/>
      <c r="I59" s="162"/>
      <c r="J59" s="162"/>
      <c r="K59" s="162"/>
      <c r="L59" s="162"/>
      <c r="M59" s="162"/>
      <c r="N59" s="162"/>
      <c r="O59" s="162"/>
      <c r="P59" s="162"/>
      <c r="Q59" s="162"/>
      <c r="R59" s="162"/>
      <c r="S59" s="162"/>
      <c r="T59" s="162"/>
      <c r="U59" s="162"/>
      <c r="V59" s="162"/>
      <c r="W59" s="162"/>
      <c r="X59" s="162"/>
      <c r="Y59" s="162"/>
      <c r="Z59" s="162"/>
      <c r="AA59" s="162"/>
      <c r="AB59" s="162"/>
      <c r="AC59" s="162"/>
      <c r="AD59" s="162"/>
      <c r="AE59" s="162"/>
      <c r="AF59" s="162"/>
      <c r="AG59" s="162"/>
      <c r="AH59" s="162"/>
      <c r="AI59" s="162"/>
      <c r="AJ59" s="162"/>
      <c r="AK59" s="162"/>
      <c r="AL59" s="162"/>
      <c r="AM59" s="1286"/>
      <c r="AN59" s="1286"/>
      <c r="AO59" s="1286"/>
      <c r="AP59" s="1286"/>
      <c r="AQ59" s="1286"/>
      <c r="AR59" s="1290"/>
      <c r="AS59" s="1286"/>
      <c r="AT59" s="1286"/>
      <c r="AU59" s="1286"/>
      <c r="AV59" s="1286"/>
      <c r="AW59" s="1286"/>
      <c r="AX59" s="1286"/>
      <c r="AY59" s="1286"/>
      <c r="AZ59" s="1286"/>
      <c r="BA59" s="1286"/>
      <c r="BB59" s="1286"/>
      <c r="BC59" s="1286"/>
      <c r="BD59" s="1286"/>
      <c r="BE59" s="162"/>
      <c r="BF59" s="162"/>
      <c r="BG59" s="162"/>
      <c r="BH59" s="162"/>
      <c r="BI59" s="162"/>
      <c r="BJ59" s="162"/>
      <c r="BK59" s="162"/>
      <c r="BL59" s="162"/>
      <c r="BM59" s="162"/>
      <c r="BN59" s="162"/>
      <c r="BO59" s="162"/>
      <c r="BP59" s="162"/>
      <c r="BQ59" s="162"/>
      <c r="BR59" s="162"/>
    </row>
    <row r="60" spans="1:70" x14ac:dyDescent="0.2">
      <c r="A60" s="162"/>
      <c r="B60" s="162"/>
      <c r="C60" s="162"/>
      <c r="D60" s="162"/>
      <c r="E60" s="162"/>
      <c r="F60" s="162"/>
      <c r="G60" s="162"/>
      <c r="H60" s="162"/>
      <c r="I60" s="162"/>
      <c r="J60" s="162"/>
      <c r="K60" s="162"/>
      <c r="L60" s="162"/>
      <c r="M60" s="162"/>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286"/>
      <c r="AN60" s="1286"/>
      <c r="AO60" s="1286"/>
      <c r="AP60" s="1286"/>
      <c r="AQ60" s="1286"/>
      <c r="AR60" s="1290"/>
      <c r="AS60" s="1286"/>
      <c r="AT60" s="1286"/>
      <c r="AU60" s="1286"/>
      <c r="AV60" s="1286"/>
      <c r="AW60" s="1286"/>
      <c r="AX60" s="1286"/>
      <c r="AY60" s="1286"/>
      <c r="AZ60" s="1286"/>
      <c r="BA60" s="1286"/>
      <c r="BB60" s="1286"/>
      <c r="BC60" s="1286"/>
      <c r="BD60" s="1286"/>
      <c r="BE60" s="162"/>
      <c r="BF60" s="162"/>
      <c r="BG60" s="162"/>
      <c r="BH60" s="162"/>
      <c r="BI60" s="162"/>
      <c r="BJ60" s="162"/>
      <c r="BK60" s="162"/>
      <c r="BL60" s="162"/>
      <c r="BM60" s="162"/>
      <c r="BN60" s="162"/>
      <c r="BO60" s="162"/>
      <c r="BP60" s="162"/>
      <c r="BQ60" s="162"/>
      <c r="BR60" s="162"/>
    </row>
    <row r="61" spans="1:70" x14ac:dyDescent="0.2">
      <c r="A61" s="162"/>
      <c r="B61" s="162"/>
      <c r="C61" s="162"/>
      <c r="D61" s="162"/>
      <c r="E61" s="162"/>
      <c r="F61" s="162"/>
      <c r="G61" s="162"/>
      <c r="H61" s="162"/>
      <c r="I61" s="162"/>
      <c r="J61" s="162"/>
      <c r="K61" s="162"/>
      <c r="L61" s="162"/>
      <c r="M61" s="162"/>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286"/>
      <c r="AN61" s="1286"/>
      <c r="AO61" s="1286"/>
      <c r="AP61" s="1286"/>
      <c r="AQ61" s="1286"/>
      <c r="AR61" s="1290"/>
      <c r="AS61" s="1286"/>
      <c r="AT61" s="1286"/>
      <c r="AU61" s="1286"/>
      <c r="AV61" s="1286"/>
      <c r="AW61" s="1286"/>
      <c r="AX61" s="1286"/>
      <c r="AY61" s="1286"/>
      <c r="AZ61" s="1286"/>
      <c r="BA61" s="1286"/>
      <c r="BB61" s="1286"/>
      <c r="BC61" s="1286"/>
      <c r="BD61" s="1286"/>
      <c r="BE61" s="162"/>
      <c r="BF61" s="162"/>
      <c r="BG61" s="162"/>
      <c r="BH61" s="162"/>
      <c r="BI61" s="162"/>
      <c r="BJ61" s="162"/>
      <c r="BK61" s="162"/>
      <c r="BL61" s="162"/>
      <c r="BM61" s="162"/>
      <c r="BN61" s="162"/>
      <c r="BO61" s="162"/>
      <c r="BP61" s="162"/>
      <c r="BQ61" s="162"/>
      <c r="BR61" s="162"/>
    </row>
    <row r="62" spans="1:70" x14ac:dyDescent="0.2">
      <c r="A62" s="162"/>
      <c r="B62" s="162"/>
      <c r="C62" s="162"/>
      <c r="D62" s="162"/>
      <c r="E62" s="162"/>
      <c r="F62" s="162"/>
      <c r="G62" s="162"/>
      <c r="H62" s="162"/>
      <c r="I62" s="162"/>
      <c r="J62" s="162"/>
      <c r="K62" s="162"/>
      <c r="L62" s="162"/>
      <c r="M62" s="162"/>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286"/>
      <c r="AN62" s="1286"/>
      <c r="AO62" s="1286"/>
      <c r="AP62" s="1286"/>
      <c r="AQ62" s="1286"/>
      <c r="AR62" s="1290"/>
      <c r="AS62" s="1286"/>
      <c r="AT62" s="1286"/>
      <c r="AU62" s="1286"/>
      <c r="AV62" s="1286"/>
      <c r="AW62" s="1286"/>
      <c r="AX62" s="1286"/>
      <c r="AY62" s="1286"/>
      <c r="AZ62" s="1286"/>
      <c r="BA62" s="1286"/>
      <c r="BB62" s="1286"/>
      <c r="BC62" s="1286"/>
      <c r="BD62" s="1286"/>
      <c r="BE62" s="162"/>
      <c r="BF62" s="162"/>
      <c r="BG62" s="162"/>
      <c r="BH62" s="162"/>
      <c r="BI62" s="162"/>
      <c r="BJ62" s="162"/>
      <c r="BK62" s="162"/>
      <c r="BL62" s="162"/>
      <c r="BM62" s="162"/>
      <c r="BN62" s="162"/>
      <c r="BO62" s="162"/>
      <c r="BP62" s="162"/>
      <c r="BQ62" s="162"/>
      <c r="BR62" s="162"/>
    </row>
    <row r="63" spans="1:70" x14ac:dyDescent="0.2">
      <c r="A63" s="162"/>
      <c r="B63" s="162"/>
      <c r="C63" s="162"/>
      <c r="D63" s="162"/>
      <c r="E63" s="162"/>
      <c r="F63" s="162"/>
      <c r="G63" s="162"/>
      <c r="H63" s="162"/>
      <c r="I63" s="162"/>
      <c r="J63" s="162"/>
      <c r="K63" s="162"/>
      <c r="L63" s="162"/>
      <c r="M63" s="162"/>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286"/>
      <c r="AN63" s="1286"/>
      <c r="AO63" s="1286"/>
      <c r="AP63" s="1286"/>
      <c r="AQ63" s="1286"/>
      <c r="AR63" s="1290"/>
      <c r="AS63" s="1286"/>
      <c r="AT63" s="1286"/>
      <c r="AU63" s="1286"/>
      <c r="AV63" s="1286"/>
      <c r="AW63" s="1286"/>
      <c r="AX63" s="1286"/>
      <c r="AY63" s="1286"/>
      <c r="AZ63" s="1286"/>
      <c r="BA63" s="1286"/>
      <c r="BB63" s="1286"/>
      <c r="BC63" s="1286"/>
      <c r="BD63" s="1286"/>
      <c r="BE63" s="162"/>
      <c r="BF63" s="162"/>
      <c r="BG63" s="162"/>
      <c r="BH63" s="162"/>
      <c r="BI63" s="162"/>
      <c r="BJ63" s="162"/>
      <c r="BK63" s="162"/>
      <c r="BL63" s="162"/>
      <c r="BM63" s="162"/>
      <c r="BN63" s="162"/>
      <c r="BO63" s="162"/>
      <c r="BP63" s="162"/>
      <c r="BQ63" s="162"/>
      <c r="BR63" s="162"/>
    </row>
    <row r="64" spans="1:70" x14ac:dyDescent="0.2">
      <c r="A64" s="162"/>
      <c r="B64" s="162"/>
      <c r="C64" s="162"/>
      <c r="D64" s="162"/>
      <c r="E64" s="162"/>
      <c r="F64" s="162"/>
      <c r="G64" s="162"/>
      <c r="H64" s="162"/>
      <c r="I64" s="162"/>
      <c r="J64" s="162"/>
      <c r="K64" s="162"/>
      <c r="L64" s="162"/>
      <c r="M64" s="162"/>
      <c r="N64" s="162"/>
      <c r="O64" s="162"/>
      <c r="P64" s="162"/>
      <c r="Q64" s="162"/>
      <c r="R64" s="162"/>
      <c r="S64" s="162"/>
      <c r="T64" s="162"/>
      <c r="U64" s="162"/>
      <c r="V64" s="162"/>
      <c r="W64" s="162"/>
      <c r="X64" s="162"/>
      <c r="Y64" s="162"/>
      <c r="Z64" s="162"/>
      <c r="AA64" s="162"/>
      <c r="AB64" s="162"/>
      <c r="AC64" s="162"/>
      <c r="AD64" s="162"/>
      <c r="AE64" s="162"/>
      <c r="AF64" s="162"/>
      <c r="AG64" s="162"/>
      <c r="AH64" s="162"/>
      <c r="AI64" s="162"/>
      <c r="AJ64" s="162"/>
      <c r="AK64" s="162"/>
      <c r="AL64" s="162"/>
      <c r="AM64" s="1286"/>
      <c r="AN64" s="1286"/>
      <c r="AO64" s="1286"/>
      <c r="AP64" s="1286"/>
      <c r="AQ64" s="1286"/>
      <c r="AR64" s="1290"/>
      <c r="AS64" s="1286"/>
      <c r="AT64" s="1286"/>
      <c r="AU64" s="1286"/>
      <c r="AV64" s="1286"/>
      <c r="AW64" s="1286"/>
      <c r="AX64" s="1286"/>
      <c r="AY64" s="1286"/>
      <c r="AZ64" s="1286"/>
      <c r="BA64" s="1286"/>
      <c r="BB64" s="1286"/>
      <c r="BC64" s="1286"/>
      <c r="BD64" s="1286"/>
      <c r="BE64" s="162"/>
      <c r="BF64" s="162"/>
      <c r="BG64" s="162"/>
      <c r="BH64" s="162"/>
      <c r="BI64" s="162"/>
      <c r="BJ64" s="162"/>
      <c r="BK64" s="162"/>
      <c r="BL64" s="162"/>
      <c r="BM64" s="162"/>
      <c r="BN64" s="162"/>
      <c r="BO64" s="162"/>
      <c r="BP64" s="162"/>
      <c r="BQ64" s="162"/>
      <c r="BR64" s="162"/>
    </row>
    <row r="65" spans="1:70" x14ac:dyDescent="0.2">
      <c r="A65" s="162"/>
      <c r="B65" s="162"/>
      <c r="C65" s="162"/>
      <c r="D65" s="162"/>
      <c r="E65" s="162"/>
      <c r="F65" s="162"/>
      <c r="G65" s="162"/>
      <c r="H65" s="162"/>
      <c r="I65" s="162"/>
      <c r="J65" s="162"/>
      <c r="K65" s="162"/>
      <c r="L65" s="162"/>
      <c r="M65" s="162"/>
      <c r="N65" s="162"/>
      <c r="O65" s="162"/>
      <c r="P65" s="162"/>
      <c r="Q65" s="162"/>
      <c r="R65" s="162"/>
      <c r="S65" s="162"/>
      <c r="T65" s="162"/>
      <c r="U65" s="162"/>
      <c r="V65" s="162"/>
      <c r="W65" s="162"/>
      <c r="X65" s="162"/>
      <c r="Y65" s="162"/>
      <c r="Z65" s="162"/>
      <c r="AA65" s="162"/>
      <c r="AB65" s="162"/>
      <c r="AC65" s="162"/>
      <c r="AD65" s="162"/>
      <c r="AE65" s="162"/>
      <c r="AF65" s="162"/>
      <c r="AG65" s="162"/>
      <c r="AH65" s="162"/>
      <c r="AI65" s="162"/>
      <c r="AJ65" s="162"/>
      <c r="AK65" s="162"/>
      <c r="AL65" s="162"/>
      <c r="AM65" s="1286"/>
      <c r="AN65" s="1286"/>
      <c r="AO65" s="1286"/>
      <c r="AP65" s="1286"/>
      <c r="AQ65" s="1286"/>
      <c r="AR65" s="1290"/>
      <c r="AS65" s="1286"/>
      <c r="AT65" s="1286"/>
      <c r="AU65" s="1286"/>
      <c r="AV65" s="1286"/>
      <c r="AW65" s="1286"/>
      <c r="AX65" s="1286"/>
      <c r="AY65" s="1286"/>
      <c r="AZ65" s="1286"/>
      <c r="BA65" s="1286"/>
      <c r="BB65" s="1286"/>
      <c r="BC65" s="1286"/>
      <c r="BD65" s="1286"/>
      <c r="BE65" s="162"/>
      <c r="BF65" s="162"/>
      <c r="BG65" s="162"/>
      <c r="BH65" s="162"/>
      <c r="BI65" s="162"/>
      <c r="BJ65" s="162"/>
      <c r="BK65" s="162"/>
      <c r="BL65" s="162"/>
      <c r="BM65" s="162"/>
      <c r="BN65" s="162"/>
      <c r="BO65" s="162"/>
      <c r="BP65" s="162"/>
      <c r="BQ65" s="162"/>
      <c r="BR65" s="162"/>
    </row>
    <row r="66" spans="1:70" x14ac:dyDescent="0.2">
      <c r="A66" s="162"/>
      <c r="B66" s="162"/>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62"/>
      <c r="AM66" s="1286"/>
      <c r="AN66" s="1286"/>
      <c r="AO66" s="1286"/>
      <c r="AP66" s="1286"/>
      <c r="AQ66" s="1286"/>
      <c r="AR66" s="1290"/>
      <c r="AS66" s="1286"/>
      <c r="AT66" s="1286"/>
      <c r="AU66" s="1286"/>
      <c r="AV66" s="1286"/>
      <c r="AW66" s="1286"/>
      <c r="AX66" s="1286"/>
      <c r="AY66" s="1286"/>
      <c r="AZ66" s="1286"/>
      <c r="BA66" s="1286"/>
      <c r="BB66" s="1286"/>
      <c r="BC66" s="1286"/>
      <c r="BD66" s="1286"/>
      <c r="BE66" s="162"/>
      <c r="BF66" s="162"/>
      <c r="BG66" s="162"/>
      <c r="BH66" s="162"/>
      <c r="BI66" s="162"/>
      <c r="BJ66" s="162"/>
      <c r="BK66" s="162"/>
      <c r="BL66" s="162"/>
      <c r="BM66" s="162"/>
      <c r="BN66" s="162"/>
      <c r="BO66" s="162"/>
      <c r="BP66" s="162"/>
      <c r="BQ66" s="162"/>
      <c r="BR66" s="162"/>
    </row>
    <row r="67" spans="1:70" x14ac:dyDescent="0.2">
      <c r="A67" s="162"/>
      <c r="B67" s="162"/>
      <c r="C67" s="162"/>
      <c r="D67" s="162"/>
      <c r="E67" s="162"/>
      <c r="F67" s="162"/>
      <c r="G67" s="162"/>
      <c r="H67" s="162"/>
      <c r="I67" s="162"/>
      <c r="J67" s="162"/>
      <c r="K67" s="162"/>
      <c r="L67" s="162"/>
      <c r="M67" s="162"/>
      <c r="N67" s="162"/>
      <c r="O67" s="162"/>
      <c r="P67" s="162"/>
      <c r="Q67" s="162"/>
      <c r="R67" s="162"/>
      <c r="S67" s="162"/>
      <c r="T67" s="162"/>
      <c r="U67" s="162"/>
      <c r="V67" s="162"/>
      <c r="W67" s="162"/>
      <c r="X67" s="162"/>
      <c r="Y67" s="162"/>
      <c r="Z67" s="162"/>
      <c r="AA67" s="162"/>
      <c r="AB67" s="162"/>
      <c r="AC67" s="162"/>
      <c r="AD67" s="162"/>
      <c r="AE67" s="162"/>
      <c r="AF67" s="162"/>
      <c r="AG67" s="162"/>
      <c r="AH67" s="162"/>
      <c r="AI67" s="162"/>
      <c r="AJ67" s="162"/>
      <c r="AK67" s="162"/>
      <c r="AL67" s="162"/>
      <c r="AM67" s="1286"/>
      <c r="AN67" s="1286"/>
      <c r="AO67" s="1286"/>
      <c r="AP67" s="1286"/>
      <c r="AQ67" s="1286"/>
      <c r="AR67" s="1290"/>
      <c r="AS67" s="1286"/>
      <c r="AT67" s="1286"/>
      <c r="AU67" s="1286"/>
      <c r="AV67" s="1286"/>
      <c r="AW67" s="1286"/>
      <c r="AX67" s="1286"/>
      <c r="AY67" s="1286"/>
      <c r="AZ67" s="1286"/>
      <c r="BA67" s="1286"/>
      <c r="BB67" s="1286"/>
      <c r="BC67" s="1286"/>
      <c r="BD67" s="1286"/>
      <c r="BE67" s="162"/>
      <c r="BF67" s="162"/>
      <c r="BG67" s="162"/>
      <c r="BH67" s="162"/>
      <c r="BI67" s="162"/>
      <c r="BJ67" s="162"/>
      <c r="BK67" s="162"/>
      <c r="BL67" s="162"/>
      <c r="BM67" s="162"/>
      <c r="BN67" s="162"/>
      <c r="BO67" s="162"/>
      <c r="BP67" s="162"/>
      <c r="BQ67" s="162"/>
      <c r="BR67" s="162"/>
    </row>
    <row r="68" spans="1:70" x14ac:dyDescent="0.2">
      <c r="A68" s="162"/>
      <c r="B68" s="162"/>
      <c r="C68" s="162"/>
      <c r="D68" s="162"/>
      <c r="E68" s="162"/>
      <c r="F68" s="162"/>
      <c r="G68" s="162"/>
      <c r="H68" s="162"/>
      <c r="I68" s="162"/>
      <c r="J68" s="162"/>
      <c r="K68" s="162"/>
      <c r="L68" s="162"/>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286"/>
      <c r="AN68" s="1286"/>
      <c r="AO68" s="1286"/>
      <c r="AP68" s="1286"/>
      <c r="AQ68" s="1286"/>
      <c r="AR68" s="1290"/>
      <c r="AS68" s="1286"/>
      <c r="AT68" s="1286"/>
      <c r="AU68" s="1286"/>
      <c r="AV68" s="1286"/>
      <c r="AW68" s="1286"/>
      <c r="AX68" s="1286"/>
      <c r="AY68" s="1286"/>
      <c r="AZ68" s="1286"/>
      <c r="BA68" s="1286"/>
      <c r="BB68" s="1286"/>
      <c r="BC68" s="1286"/>
      <c r="BD68" s="1286"/>
      <c r="BE68" s="162"/>
      <c r="BF68" s="162"/>
      <c r="BG68" s="162"/>
      <c r="BH68" s="162"/>
      <c r="BI68" s="162"/>
      <c r="BJ68" s="162"/>
      <c r="BK68" s="162"/>
      <c r="BL68" s="162"/>
      <c r="BM68" s="162"/>
      <c r="BN68" s="162"/>
      <c r="BO68" s="162"/>
      <c r="BP68" s="162"/>
      <c r="BQ68" s="162"/>
      <c r="BR68" s="162"/>
    </row>
    <row r="69" spans="1:70" x14ac:dyDescent="0.2">
      <c r="A69" s="162"/>
      <c r="B69" s="162"/>
      <c r="C69" s="162"/>
      <c r="D69" s="162"/>
      <c r="E69" s="162"/>
      <c r="F69" s="162"/>
      <c r="G69" s="162"/>
      <c r="H69" s="162"/>
      <c r="I69" s="162"/>
      <c r="J69" s="162"/>
      <c r="K69" s="162"/>
      <c r="L69" s="162"/>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286"/>
      <c r="AN69" s="1286"/>
      <c r="AO69" s="1286"/>
      <c r="AP69" s="1286"/>
      <c r="AQ69" s="1286"/>
      <c r="AR69" s="1290"/>
      <c r="AS69" s="1286"/>
      <c r="AT69" s="1286"/>
      <c r="AU69" s="1286"/>
      <c r="AV69" s="1286"/>
      <c r="AW69" s="1286"/>
      <c r="AX69" s="1286"/>
      <c r="AY69" s="1286"/>
      <c r="AZ69" s="1286"/>
      <c r="BA69" s="1286"/>
      <c r="BB69" s="1286"/>
      <c r="BC69" s="1286"/>
      <c r="BD69" s="1286"/>
      <c r="BE69" s="162"/>
      <c r="BF69" s="162"/>
      <c r="BG69" s="162"/>
      <c r="BH69" s="162"/>
      <c r="BI69" s="162"/>
      <c r="BJ69" s="162"/>
      <c r="BK69" s="162"/>
      <c r="BL69" s="162"/>
      <c r="BM69" s="162"/>
      <c r="BN69" s="162"/>
      <c r="BO69" s="162"/>
      <c r="BP69" s="162"/>
      <c r="BQ69" s="162"/>
      <c r="BR69" s="162"/>
    </row>
    <row r="70" spans="1:70" x14ac:dyDescent="0.2">
      <c r="A70" s="162"/>
      <c r="B70" s="162"/>
      <c r="C70" s="162"/>
      <c r="D70" s="162"/>
      <c r="E70" s="162"/>
      <c r="F70" s="162"/>
      <c r="G70" s="162"/>
      <c r="H70" s="162"/>
      <c r="I70" s="162"/>
      <c r="J70" s="162"/>
      <c r="K70" s="162"/>
      <c r="L70" s="162"/>
      <c r="M70" s="162"/>
      <c r="N70" s="162"/>
      <c r="O70" s="162"/>
      <c r="P70" s="162"/>
      <c r="Q70" s="162"/>
      <c r="R70" s="162"/>
      <c r="S70" s="162"/>
      <c r="T70" s="162"/>
      <c r="U70" s="162"/>
      <c r="V70" s="162"/>
      <c r="W70" s="162"/>
      <c r="X70" s="162"/>
      <c r="Y70" s="162"/>
      <c r="Z70" s="162"/>
      <c r="AA70" s="162"/>
      <c r="AB70" s="162"/>
      <c r="AC70" s="162"/>
      <c r="AD70" s="162"/>
      <c r="AE70" s="162"/>
      <c r="AF70" s="162"/>
      <c r="AG70" s="162"/>
      <c r="AH70" s="162"/>
      <c r="AI70" s="162"/>
      <c r="AJ70" s="162"/>
      <c r="AK70" s="162"/>
      <c r="AL70" s="162"/>
      <c r="AM70" s="1286"/>
      <c r="AN70" s="1286"/>
      <c r="AO70" s="1286"/>
      <c r="AP70" s="1286"/>
      <c r="AQ70" s="1286"/>
      <c r="AR70" s="1290"/>
      <c r="AS70" s="1286"/>
      <c r="AT70" s="1286"/>
      <c r="AU70" s="1286"/>
      <c r="AV70" s="1286"/>
      <c r="AW70" s="1286"/>
      <c r="AX70" s="1286"/>
      <c r="AY70" s="1286"/>
      <c r="AZ70" s="1286"/>
      <c r="BA70" s="1286"/>
      <c r="BB70" s="1286"/>
      <c r="BC70" s="1286"/>
      <c r="BD70" s="1286"/>
      <c r="BE70" s="162"/>
      <c r="BF70" s="162"/>
      <c r="BG70" s="162"/>
      <c r="BH70" s="162"/>
      <c r="BI70" s="162"/>
      <c r="BJ70" s="162"/>
      <c r="BK70" s="162"/>
      <c r="BL70" s="162"/>
      <c r="BM70" s="162"/>
      <c r="BN70" s="162"/>
      <c r="BO70" s="162"/>
      <c r="BP70" s="162"/>
      <c r="BQ70" s="162"/>
      <c r="BR70" s="162"/>
    </row>
    <row r="71" spans="1:70" x14ac:dyDescent="0.2">
      <c r="A71" s="162"/>
      <c r="B71" s="162"/>
      <c r="C71" s="162"/>
      <c r="D71" s="162"/>
      <c r="E71" s="162"/>
      <c r="F71" s="162"/>
      <c r="G71" s="162"/>
      <c r="H71" s="162"/>
      <c r="I71" s="162"/>
      <c r="J71" s="162"/>
      <c r="K71" s="162"/>
      <c r="L71" s="162"/>
      <c r="M71" s="162"/>
      <c r="N71" s="162"/>
      <c r="O71" s="162"/>
      <c r="P71" s="162"/>
      <c r="Q71" s="162"/>
      <c r="R71" s="162"/>
      <c r="S71" s="162"/>
      <c r="T71" s="162"/>
      <c r="U71" s="162"/>
      <c r="V71" s="162"/>
      <c r="W71" s="162"/>
      <c r="X71" s="162"/>
      <c r="Y71" s="162"/>
      <c r="Z71" s="162"/>
      <c r="AA71" s="162"/>
      <c r="AB71" s="162"/>
      <c r="AC71" s="162"/>
      <c r="AD71" s="162"/>
      <c r="AE71" s="162"/>
      <c r="AF71" s="162"/>
      <c r="AG71" s="162"/>
      <c r="AH71" s="162"/>
      <c r="AI71" s="162"/>
      <c r="AJ71" s="162"/>
      <c r="AK71" s="162"/>
      <c r="AL71" s="162"/>
      <c r="AM71" s="1286"/>
      <c r="AN71" s="1286"/>
      <c r="AO71" s="1286"/>
      <c r="AP71" s="1286"/>
      <c r="AQ71" s="1286"/>
      <c r="AR71" s="1290"/>
      <c r="AS71" s="1286"/>
      <c r="AT71" s="1286"/>
      <c r="AU71" s="1286"/>
      <c r="AV71" s="1286"/>
      <c r="AW71" s="1286"/>
      <c r="AX71" s="1286"/>
      <c r="AY71" s="1286"/>
      <c r="AZ71" s="1286"/>
      <c r="BA71" s="1286"/>
      <c r="BB71" s="1286"/>
      <c r="BC71" s="1286"/>
      <c r="BD71" s="1286"/>
      <c r="BE71" s="162"/>
      <c r="BF71" s="162"/>
      <c r="BG71" s="162"/>
      <c r="BH71" s="162"/>
      <c r="BI71" s="162"/>
      <c r="BJ71" s="162"/>
      <c r="BK71" s="162"/>
      <c r="BL71" s="162"/>
      <c r="BM71" s="162"/>
      <c r="BN71" s="162"/>
      <c r="BO71" s="162"/>
      <c r="BP71" s="162"/>
      <c r="BQ71" s="162"/>
      <c r="BR71" s="162"/>
    </row>
    <row r="72" spans="1:70" x14ac:dyDescent="0.2">
      <c r="A72" s="162"/>
      <c r="B72" s="162"/>
      <c r="C72" s="162"/>
      <c r="D72" s="162"/>
      <c r="E72" s="162"/>
      <c r="F72" s="162"/>
      <c r="G72" s="162"/>
      <c r="H72" s="162"/>
      <c r="I72" s="162"/>
      <c r="J72" s="162"/>
      <c r="K72" s="162"/>
      <c r="L72" s="162"/>
      <c r="M72" s="162"/>
      <c r="N72" s="162"/>
      <c r="O72" s="162"/>
      <c r="P72" s="162"/>
      <c r="Q72" s="162"/>
      <c r="R72" s="162"/>
      <c r="S72" s="162"/>
      <c r="T72" s="162"/>
      <c r="U72" s="162"/>
      <c r="V72" s="162"/>
      <c r="W72" s="162"/>
      <c r="X72" s="162"/>
      <c r="Y72" s="162"/>
      <c r="Z72" s="162"/>
      <c r="AA72" s="162"/>
      <c r="AB72" s="162"/>
      <c r="AC72" s="162"/>
      <c r="AD72" s="162"/>
      <c r="AE72" s="162"/>
      <c r="AF72" s="162"/>
      <c r="AG72" s="162"/>
      <c r="AH72" s="162"/>
      <c r="AI72" s="162"/>
      <c r="AJ72" s="162"/>
      <c r="AK72" s="162"/>
      <c r="AL72" s="162"/>
      <c r="AM72" s="1286"/>
      <c r="AN72" s="1286"/>
      <c r="AO72" s="1286"/>
      <c r="AP72" s="1286"/>
      <c r="AQ72" s="1286"/>
      <c r="AR72" s="1290"/>
      <c r="AS72" s="1286"/>
      <c r="AT72" s="1286"/>
      <c r="AU72" s="1286"/>
      <c r="AV72" s="1286"/>
      <c r="AW72" s="1286"/>
      <c r="AX72" s="1286"/>
      <c r="AY72" s="1286"/>
      <c r="AZ72" s="1286"/>
      <c r="BA72" s="1286"/>
      <c r="BB72" s="1286"/>
      <c r="BC72" s="1286"/>
      <c r="BD72" s="1286"/>
      <c r="BE72" s="162"/>
      <c r="BF72" s="162"/>
      <c r="BG72" s="162"/>
      <c r="BH72" s="162"/>
      <c r="BI72" s="162"/>
      <c r="BJ72" s="162"/>
      <c r="BK72" s="162"/>
      <c r="BL72" s="162"/>
      <c r="BM72" s="162"/>
      <c r="BN72" s="162"/>
      <c r="BO72" s="162"/>
      <c r="BP72" s="162"/>
      <c r="BQ72" s="162"/>
      <c r="BR72" s="162"/>
    </row>
    <row r="73" spans="1:70" x14ac:dyDescent="0.2">
      <c r="A73" s="162"/>
      <c r="B73" s="162"/>
      <c r="C73" s="162"/>
      <c r="D73" s="162"/>
      <c r="E73" s="162"/>
      <c r="F73" s="162"/>
      <c r="G73" s="162"/>
      <c r="H73" s="162"/>
      <c r="I73" s="162"/>
      <c r="J73" s="162"/>
      <c r="K73" s="162"/>
      <c r="L73" s="162"/>
      <c r="M73" s="162"/>
      <c r="N73" s="162"/>
      <c r="O73" s="162"/>
      <c r="P73" s="162"/>
      <c r="Q73" s="162"/>
      <c r="R73" s="162"/>
      <c r="S73" s="162"/>
      <c r="T73" s="162"/>
      <c r="U73" s="162"/>
      <c r="V73" s="162"/>
      <c r="W73" s="162"/>
      <c r="X73" s="162"/>
      <c r="Y73" s="162"/>
      <c r="Z73" s="162"/>
      <c r="AA73" s="162"/>
      <c r="AB73" s="162"/>
      <c r="AC73" s="162"/>
      <c r="AD73" s="162"/>
      <c r="AE73" s="162"/>
      <c r="AF73" s="162"/>
      <c r="AG73" s="162"/>
      <c r="AH73" s="162"/>
      <c r="AI73" s="162"/>
      <c r="AJ73" s="162"/>
      <c r="AK73" s="162"/>
      <c r="AL73" s="162"/>
      <c r="AM73" s="1286"/>
      <c r="AN73" s="1286"/>
      <c r="AO73" s="1286"/>
      <c r="AP73" s="1286"/>
      <c r="AQ73" s="1286"/>
      <c r="AR73" s="1290"/>
      <c r="AS73" s="1286"/>
      <c r="AT73" s="1286"/>
      <c r="AU73" s="1286"/>
      <c r="AV73" s="1286"/>
      <c r="AW73" s="1286"/>
      <c r="AX73" s="1286"/>
      <c r="AY73" s="1286"/>
      <c r="AZ73" s="1286"/>
      <c r="BA73" s="1286"/>
      <c r="BB73" s="1286"/>
      <c r="BC73" s="1286"/>
      <c r="BD73" s="1286"/>
      <c r="BE73" s="162"/>
      <c r="BF73" s="162"/>
      <c r="BG73" s="162"/>
      <c r="BH73" s="162"/>
      <c r="BI73" s="162"/>
      <c r="BJ73" s="162"/>
      <c r="BK73" s="162"/>
      <c r="BL73" s="162"/>
      <c r="BM73" s="162"/>
      <c r="BN73" s="162"/>
      <c r="BO73" s="162"/>
      <c r="BP73" s="162"/>
      <c r="BQ73" s="162"/>
      <c r="BR73" s="162"/>
    </row>
    <row r="74" spans="1:70" x14ac:dyDescent="0.2">
      <c r="A74" s="162"/>
      <c r="B74" s="162"/>
      <c r="C74" s="162"/>
      <c r="D74" s="162"/>
      <c r="E74" s="162"/>
      <c r="F74" s="162"/>
      <c r="G74" s="162"/>
      <c r="H74" s="162"/>
      <c r="I74" s="162"/>
      <c r="J74" s="162"/>
      <c r="K74" s="162"/>
      <c r="L74" s="162"/>
      <c r="M74" s="162"/>
      <c r="N74" s="162"/>
      <c r="O74" s="162"/>
      <c r="P74" s="162"/>
      <c r="Q74" s="162"/>
      <c r="R74" s="162"/>
      <c r="S74" s="162"/>
      <c r="T74" s="162"/>
      <c r="U74" s="162"/>
      <c r="V74" s="162"/>
      <c r="W74" s="162"/>
      <c r="X74" s="162"/>
      <c r="Y74" s="162"/>
      <c r="Z74" s="162"/>
      <c r="AA74" s="162"/>
      <c r="AB74" s="162"/>
      <c r="AC74" s="162"/>
      <c r="AD74" s="162"/>
      <c r="AE74" s="162"/>
      <c r="AF74" s="162"/>
      <c r="AG74" s="162"/>
      <c r="AH74" s="162"/>
      <c r="AI74" s="162"/>
      <c r="AJ74" s="162"/>
      <c r="AK74" s="162"/>
      <c r="AL74" s="162"/>
      <c r="AM74" s="1286"/>
      <c r="AN74" s="1286"/>
      <c r="AO74" s="1286"/>
      <c r="AP74" s="1286"/>
      <c r="AQ74" s="1286"/>
      <c r="AR74" s="1290"/>
      <c r="AS74" s="1286"/>
      <c r="AT74" s="1286"/>
      <c r="AU74" s="1286"/>
      <c r="AV74" s="1286"/>
      <c r="AW74" s="1286"/>
      <c r="AX74" s="1286"/>
      <c r="AY74" s="1286"/>
      <c r="AZ74" s="1286"/>
      <c r="BA74" s="1286"/>
      <c r="BB74" s="1286"/>
      <c r="BC74" s="1286"/>
      <c r="BD74" s="1286"/>
      <c r="BE74" s="162"/>
      <c r="BF74" s="162"/>
      <c r="BG74" s="162"/>
      <c r="BH74" s="162"/>
      <c r="BI74" s="162"/>
      <c r="BJ74" s="162"/>
      <c r="BK74" s="162"/>
      <c r="BL74" s="162"/>
      <c r="BM74" s="162"/>
      <c r="BN74" s="162"/>
      <c r="BO74" s="162"/>
      <c r="BP74" s="162"/>
      <c r="BQ74" s="162"/>
      <c r="BR74" s="162"/>
    </row>
    <row r="75" spans="1:70" x14ac:dyDescent="0.2">
      <c r="A75" s="162"/>
      <c r="B75" s="162"/>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2"/>
      <c r="AM75" s="1286"/>
      <c r="AN75" s="1286"/>
      <c r="AO75" s="1286"/>
      <c r="AP75" s="1286"/>
      <c r="AQ75" s="1286"/>
      <c r="AR75" s="1290"/>
      <c r="AS75" s="1286"/>
      <c r="AT75" s="1286"/>
      <c r="AU75" s="1286"/>
      <c r="AV75" s="1286"/>
      <c r="AW75" s="1286"/>
      <c r="AX75" s="1286"/>
      <c r="AY75" s="1286"/>
      <c r="AZ75" s="1286"/>
      <c r="BA75" s="1286"/>
      <c r="BB75" s="1286"/>
      <c r="BC75" s="1286"/>
      <c r="BD75" s="1286"/>
      <c r="BE75" s="162"/>
      <c r="BF75" s="162"/>
      <c r="BG75" s="162"/>
      <c r="BH75" s="162"/>
      <c r="BI75" s="162"/>
      <c r="BJ75" s="162"/>
      <c r="BK75" s="162"/>
      <c r="BL75" s="162"/>
      <c r="BM75" s="162"/>
      <c r="BN75" s="162"/>
      <c r="BO75" s="162"/>
      <c r="BP75" s="162"/>
      <c r="BQ75" s="162"/>
      <c r="BR75" s="162"/>
    </row>
    <row r="76" spans="1:70" x14ac:dyDescent="0.2">
      <c r="A76" s="162"/>
      <c r="B76" s="162"/>
      <c r="C76" s="162"/>
      <c r="D76" s="162"/>
      <c r="E76" s="162"/>
      <c r="F76" s="162"/>
      <c r="G76" s="162"/>
      <c r="H76" s="162"/>
      <c r="I76" s="162"/>
      <c r="J76" s="162"/>
      <c r="K76" s="162"/>
      <c r="L76" s="162"/>
      <c r="M76" s="162"/>
      <c r="N76" s="162"/>
      <c r="O76" s="162"/>
      <c r="P76" s="162"/>
      <c r="Q76" s="162"/>
      <c r="R76" s="162"/>
      <c r="S76" s="162"/>
      <c r="T76" s="162"/>
      <c r="U76" s="162"/>
      <c r="V76" s="162"/>
      <c r="W76" s="162"/>
      <c r="X76" s="162"/>
      <c r="Y76" s="162"/>
      <c r="Z76" s="162"/>
      <c r="AA76" s="162"/>
      <c r="AB76" s="162"/>
      <c r="AC76" s="162"/>
      <c r="AD76" s="162"/>
      <c r="AE76" s="162"/>
      <c r="AF76" s="162"/>
      <c r="AG76" s="162"/>
      <c r="AH76" s="162"/>
      <c r="AI76" s="162"/>
      <c r="AJ76" s="162"/>
      <c r="AK76" s="162"/>
      <c r="AL76" s="162"/>
      <c r="AM76" s="1286"/>
      <c r="AN76" s="1286"/>
      <c r="AO76" s="1286"/>
      <c r="AP76" s="1286"/>
      <c r="AQ76" s="1286"/>
      <c r="AR76" s="1290"/>
      <c r="AS76" s="1286"/>
      <c r="AT76" s="1286"/>
      <c r="AU76" s="1286"/>
      <c r="AV76" s="1286"/>
      <c r="AW76" s="1286"/>
      <c r="AX76" s="1286"/>
      <c r="AY76" s="1286"/>
      <c r="AZ76" s="1286"/>
      <c r="BA76" s="1286"/>
      <c r="BB76" s="1286"/>
      <c r="BC76" s="1286"/>
      <c r="BD76" s="1286"/>
      <c r="BE76" s="162"/>
      <c r="BF76" s="162"/>
      <c r="BG76" s="162"/>
      <c r="BH76" s="162"/>
      <c r="BI76" s="162"/>
      <c r="BJ76" s="162"/>
      <c r="BK76" s="162"/>
      <c r="BL76" s="162"/>
      <c r="BM76" s="162"/>
      <c r="BN76" s="162"/>
      <c r="BO76" s="162"/>
      <c r="BP76" s="162"/>
      <c r="BQ76" s="162"/>
      <c r="BR76" s="162"/>
    </row>
    <row r="77" spans="1:70" x14ac:dyDescent="0.2">
      <c r="A77" s="162"/>
      <c r="B77" s="162"/>
      <c r="C77" s="162"/>
      <c r="D77" s="162"/>
      <c r="E77" s="162"/>
      <c r="F77" s="162"/>
      <c r="G77" s="162"/>
      <c r="H77" s="162"/>
      <c r="I77" s="162"/>
      <c r="J77" s="162"/>
      <c r="K77" s="162"/>
      <c r="L77" s="162"/>
      <c r="M77" s="162"/>
      <c r="N77" s="162"/>
      <c r="O77" s="162"/>
      <c r="P77" s="162"/>
      <c r="Q77" s="162"/>
      <c r="R77" s="162"/>
      <c r="S77" s="162"/>
      <c r="T77" s="162"/>
      <c r="U77" s="162"/>
      <c r="V77" s="162"/>
      <c r="W77" s="162"/>
      <c r="X77" s="162"/>
      <c r="Y77" s="162"/>
      <c r="Z77" s="162"/>
      <c r="AA77" s="162"/>
      <c r="AB77" s="162"/>
      <c r="AC77" s="162"/>
      <c r="AD77" s="162"/>
      <c r="AE77" s="162"/>
      <c r="AF77" s="162"/>
      <c r="AG77" s="162"/>
      <c r="AH77" s="162"/>
      <c r="AI77" s="162"/>
      <c r="AJ77" s="162"/>
      <c r="AK77" s="162"/>
      <c r="AL77" s="162"/>
      <c r="AM77" s="1286"/>
      <c r="AN77" s="1286"/>
      <c r="AO77" s="1286"/>
      <c r="AP77" s="1286"/>
      <c r="AQ77" s="1286"/>
      <c r="AR77" s="1290"/>
      <c r="AS77" s="1286"/>
      <c r="AT77" s="1286"/>
      <c r="AU77" s="1286"/>
      <c r="AV77" s="1286"/>
      <c r="AW77" s="1286"/>
      <c r="AX77" s="1286"/>
      <c r="AY77" s="1286"/>
      <c r="AZ77" s="1286"/>
      <c r="BA77" s="1286"/>
      <c r="BB77" s="1286"/>
      <c r="BC77" s="1286"/>
      <c r="BD77" s="1286"/>
      <c r="BE77" s="162"/>
      <c r="BF77" s="162"/>
      <c r="BG77" s="162"/>
      <c r="BH77" s="162"/>
      <c r="BI77" s="162"/>
      <c r="BJ77" s="162"/>
      <c r="BK77" s="162"/>
      <c r="BL77" s="162"/>
      <c r="BM77" s="162"/>
      <c r="BN77" s="162"/>
      <c r="BO77" s="162"/>
      <c r="BP77" s="162"/>
      <c r="BQ77" s="162"/>
      <c r="BR77" s="162"/>
    </row>
    <row r="78" spans="1:70" x14ac:dyDescent="0.2">
      <c r="A78" s="162"/>
      <c r="B78" s="162"/>
      <c r="C78" s="162"/>
      <c r="D78" s="162"/>
      <c r="E78" s="162"/>
      <c r="F78" s="162"/>
      <c r="G78" s="162"/>
      <c r="H78" s="162"/>
      <c r="I78" s="162"/>
      <c r="J78" s="162"/>
      <c r="K78" s="162"/>
      <c r="L78" s="162"/>
      <c r="M78" s="162"/>
      <c r="N78" s="162"/>
      <c r="O78" s="162"/>
      <c r="P78" s="162"/>
      <c r="Q78" s="162"/>
      <c r="R78" s="162"/>
      <c r="S78" s="162"/>
      <c r="T78" s="162"/>
      <c r="U78" s="162"/>
      <c r="V78" s="162"/>
      <c r="W78" s="162"/>
      <c r="X78" s="162"/>
      <c r="Y78" s="162"/>
      <c r="Z78" s="162"/>
      <c r="AA78" s="162"/>
      <c r="AB78" s="162"/>
      <c r="AC78" s="162"/>
      <c r="AD78" s="162"/>
      <c r="AE78" s="162"/>
      <c r="AF78" s="162"/>
      <c r="AG78" s="162"/>
      <c r="AH78" s="162"/>
      <c r="AI78" s="162"/>
      <c r="AJ78" s="162"/>
      <c r="AK78" s="162"/>
      <c r="AL78" s="162"/>
      <c r="AM78" s="1286"/>
      <c r="AN78" s="1286"/>
      <c r="AO78" s="1286"/>
      <c r="AP78" s="1286"/>
      <c r="AQ78" s="1286"/>
      <c r="AR78" s="1290"/>
      <c r="AS78" s="1286"/>
      <c r="AT78" s="1286"/>
      <c r="AU78" s="1286"/>
      <c r="AV78" s="1286"/>
      <c r="AW78" s="1286"/>
      <c r="AX78" s="1286"/>
      <c r="AY78" s="1286"/>
      <c r="AZ78" s="1286"/>
      <c r="BA78" s="1286"/>
      <c r="BB78" s="1286"/>
      <c r="BC78" s="1286"/>
      <c r="BD78" s="1286"/>
      <c r="BE78" s="162"/>
      <c r="BF78" s="162"/>
      <c r="BG78" s="162"/>
      <c r="BH78" s="162"/>
      <c r="BI78" s="162"/>
      <c r="BJ78" s="162"/>
      <c r="BK78" s="162"/>
      <c r="BL78" s="162"/>
      <c r="BM78" s="162"/>
      <c r="BN78" s="162"/>
      <c r="BO78" s="162"/>
      <c r="BP78" s="162"/>
      <c r="BQ78" s="162"/>
      <c r="BR78" s="162"/>
    </row>
    <row r="79" spans="1:70" x14ac:dyDescent="0.2">
      <c r="A79" s="162"/>
      <c r="B79" s="162"/>
      <c r="C79" s="162"/>
      <c r="D79" s="162"/>
      <c r="E79" s="162"/>
      <c r="F79" s="162"/>
      <c r="G79" s="162"/>
      <c r="H79" s="162"/>
      <c r="I79" s="162"/>
      <c r="J79" s="162"/>
      <c r="K79" s="162"/>
      <c r="L79" s="162"/>
      <c r="M79" s="162"/>
      <c r="N79" s="162"/>
      <c r="O79" s="162"/>
      <c r="P79" s="162"/>
      <c r="Q79" s="162"/>
      <c r="R79" s="162"/>
      <c r="S79" s="162"/>
      <c r="T79" s="162"/>
      <c r="U79" s="162"/>
      <c r="V79" s="162"/>
      <c r="W79" s="162"/>
      <c r="X79" s="162"/>
      <c r="Y79" s="162"/>
      <c r="Z79" s="162"/>
      <c r="AA79" s="162"/>
      <c r="AB79" s="162"/>
      <c r="AC79" s="162"/>
      <c r="AD79" s="162"/>
      <c r="AE79" s="162"/>
      <c r="AF79" s="162"/>
      <c r="AG79" s="162"/>
      <c r="AH79" s="162"/>
      <c r="AI79" s="162"/>
      <c r="AJ79" s="162"/>
      <c r="AK79" s="162"/>
      <c r="AL79" s="162"/>
      <c r="AM79" s="1286"/>
      <c r="AN79" s="1286"/>
      <c r="AO79" s="1286"/>
      <c r="AP79" s="1286"/>
      <c r="AQ79" s="1286"/>
      <c r="AR79" s="1290"/>
      <c r="AS79" s="1286"/>
      <c r="AT79" s="1286"/>
      <c r="AU79" s="1286"/>
      <c r="AV79" s="1286"/>
      <c r="AW79" s="1286"/>
      <c r="AX79" s="1286"/>
      <c r="AY79" s="1286"/>
      <c r="AZ79" s="1286"/>
      <c r="BA79" s="1286"/>
      <c r="BB79" s="1286"/>
      <c r="BC79" s="1286"/>
      <c r="BD79" s="1286"/>
      <c r="BE79" s="162"/>
      <c r="BF79" s="162"/>
      <c r="BG79" s="162"/>
      <c r="BH79" s="162"/>
      <c r="BI79" s="162"/>
      <c r="BJ79" s="162"/>
      <c r="BK79" s="162"/>
      <c r="BL79" s="162"/>
      <c r="BM79" s="162"/>
      <c r="BN79" s="162"/>
      <c r="BO79" s="162"/>
      <c r="BP79" s="162"/>
      <c r="BQ79" s="162"/>
      <c r="BR79" s="162"/>
    </row>
    <row r="80" spans="1:70" x14ac:dyDescent="0.2">
      <c r="A80" s="162"/>
      <c r="B80" s="162"/>
      <c r="C80" s="162"/>
      <c r="D80" s="162"/>
      <c r="E80" s="162"/>
      <c r="F80" s="162"/>
      <c r="G80" s="162"/>
      <c r="H80" s="162"/>
      <c r="I80" s="162"/>
      <c r="J80" s="162"/>
      <c r="K80" s="162"/>
      <c r="L80" s="162"/>
      <c r="M80" s="162"/>
      <c r="N80" s="162"/>
      <c r="O80" s="162"/>
      <c r="P80" s="162"/>
      <c r="Q80" s="162"/>
      <c r="R80" s="162"/>
      <c r="S80" s="162"/>
      <c r="T80" s="162"/>
      <c r="U80" s="162"/>
      <c r="V80" s="162"/>
      <c r="W80" s="162"/>
      <c r="X80" s="162"/>
      <c r="Y80" s="162"/>
      <c r="Z80" s="162"/>
      <c r="AA80" s="162"/>
      <c r="AB80" s="162"/>
      <c r="AC80" s="162"/>
      <c r="AD80" s="162"/>
      <c r="AE80" s="162"/>
      <c r="AF80" s="162"/>
      <c r="AG80" s="162"/>
      <c r="AH80" s="162"/>
      <c r="AI80" s="162"/>
      <c r="AJ80" s="162"/>
      <c r="AK80" s="162"/>
      <c r="AL80" s="162"/>
      <c r="AM80" s="1286"/>
      <c r="AN80" s="1286"/>
      <c r="AO80" s="1286"/>
      <c r="AP80" s="1286"/>
      <c r="AQ80" s="1286"/>
      <c r="AR80" s="1290"/>
      <c r="AS80" s="1286"/>
      <c r="AT80" s="1286"/>
      <c r="AU80" s="1286"/>
      <c r="AV80" s="1286"/>
      <c r="AW80" s="1286"/>
      <c r="AX80" s="1286"/>
      <c r="AY80" s="1286"/>
      <c r="AZ80" s="1286"/>
      <c r="BA80" s="1286"/>
      <c r="BB80" s="1286"/>
      <c r="BC80" s="1286"/>
      <c r="BD80" s="1286"/>
      <c r="BE80" s="162"/>
      <c r="BF80" s="162"/>
      <c r="BG80" s="162"/>
      <c r="BH80" s="162"/>
      <c r="BI80" s="162"/>
      <c r="BJ80" s="162"/>
      <c r="BK80" s="162"/>
      <c r="BL80" s="162"/>
      <c r="BM80" s="162"/>
      <c r="BN80" s="162"/>
      <c r="BO80" s="162"/>
      <c r="BP80" s="162"/>
      <c r="BQ80" s="162"/>
      <c r="BR80" s="162"/>
    </row>
    <row r="81" spans="1:70" x14ac:dyDescent="0.2">
      <c r="A81" s="162"/>
      <c r="B81" s="162"/>
      <c r="C81" s="162"/>
      <c r="D81" s="162"/>
      <c r="E81" s="162"/>
      <c r="F81" s="162"/>
      <c r="G81" s="162"/>
      <c r="H81" s="162"/>
      <c r="I81" s="162"/>
      <c r="J81" s="162"/>
      <c r="K81" s="162"/>
      <c r="L81" s="162"/>
      <c r="M81" s="162"/>
      <c r="N81" s="162"/>
      <c r="O81" s="162"/>
      <c r="P81" s="162"/>
      <c r="Q81" s="162"/>
      <c r="R81" s="162"/>
      <c r="S81" s="162"/>
      <c r="T81" s="162"/>
      <c r="U81" s="162"/>
      <c r="V81" s="162"/>
      <c r="W81" s="162"/>
      <c r="X81" s="162"/>
      <c r="Y81" s="162"/>
      <c r="Z81" s="162"/>
      <c r="AA81" s="162"/>
      <c r="AB81" s="162"/>
      <c r="AC81" s="162"/>
      <c r="AD81" s="162"/>
      <c r="AE81" s="162"/>
      <c r="AF81" s="162"/>
      <c r="AG81" s="162"/>
      <c r="AH81" s="162"/>
      <c r="AI81" s="162"/>
      <c r="AJ81" s="162"/>
      <c r="AK81" s="162"/>
      <c r="AL81" s="162"/>
      <c r="AM81" s="1286"/>
      <c r="AN81" s="1286"/>
      <c r="AO81" s="1286"/>
      <c r="AP81" s="1286"/>
      <c r="AQ81" s="1286"/>
      <c r="AR81" s="1290"/>
      <c r="AS81" s="1286"/>
      <c r="AT81" s="1286"/>
      <c r="AU81" s="1286"/>
      <c r="AV81" s="1286"/>
      <c r="AW81" s="1286"/>
      <c r="AX81" s="1286"/>
      <c r="AY81" s="1286"/>
      <c r="AZ81" s="1286"/>
      <c r="BA81" s="1286"/>
      <c r="BB81" s="1286"/>
      <c r="BC81" s="1286"/>
      <c r="BD81" s="1286"/>
      <c r="BE81" s="162"/>
      <c r="BF81" s="162"/>
      <c r="BG81" s="162"/>
      <c r="BH81" s="162"/>
      <c r="BI81" s="162"/>
      <c r="BJ81" s="162"/>
      <c r="BK81" s="162"/>
      <c r="BL81" s="162"/>
      <c r="BM81" s="162"/>
      <c r="BN81" s="162"/>
      <c r="BO81" s="162"/>
      <c r="BP81" s="162"/>
      <c r="BQ81" s="162"/>
      <c r="BR81" s="162"/>
    </row>
    <row r="82" spans="1:70" x14ac:dyDescent="0.2">
      <c r="A82" s="162"/>
      <c r="B82" s="162"/>
      <c r="C82" s="162"/>
      <c r="D82" s="162"/>
      <c r="E82" s="162"/>
      <c r="F82" s="162"/>
      <c r="G82" s="162"/>
      <c r="H82" s="162"/>
      <c r="I82" s="162"/>
      <c r="J82" s="162"/>
      <c r="K82" s="162"/>
      <c r="L82" s="162"/>
      <c r="M82" s="162"/>
      <c r="N82" s="162"/>
      <c r="O82" s="162"/>
      <c r="P82" s="162"/>
      <c r="Q82" s="162"/>
      <c r="R82" s="162"/>
      <c r="S82" s="162"/>
      <c r="T82" s="162"/>
      <c r="U82" s="162"/>
      <c r="V82" s="162"/>
      <c r="W82" s="162"/>
      <c r="X82" s="162"/>
      <c r="Y82" s="162"/>
      <c r="Z82" s="162"/>
      <c r="AA82" s="162"/>
      <c r="AB82" s="162"/>
      <c r="AC82" s="162"/>
      <c r="AD82" s="162"/>
      <c r="AE82" s="162"/>
      <c r="AF82" s="162"/>
      <c r="AG82" s="162"/>
      <c r="AH82" s="162"/>
      <c r="AI82" s="162"/>
      <c r="AJ82" s="162"/>
      <c r="AK82" s="162"/>
      <c r="AL82" s="162"/>
      <c r="AM82" s="1286"/>
      <c r="AN82" s="1286"/>
      <c r="AO82" s="1286"/>
      <c r="AP82" s="1286"/>
      <c r="AQ82" s="1286"/>
      <c r="AR82" s="1290"/>
      <c r="AS82" s="1286"/>
      <c r="AT82" s="1286"/>
      <c r="AU82" s="1286"/>
      <c r="AV82" s="1286"/>
      <c r="AW82" s="1286"/>
      <c r="AX82" s="1286"/>
      <c r="AY82" s="1286"/>
      <c r="AZ82" s="1286"/>
      <c r="BA82" s="1286"/>
      <c r="BB82" s="1286"/>
      <c r="BC82" s="1286"/>
      <c r="BD82" s="1286"/>
      <c r="BE82" s="162"/>
      <c r="BF82" s="162"/>
      <c r="BG82" s="162"/>
      <c r="BH82" s="162"/>
      <c r="BI82" s="162"/>
      <c r="BJ82" s="162"/>
      <c r="BK82" s="162"/>
      <c r="BL82" s="162"/>
      <c r="BM82" s="162"/>
      <c r="BN82" s="162"/>
      <c r="BO82" s="162"/>
      <c r="BP82" s="162"/>
      <c r="BQ82" s="162"/>
      <c r="BR82" s="162"/>
    </row>
    <row r="83" spans="1:70" x14ac:dyDescent="0.2">
      <c r="A83" s="162"/>
      <c r="B83" s="162"/>
      <c r="C83" s="162"/>
      <c r="D83" s="162"/>
      <c r="E83" s="162"/>
      <c r="F83" s="162"/>
      <c r="G83" s="162"/>
      <c r="H83" s="162"/>
      <c r="I83" s="162"/>
      <c r="J83" s="162"/>
      <c r="K83" s="162"/>
      <c r="L83" s="162"/>
      <c r="M83" s="162"/>
      <c r="N83" s="162"/>
      <c r="O83" s="162"/>
      <c r="P83" s="162"/>
      <c r="Q83" s="162"/>
      <c r="R83" s="162"/>
      <c r="S83" s="162"/>
      <c r="T83" s="162"/>
      <c r="U83" s="162"/>
      <c r="V83" s="162"/>
      <c r="W83" s="162"/>
      <c r="X83" s="162"/>
      <c r="Y83" s="162"/>
      <c r="Z83" s="162"/>
      <c r="AA83" s="162"/>
      <c r="AB83" s="162"/>
      <c r="AC83" s="162"/>
      <c r="AD83" s="162"/>
      <c r="AE83" s="162"/>
      <c r="AF83" s="162"/>
      <c r="AG83" s="162"/>
      <c r="AH83" s="162"/>
      <c r="AI83" s="162"/>
      <c r="AJ83" s="162"/>
      <c r="AK83" s="162"/>
      <c r="AL83" s="162"/>
      <c r="AM83" s="1286"/>
      <c r="AN83" s="1286"/>
      <c r="AO83" s="1286"/>
      <c r="AP83" s="1286"/>
      <c r="AQ83" s="1286"/>
      <c r="AR83" s="1290"/>
      <c r="AS83" s="1286"/>
      <c r="AT83" s="1286"/>
      <c r="AU83" s="1286"/>
      <c r="AV83" s="1286"/>
      <c r="AW83" s="1286"/>
      <c r="AX83" s="1286"/>
      <c r="AY83" s="1286"/>
      <c r="AZ83" s="1286"/>
      <c r="BA83" s="1286"/>
      <c r="BB83" s="1286"/>
      <c r="BC83" s="1286"/>
      <c r="BD83" s="1286"/>
      <c r="BE83" s="162"/>
      <c r="BF83" s="162"/>
      <c r="BG83" s="162"/>
      <c r="BH83" s="162"/>
      <c r="BI83" s="162"/>
      <c r="BJ83" s="162"/>
      <c r="BK83" s="162"/>
      <c r="BL83" s="162"/>
      <c r="BM83" s="162"/>
      <c r="BN83" s="162"/>
      <c r="BO83" s="162"/>
      <c r="BP83" s="162"/>
      <c r="BQ83" s="162"/>
      <c r="BR83" s="162"/>
    </row>
    <row r="84" spans="1:70" x14ac:dyDescent="0.2">
      <c r="A84" s="162"/>
      <c r="B84" s="162"/>
      <c r="C84" s="162"/>
      <c r="D84" s="162"/>
      <c r="E84" s="162"/>
      <c r="F84" s="162"/>
      <c r="G84" s="162"/>
      <c r="H84" s="162"/>
      <c r="I84" s="162"/>
      <c r="J84" s="162"/>
      <c r="K84" s="162"/>
      <c r="L84" s="162"/>
      <c r="M84" s="162"/>
      <c r="N84" s="162"/>
      <c r="O84" s="162"/>
      <c r="P84" s="162"/>
      <c r="Q84" s="162"/>
      <c r="R84" s="162"/>
      <c r="S84" s="162"/>
      <c r="T84" s="162"/>
      <c r="U84" s="162"/>
      <c r="V84" s="162"/>
      <c r="W84" s="162"/>
      <c r="X84" s="162"/>
      <c r="Y84" s="162"/>
      <c r="Z84" s="162"/>
      <c r="AA84" s="162"/>
      <c r="AB84" s="162"/>
      <c r="AC84" s="162"/>
      <c r="AD84" s="162"/>
      <c r="AE84" s="162"/>
      <c r="AF84" s="162"/>
      <c r="AG84" s="162"/>
      <c r="AH84" s="162"/>
      <c r="AI84" s="162"/>
      <c r="AJ84" s="162"/>
      <c r="AK84" s="162"/>
      <c r="AL84" s="162"/>
      <c r="AM84" s="1286"/>
      <c r="AN84" s="1286"/>
      <c r="AO84" s="1286"/>
      <c r="AP84" s="1286"/>
      <c r="AQ84" s="1286"/>
      <c r="AR84" s="1290"/>
      <c r="AS84" s="1286"/>
      <c r="AT84" s="1286"/>
      <c r="AU84" s="1286"/>
      <c r="AV84" s="1286"/>
      <c r="AW84" s="1286"/>
      <c r="AX84" s="1286"/>
      <c r="AY84" s="1286"/>
      <c r="AZ84" s="1286"/>
      <c r="BA84" s="1286"/>
      <c r="BB84" s="1286"/>
      <c r="BC84" s="1286"/>
      <c r="BD84" s="1286"/>
      <c r="BE84" s="162"/>
      <c r="BF84" s="162"/>
      <c r="BG84" s="162"/>
      <c r="BH84" s="162"/>
      <c r="BI84" s="162"/>
      <c r="BJ84" s="162"/>
      <c r="BK84" s="162"/>
      <c r="BL84" s="162"/>
      <c r="BM84" s="162"/>
      <c r="BN84" s="162"/>
      <c r="BO84" s="162"/>
      <c r="BP84" s="162"/>
      <c r="BQ84" s="162"/>
      <c r="BR84" s="162"/>
    </row>
    <row r="85" spans="1:70" x14ac:dyDescent="0.2">
      <c r="A85" s="162"/>
      <c r="B85" s="162"/>
      <c r="C85" s="162"/>
      <c r="D85" s="162"/>
      <c r="E85" s="162"/>
      <c r="F85" s="162"/>
      <c r="G85" s="162"/>
      <c r="H85" s="162"/>
      <c r="I85" s="162"/>
      <c r="J85" s="162"/>
      <c r="K85" s="162"/>
      <c r="L85" s="162"/>
      <c r="M85" s="162"/>
      <c r="N85" s="162"/>
      <c r="O85" s="162"/>
      <c r="P85" s="162"/>
      <c r="Q85" s="162"/>
      <c r="R85" s="162"/>
      <c r="S85" s="162"/>
      <c r="T85" s="162"/>
      <c r="U85" s="162"/>
      <c r="V85" s="162"/>
      <c r="W85" s="162"/>
      <c r="X85" s="162"/>
      <c r="Y85" s="162"/>
      <c r="Z85" s="162"/>
      <c r="AA85" s="162"/>
      <c r="AB85" s="162"/>
      <c r="AC85" s="162"/>
      <c r="AD85" s="162"/>
      <c r="AE85" s="162"/>
      <c r="AF85" s="162"/>
      <c r="AG85" s="162"/>
      <c r="AH85" s="162"/>
      <c r="AI85" s="162"/>
      <c r="AJ85" s="162"/>
      <c r="AK85" s="162"/>
      <c r="AL85" s="162"/>
      <c r="AM85" s="1286"/>
      <c r="AN85" s="1286"/>
      <c r="AO85" s="1286"/>
      <c r="AP85" s="1286"/>
      <c r="AQ85" s="1286"/>
      <c r="AR85" s="1290"/>
      <c r="AS85" s="1286"/>
      <c r="AT85" s="1286"/>
      <c r="AU85" s="1286"/>
      <c r="AV85" s="1286"/>
      <c r="AW85" s="1286"/>
      <c r="AX85" s="1286"/>
      <c r="AY85" s="1286"/>
      <c r="AZ85" s="1286"/>
      <c r="BA85" s="1286"/>
      <c r="BB85" s="1286"/>
      <c r="BC85" s="1286"/>
      <c r="BD85" s="1286"/>
      <c r="BE85" s="162"/>
      <c r="BF85" s="162"/>
      <c r="BG85" s="162"/>
      <c r="BH85" s="162"/>
      <c r="BI85" s="162"/>
      <c r="BJ85" s="162"/>
      <c r="BK85" s="162"/>
      <c r="BL85" s="162"/>
      <c r="BM85" s="162"/>
      <c r="BN85" s="162"/>
      <c r="BO85" s="162"/>
      <c r="BP85" s="162"/>
      <c r="BQ85" s="162"/>
      <c r="BR85" s="162"/>
    </row>
    <row r="86" spans="1:70" x14ac:dyDescent="0.2">
      <c r="A86" s="162"/>
      <c r="B86" s="162"/>
      <c r="C86" s="162"/>
      <c r="D86" s="162"/>
      <c r="E86" s="162"/>
      <c r="F86" s="162"/>
      <c r="G86" s="162"/>
      <c r="H86" s="162"/>
      <c r="I86" s="162"/>
      <c r="J86" s="162"/>
      <c r="K86" s="162"/>
      <c r="L86" s="162"/>
      <c r="M86" s="162"/>
      <c r="N86" s="162"/>
      <c r="O86" s="162"/>
      <c r="P86" s="162"/>
      <c r="Q86" s="162"/>
      <c r="R86" s="162"/>
      <c r="S86" s="162"/>
      <c r="T86" s="162"/>
      <c r="U86" s="162"/>
      <c r="V86" s="162"/>
      <c r="W86" s="162"/>
      <c r="X86" s="162"/>
      <c r="Y86" s="162"/>
      <c r="Z86" s="162"/>
      <c r="AA86" s="162"/>
      <c r="AB86" s="162"/>
      <c r="AC86" s="162"/>
      <c r="AD86" s="162"/>
      <c r="AE86" s="162"/>
      <c r="AF86" s="162"/>
      <c r="AG86" s="162"/>
      <c r="AH86" s="162"/>
      <c r="AI86" s="162"/>
      <c r="AJ86" s="162"/>
      <c r="AK86" s="162"/>
      <c r="AL86" s="162"/>
      <c r="AM86" s="1286"/>
      <c r="AN86" s="1286"/>
      <c r="AO86" s="1286"/>
      <c r="AP86" s="1286"/>
      <c r="AQ86" s="1286"/>
      <c r="AR86" s="1290"/>
      <c r="AS86" s="1286"/>
      <c r="AT86" s="1286"/>
      <c r="AU86" s="1286"/>
      <c r="AV86" s="1286"/>
      <c r="AW86" s="1286"/>
      <c r="AX86" s="1286"/>
      <c r="AY86" s="1286"/>
      <c r="AZ86" s="1286"/>
      <c r="BA86" s="1286"/>
      <c r="BB86" s="1286"/>
      <c r="BC86" s="1286"/>
      <c r="BD86" s="1286"/>
      <c r="BE86" s="162"/>
      <c r="BF86" s="162"/>
      <c r="BG86" s="162"/>
      <c r="BH86" s="162"/>
      <c r="BI86" s="162"/>
      <c r="BJ86" s="162"/>
      <c r="BK86" s="162"/>
      <c r="BL86" s="162"/>
      <c r="BM86" s="162"/>
      <c r="BN86" s="162"/>
      <c r="BO86" s="162"/>
      <c r="BP86" s="162"/>
      <c r="BQ86" s="162"/>
      <c r="BR86" s="162"/>
    </row>
    <row r="87" spans="1:70" x14ac:dyDescent="0.2">
      <c r="A87" s="162"/>
      <c r="B87" s="162"/>
      <c r="C87" s="162"/>
      <c r="D87" s="162"/>
      <c r="E87" s="162"/>
      <c r="F87" s="162"/>
      <c r="G87" s="162"/>
      <c r="H87" s="162"/>
      <c r="I87" s="162"/>
      <c r="J87" s="162"/>
      <c r="K87" s="162"/>
      <c r="L87" s="162"/>
      <c r="M87" s="162"/>
      <c r="N87" s="162"/>
      <c r="O87" s="162"/>
      <c r="P87" s="162"/>
      <c r="Q87" s="162"/>
      <c r="R87" s="162"/>
      <c r="S87" s="162"/>
      <c r="T87" s="162"/>
      <c r="U87" s="162"/>
      <c r="V87" s="162"/>
      <c r="W87" s="162"/>
      <c r="X87" s="162"/>
      <c r="Y87" s="162"/>
      <c r="Z87" s="162"/>
      <c r="AA87" s="162"/>
      <c r="AB87" s="162"/>
      <c r="AC87" s="162"/>
      <c r="AD87" s="162"/>
      <c r="AE87" s="162"/>
      <c r="AF87" s="162"/>
      <c r="AG87" s="162"/>
      <c r="AH87" s="162"/>
      <c r="AI87" s="162"/>
      <c r="AJ87" s="162"/>
      <c r="AK87" s="162"/>
      <c r="AL87" s="162"/>
      <c r="AM87" s="1286"/>
      <c r="AN87" s="1286"/>
      <c r="AO87" s="1286"/>
      <c r="AP87" s="1286"/>
      <c r="AQ87" s="1286"/>
      <c r="AR87" s="1290"/>
      <c r="AS87" s="1286"/>
      <c r="AT87" s="1286"/>
      <c r="AU87" s="1286"/>
      <c r="AV87" s="1286"/>
      <c r="AW87" s="1286"/>
      <c r="AX87" s="1286"/>
      <c r="AY87" s="1286"/>
      <c r="AZ87" s="1286"/>
      <c r="BA87" s="1286"/>
      <c r="BB87" s="1286"/>
      <c r="BC87" s="1286"/>
      <c r="BD87" s="1286"/>
      <c r="BE87" s="162"/>
      <c r="BF87" s="162"/>
      <c r="BG87" s="162"/>
      <c r="BH87" s="162"/>
      <c r="BI87" s="162"/>
      <c r="BJ87" s="162"/>
      <c r="BK87" s="162"/>
      <c r="BL87" s="162"/>
      <c r="BM87" s="162"/>
      <c r="BN87" s="162"/>
      <c r="BO87" s="162"/>
      <c r="BP87" s="162"/>
      <c r="BQ87" s="162"/>
      <c r="BR87" s="162"/>
    </row>
    <row r="88" spans="1:70" x14ac:dyDescent="0.2">
      <c r="A88" s="162"/>
      <c r="B88" s="162"/>
      <c r="C88" s="162"/>
      <c r="D88" s="162"/>
      <c r="E88" s="162"/>
      <c r="F88" s="162"/>
      <c r="G88" s="162"/>
      <c r="H88" s="162"/>
      <c r="I88" s="162"/>
      <c r="J88" s="162"/>
      <c r="K88" s="162"/>
      <c r="L88" s="162"/>
      <c r="M88" s="162"/>
      <c r="N88" s="162"/>
      <c r="O88" s="162"/>
      <c r="P88" s="162"/>
      <c r="Q88" s="162"/>
      <c r="R88" s="162"/>
      <c r="S88" s="162"/>
      <c r="T88" s="162"/>
      <c r="U88" s="162"/>
      <c r="V88" s="162"/>
      <c r="W88" s="162"/>
      <c r="X88" s="162"/>
      <c r="Y88" s="162"/>
      <c r="Z88" s="162"/>
      <c r="AA88" s="162"/>
      <c r="AB88" s="162"/>
      <c r="AC88" s="162"/>
      <c r="AD88" s="162"/>
      <c r="AE88" s="162"/>
      <c r="AF88" s="162"/>
      <c r="AG88" s="162"/>
      <c r="AH88" s="162"/>
      <c r="AI88" s="162"/>
      <c r="AJ88" s="162"/>
      <c r="AK88" s="162"/>
      <c r="AL88" s="162"/>
      <c r="AM88" s="1286"/>
      <c r="AN88" s="1286"/>
      <c r="AO88" s="1286"/>
      <c r="AP88" s="1286"/>
      <c r="AQ88" s="1286"/>
      <c r="AR88" s="1290"/>
      <c r="AS88" s="1286"/>
      <c r="AT88" s="1286"/>
      <c r="AU88" s="1286"/>
      <c r="AV88" s="1286"/>
      <c r="AW88" s="1286"/>
      <c r="AX88" s="1286"/>
      <c r="AY88" s="1286"/>
      <c r="AZ88" s="1286"/>
      <c r="BA88" s="1286"/>
      <c r="BB88" s="1286"/>
      <c r="BC88" s="1286"/>
      <c r="BD88" s="1286"/>
      <c r="BE88" s="162"/>
      <c r="BF88" s="162"/>
      <c r="BG88" s="162"/>
      <c r="BH88" s="162"/>
      <c r="BI88" s="162"/>
      <c r="BJ88" s="162"/>
      <c r="BK88" s="162"/>
      <c r="BL88" s="162"/>
      <c r="BM88" s="162"/>
      <c r="BN88" s="162"/>
      <c r="BO88" s="162"/>
      <c r="BP88" s="162"/>
      <c r="BQ88" s="162"/>
      <c r="BR88" s="162"/>
    </row>
    <row r="89" spans="1:70" x14ac:dyDescent="0.2">
      <c r="A89" s="162"/>
      <c r="B89" s="162"/>
      <c r="C89" s="162"/>
      <c r="D89" s="162"/>
      <c r="E89" s="162"/>
      <c r="F89" s="162"/>
      <c r="G89" s="162"/>
      <c r="H89" s="162"/>
      <c r="I89" s="162"/>
      <c r="J89" s="162"/>
      <c r="K89" s="162"/>
      <c r="L89" s="162"/>
      <c r="M89" s="162"/>
      <c r="N89" s="162"/>
      <c r="O89" s="162"/>
      <c r="P89" s="162"/>
      <c r="Q89" s="162"/>
      <c r="R89" s="162"/>
      <c r="S89" s="162"/>
      <c r="T89" s="162"/>
      <c r="U89" s="162"/>
      <c r="V89" s="162"/>
      <c r="W89" s="162"/>
      <c r="X89" s="162"/>
      <c r="Y89" s="162"/>
      <c r="Z89" s="162"/>
      <c r="AA89" s="162"/>
      <c r="AB89" s="162"/>
      <c r="AC89" s="162"/>
      <c r="AD89" s="162"/>
      <c r="AE89" s="162"/>
      <c r="AF89" s="162"/>
      <c r="AG89" s="162"/>
      <c r="AH89" s="162"/>
      <c r="AI89" s="162"/>
      <c r="AJ89" s="162"/>
      <c r="AK89" s="162"/>
      <c r="AL89" s="162"/>
      <c r="AM89" s="1286"/>
      <c r="AN89" s="1286"/>
      <c r="AO89" s="1286"/>
      <c r="AP89" s="1286"/>
      <c r="AQ89" s="1286"/>
      <c r="AR89" s="1290"/>
      <c r="AS89" s="1286"/>
      <c r="AT89" s="1286"/>
      <c r="AU89" s="1286"/>
      <c r="AV89" s="1286"/>
      <c r="AW89" s="1286"/>
      <c r="AX89" s="1286"/>
      <c r="AY89" s="1286"/>
      <c r="AZ89" s="1286"/>
      <c r="BA89" s="1286"/>
      <c r="BB89" s="1286"/>
      <c r="BC89" s="1286"/>
      <c r="BD89" s="1286"/>
      <c r="BE89" s="162"/>
      <c r="BF89" s="162"/>
      <c r="BG89" s="162"/>
      <c r="BH89" s="162"/>
      <c r="BI89" s="162"/>
      <c r="BJ89" s="162"/>
      <c r="BK89" s="162"/>
      <c r="BL89" s="162"/>
      <c r="BM89" s="162"/>
      <c r="BN89" s="162"/>
      <c r="BO89" s="162"/>
      <c r="BP89" s="162"/>
      <c r="BQ89" s="162"/>
      <c r="BR89" s="162"/>
    </row>
    <row r="90" spans="1:70" x14ac:dyDescent="0.2">
      <c r="A90" s="162"/>
      <c r="B90" s="162"/>
      <c r="C90" s="162"/>
      <c r="D90" s="162"/>
      <c r="E90" s="162"/>
      <c r="F90" s="162"/>
      <c r="G90" s="162"/>
      <c r="H90" s="162"/>
      <c r="I90" s="162"/>
      <c r="J90" s="162"/>
      <c r="K90" s="162"/>
      <c r="L90" s="162"/>
      <c r="M90" s="162"/>
      <c r="N90" s="162"/>
      <c r="O90" s="162"/>
      <c r="P90" s="162"/>
      <c r="Q90" s="162"/>
      <c r="R90" s="162"/>
      <c r="S90" s="162"/>
      <c r="T90" s="162"/>
      <c r="U90" s="162"/>
      <c r="V90" s="162"/>
      <c r="W90" s="162"/>
      <c r="X90" s="162"/>
      <c r="Y90" s="162"/>
      <c r="Z90" s="162"/>
      <c r="AA90" s="162"/>
      <c r="AB90" s="162"/>
      <c r="AC90" s="162"/>
      <c r="AD90" s="162"/>
      <c r="AE90" s="162"/>
      <c r="AF90" s="162"/>
      <c r="AG90" s="162"/>
      <c r="AH90" s="162"/>
      <c r="AI90" s="162"/>
      <c r="AJ90" s="162"/>
      <c r="AK90" s="162"/>
      <c r="AL90" s="162"/>
      <c r="AM90" s="1286"/>
      <c r="AN90" s="1286"/>
      <c r="AO90" s="1286"/>
      <c r="AP90" s="1286"/>
      <c r="AQ90" s="1286"/>
      <c r="AR90" s="1290"/>
      <c r="AS90" s="1286"/>
      <c r="AT90" s="1286"/>
      <c r="AU90" s="1286"/>
      <c r="AV90" s="1286"/>
      <c r="AW90" s="1286"/>
      <c r="AX90" s="1286"/>
      <c r="AY90" s="1286"/>
      <c r="AZ90" s="1286"/>
      <c r="BA90" s="1286"/>
      <c r="BB90" s="1286"/>
      <c r="BC90" s="1286"/>
      <c r="BD90" s="1286"/>
      <c r="BE90" s="162"/>
      <c r="BF90" s="162"/>
      <c r="BG90" s="162"/>
      <c r="BH90" s="162"/>
      <c r="BI90" s="162"/>
      <c r="BJ90" s="162"/>
      <c r="BK90" s="162"/>
      <c r="BL90" s="162"/>
      <c r="BM90" s="162"/>
      <c r="BN90" s="162"/>
      <c r="BO90" s="162"/>
      <c r="BP90" s="162"/>
      <c r="BQ90" s="162"/>
      <c r="BR90" s="162"/>
    </row>
    <row r="91" spans="1:70" x14ac:dyDescent="0.2">
      <c r="A91" s="162"/>
      <c r="B91" s="162"/>
      <c r="C91" s="162"/>
      <c r="D91" s="162"/>
      <c r="E91" s="162"/>
      <c r="F91" s="162"/>
      <c r="G91" s="162"/>
      <c r="H91" s="162"/>
      <c r="I91" s="162"/>
      <c r="J91" s="162"/>
      <c r="K91" s="162"/>
      <c r="L91" s="162"/>
      <c r="M91" s="162"/>
      <c r="N91" s="162"/>
      <c r="O91" s="162"/>
      <c r="P91" s="162"/>
      <c r="Q91" s="162"/>
      <c r="R91" s="162"/>
      <c r="S91" s="162"/>
      <c r="T91" s="162"/>
      <c r="U91" s="162"/>
      <c r="V91" s="162"/>
      <c r="W91" s="162"/>
      <c r="X91" s="162"/>
      <c r="Y91" s="162"/>
      <c r="Z91" s="162"/>
      <c r="AA91" s="162"/>
      <c r="AB91" s="162"/>
      <c r="AC91" s="162"/>
      <c r="AD91" s="162"/>
      <c r="AE91" s="162"/>
      <c r="AF91" s="162"/>
      <c r="AG91" s="162"/>
      <c r="AH91" s="162"/>
      <c r="AI91" s="162"/>
      <c r="AJ91" s="162"/>
      <c r="AK91" s="162"/>
      <c r="AL91" s="162"/>
      <c r="AM91" s="1286"/>
      <c r="AN91" s="1286"/>
      <c r="AO91" s="1286"/>
      <c r="AP91" s="1286"/>
      <c r="AQ91" s="1286"/>
      <c r="AR91" s="1290"/>
      <c r="AS91" s="1286"/>
      <c r="AT91" s="1286"/>
      <c r="AU91" s="1286"/>
      <c r="AV91" s="1286"/>
      <c r="AW91" s="1286"/>
      <c r="AX91" s="1286"/>
      <c r="AY91" s="1286"/>
      <c r="AZ91" s="1286"/>
      <c r="BA91" s="1286"/>
      <c r="BB91" s="1286"/>
      <c r="BC91" s="1286"/>
      <c r="BD91" s="1286"/>
      <c r="BE91" s="162"/>
      <c r="BF91" s="162"/>
      <c r="BG91" s="162"/>
      <c r="BH91" s="162"/>
      <c r="BI91" s="162"/>
      <c r="BJ91" s="162"/>
      <c r="BK91" s="162"/>
      <c r="BL91" s="162"/>
      <c r="BM91" s="162"/>
      <c r="BN91" s="162"/>
      <c r="BO91" s="162"/>
      <c r="BP91" s="162"/>
      <c r="BQ91" s="162"/>
      <c r="BR91" s="162"/>
    </row>
    <row r="92" spans="1:70" x14ac:dyDescent="0.2">
      <c r="A92" s="162"/>
      <c r="B92" s="162"/>
      <c r="C92" s="162"/>
      <c r="D92" s="162"/>
      <c r="E92" s="162"/>
      <c r="F92" s="162"/>
      <c r="G92" s="162"/>
      <c r="H92" s="162"/>
      <c r="I92" s="162"/>
      <c r="J92" s="162"/>
      <c r="K92" s="162"/>
      <c r="L92" s="162"/>
      <c r="M92" s="162"/>
      <c r="N92" s="162"/>
      <c r="O92" s="162"/>
      <c r="P92" s="162"/>
      <c r="Q92" s="162"/>
      <c r="R92" s="162"/>
      <c r="S92" s="162"/>
      <c r="T92" s="162"/>
      <c r="U92" s="162"/>
      <c r="V92" s="162"/>
      <c r="W92" s="162"/>
      <c r="X92" s="162"/>
      <c r="Y92" s="162"/>
      <c r="Z92" s="162"/>
      <c r="AA92" s="162"/>
      <c r="AB92" s="162"/>
      <c r="AC92" s="162"/>
      <c r="AD92" s="162"/>
      <c r="AE92" s="162"/>
      <c r="AF92" s="162"/>
      <c r="AG92" s="162"/>
      <c r="AH92" s="162"/>
      <c r="AI92" s="162"/>
      <c r="AJ92" s="162"/>
      <c r="AK92" s="162"/>
      <c r="AL92" s="162"/>
      <c r="AM92" s="1286"/>
      <c r="AN92" s="1286"/>
      <c r="AO92" s="1286"/>
      <c r="AP92" s="1286"/>
      <c r="AQ92" s="1286"/>
      <c r="AR92" s="1290"/>
      <c r="AS92" s="1286"/>
      <c r="AT92" s="1286"/>
      <c r="AU92" s="1286"/>
      <c r="AV92" s="1286"/>
      <c r="AW92" s="1286"/>
      <c r="AX92" s="1286"/>
      <c r="AY92" s="1286"/>
      <c r="AZ92" s="1286"/>
      <c r="BA92" s="1286"/>
      <c r="BB92" s="1286"/>
      <c r="BC92" s="1286"/>
      <c r="BD92" s="1286"/>
      <c r="BE92" s="162"/>
      <c r="BF92" s="162"/>
      <c r="BG92" s="162"/>
      <c r="BH92" s="162"/>
      <c r="BI92" s="162"/>
      <c r="BJ92" s="162"/>
      <c r="BK92" s="162"/>
      <c r="BL92" s="162"/>
      <c r="BM92" s="162"/>
      <c r="BN92" s="162"/>
      <c r="BO92" s="162"/>
      <c r="BP92" s="162"/>
      <c r="BQ92" s="162"/>
      <c r="BR92" s="162"/>
    </row>
    <row r="93" spans="1:70" x14ac:dyDescent="0.2">
      <c r="A93" s="162"/>
      <c r="B93" s="162"/>
      <c r="C93" s="162"/>
      <c r="D93" s="162"/>
      <c r="E93" s="162"/>
      <c r="F93" s="162"/>
      <c r="G93" s="162"/>
      <c r="H93" s="162"/>
      <c r="I93" s="162"/>
      <c r="J93" s="162"/>
      <c r="K93" s="162"/>
      <c r="L93" s="162"/>
      <c r="M93" s="162"/>
      <c r="N93" s="162"/>
      <c r="O93" s="162"/>
      <c r="P93" s="162"/>
      <c r="Q93" s="162"/>
      <c r="R93" s="162"/>
      <c r="S93" s="162"/>
      <c r="T93" s="162"/>
      <c r="U93" s="162"/>
      <c r="V93" s="162"/>
      <c r="W93" s="162"/>
      <c r="X93" s="162"/>
      <c r="Y93" s="162"/>
      <c r="Z93" s="162"/>
      <c r="AA93" s="162"/>
      <c r="AB93" s="162"/>
      <c r="AC93" s="162"/>
      <c r="AD93" s="162"/>
      <c r="AE93" s="162"/>
      <c r="AF93" s="162"/>
      <c r="AG93" s="162"/>
      <c r="AH93" s="162"/>
      <c r="AI93" s="162"/>
      <c r="AJ93" s="162"/>
      <c r="AK93" s="162"/>
      <c r="AL93" s="162"/>
      <c r="AM93" s="1286"/>
      <c r="AN93" s="1286"/>
      <c r="AO93" s="1286"/>
      <c r="AP93" s="1286"/>
      <c r="AQ93" s="1286"/>
      <c r="AR93" s="1290"/>
      <c r="AS93" s="1286"/>
      <c r="AT93" s="1286"/>
      <c r="AU93" s="1286"/>
      <c r="AV93" s="1286"/>
      <c r="AW93" s="1286"/>
      <c r="AX93" s="1286"/>
      <c r="AY93" s="1286"/>
      <c r="AZ93" s="1286"/>
      <c r="BA93" s="1286"/>
      <c r="BB93" s="1286"/>
      <c r="BC93" s="1286"/>
      <c r="BD93" s="1286"/>
      <c r="BE93" s="162"/>
      <c r="BF93" s="162"/>
      <c r="BG93" s="162"/>
      <c r="BH93" s="162"/>
      <c r="BI93" s="162"/>
      <c r="BJ93" s="162"/>
      <c r="BK93" s="162"/>
      <c r="BL93" s="162"/>
      <c r="BM93" s="162"/>
      <c r="BN93" s="162"/>
      <c r="BO93" s="162"/>
      <c r="BP93" s="162"/>
      <c r="BQ93" s="162"/>
      <c r="BR93" s="162"/>
    </row>
    <row r="94" spans="1:70" x14ac:dyDescent="0.2">
      <c r="A94" s="162"/>
      <c r="B94" s="162"/>
      <c r="C94" s="162"/>
      <c r="D94" s="162"/>
      <c r="E94" s="162"/>
      <c r="F94" s="162"/>
      <c r="G94" s="162"/>
      <c r="H94" s="162"/>
      <c r="I94" s="162"/>
      <c r="J94" s="162"/>
      <c r="K94" s="162"/>
      <c r="L94" s="162"/>
      <c r="M94" s="162"/>
      <c r="N94" s="162"/>
      <c r="O94" s="162"/>
      <c r="P94" s="162"/>
      <c r="Q94" s="162"/>
      <c r="R94" s="162"/>
      <c r="S94" s="162"/>
      <c r="T94" s="162"/>
      <c r="U94" s="162"/>
      <c r="V94" s="162"/>
      <c r="W94" s="162"/>
      <c r="X94" s="162"/>
      <c r="Y94" s="162"/>
      <c r="Z94" s="162"/>
      <c r="AA94" s="162"/>
      <c r="AB94" s="162"/>
      <c r="AC94" s="162"/>
      <c r="AD94" s="162"/>
      <c r="AE94" s="162"/>
      <c r="AF94" s="162"/>
      <c r="AG94" s="162"/>
      <c r="AH94" s="162"/>
      <c r="AI94" s="162"/>
      <c r="AJ94" s="162"/>
      <c r="AK94" s="162"/>
      <c r="AL94" s="162"/>
      <c r="AM94" s="1286"/>
      <c r="AN94" s="1286"/>
      <c r="AO94" s="1286"/>
      <c r="AP94" s="1286"/>
      <c r="AQ94" s="1286"/>
      <c r="AR94" s="1290"/>
      <c r="AS94" s="1286"/>
      <c r="AT94" s="1286"/>
      <c r="AU94" s="1286"/>
      <c r="AV94" s="1286"/>
      <c r="AW94" s="1286"/>
      <c r="AX94" s="1286"/>
      <c r="AY94" s="1286"/>
      <c r="AZ94" s="1286"/>
      <c r="BA94" s="1286"/>
      <c r="BB94" s="1286"/>
      <c r="BC94" s="1286"/>
      <c r="BD94" s="1286"/>
      <c r="BE94" s="162"/>
      <c r="BF94" s="162"/>
      <c r="BG94" s="162"/>
      <c r="BH94" s="162"/>
      <c r="BI94" s="162"/>
      <c r="BJ94" s="162"/>
      <c r="BK94" s="162"/>
      <c r="BL94" s="162"/>
      <c r="BM94" s="162"/>
      <c r="BN94" s="162"/>
      <c r="BO94" s="162"/>
      <c r="BP94" s="162"/>
      <c r="BQ94" s="162"/>
      <c r="BR94" s="162"/>
    </row>
    <row r="95" spans="1:70" x14ac:dyDescent="0.2">
      <c r="A95" s="162"/>
      <c r="B95" s="162"/>
      <c r="C95" s="162"/>
      <c r="D95" s="162"/>
      <c r="E95" s="162"/>
      <c r="F95" s="162"/>
      <c r="G95" s="162"/>
      <c r="H95" s="162"/>
      <c r="I95" s="162"/>
      <c r="J95" s="162"/>
      <c r="K95" s="162"/>
      <c r="L95" s="162"/>
      <c r="M95" s="162"/>
      <c r="N95" s="162"/>
      <c r="O95" s="162"/>
      <c r="P95" s="162"/>
      <c r="Q95" s="162"/>
      <c r="R95" s="162"/>
      <c r="S95" s="162"/>
      <c r="T95" s="162"/>
      <c r="U95" s="162"/>
      <c r="V95" s="162"/>
      <c r="W95" s="162"/>
      <c r="X95" s="162"/>
      <c r="Y95" s="162"/>
      <c r="Z95" s="162"/>
      <c r="AA95" s="162"/>
      <c r="AB95" s="162"/>
      <c r="AC95" s="162"/>
      <c r="AD95" s="162"/>
      <c r="AE95" s="162"/>
      <c r="AF95" s="162"/>
      <c r="AG95" s="162"/>
      <c r="AH95" s="162"/>
      <c r="AI95" s="162"/>
      <c r="AJ95" s="162"/>
      <c r="AK95" s="162"/>
      <c r="AL95" s="162"/>
      <c r="AM95" s="1286"/>
      <c r="AN95" s="1286"/>
      <c r="AO95" s="1286"/>
      <c r="AP95" s="1286"/>
      <c r="AQ95" s="1286"/>
      <c r="AR95" s="1290"/>
      <c r="AS95" s="1286"/>
      <c r="AT95" s="1286"/>
      <c r="AU95" s="1286"/>
      <c r="AV95" s="1286"/>
      <c r="AW95" s="1286"/>
      <c r="AX95" s="1286"/>
      <c r="AY95" s="1286"/>
      <c r="AZ95" s="1286"/>
      <c r="BA95" s="1286"/>
      <c r="BB95" s="1286"/>
      <c r="BC95" s="1286"/>
      <c r="BD95" s="1286"/>
      <c r="BE95" s="162"/>
      <c r="BF95" s="162"/>
      <c r="BG95" s="162"/>
      <c r="BH95" s="162"/>
      <c r="BI95" s="162"/>
      <c r="BJ95" s="162"/>
      <c r="BK95" s="162"/>
      <c r="BL95" s="162"/>
      <c r="BM95" s="162"/>
      <c r="BN95" s="162"/>
      <c r="BO95" s="162"/>
      <c r="BP95" s="162"/>
      <c r="BQ95" s="162"/>
      <c r="BR95" s="162"/>
    </row>
    <row r="96" spans="1:70" x14ac:dyDescent="0.2">
      <c r="A96" s="162"/>
      <c r="B96" s="162"/>
      <c r="C96" s="162"/>
      <c r="D96" s="162"/>
      <c r="E96" s="162"/>
      <c r="F96" s="162"/>
      <c r="G96" s="162"/>
      <c r="H96" s="162"/>
      <c r="I96" s="162"/>
      <c r="J96" s="162"/>
      <c r="K96" s="162"/>
      <c r="L96" s="162"/>
      <c r="M96" s="162"/>
      <c r="N96" s="162"/>
      <c r="O96" s="162"/>
      <c r="P96" s="162"/>
      <c r="Q96" s="162"/>
      <c r="R96" s="162"/>
      <c r="S96" s="162"/>
      <c r="T96" s="162"/>
      <c r="U96" s="162"/>
      <c r="V96" s="162"/>
      <c r="W96" s="162"/>
      <c r="X96" s="162"/>
      <c r="Y96" s="162"/>
      <c r="Z96" s="162"/>
      <c r="AA96" s="162"/>
      <c r="AB96" s="162"/>
      <c r="AC96" s="162"/>
      <c r="AD96" s="162"/>
      <c r="AE96" s="162"/>
      <c r="AF96" s="162"/>
      <c r="AG96" s="162"/>
      <c r="AH96" s="162"/>
      <c r="AI96" s="162"/>
      <c r="AJ96" s="162"/>
      <c r="AK96" s="162"/>
      <c r="AL96" s="162"/>
      <c r="AM96" s="1286"/>
      <c r="AN96" s="1286"/>
      <c r="AO96" s="1286"/>
      <c r="AP96" s="1286"/>
      <c r="AQ96" s="1286"/>
      <c r="AR96" s="1290"/>
      <c r="AS96" s="1286"/>
      <c r="AT96" s="1286"/>
      <c r="AU96" s="1286"/>
      <c r="AV96" s="1286"/>
      <c r="AW96" s="1286"/>
      <c r="AX96" s="1286"/>
      <c r="AY96" s="1286"/>
      <c r="AZ96" s="1286"/>
      <c r="BA96" s="1286"/>
      <c r="BB96" s="1286"/>
      <c r="BC96" s="1286"/>
      <c r="BD96" s="1286"/>
      <c r="BE96" s="162"/>
      <c r="BF96" s="162"/>
      <c r="BG96" s="162"/>
      <c r="BH96" s="162"/>
      <c r="BI96" s="162"/>
      <c r="BJ96" s="162"/>
      <c r="BK96" s="162"/>
      <c r="BL96" s="162"/>
      <c r="BM96" s="162"/>
      <c r="BN96" s="162"/>
      <c r="BO96" s="162"/>
      <c r="BP96" s="162"/>
      <c r="BQ96" s="162"/>
      <c r="BR96" s="162"/>
    </row>
    <row r="97" spans="1:70" x14ac:dyDescent="0.2">
      <c r="A97" s="162"/>
      <c r="B97" s="162"/>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1286"/>
      <c r="AN97" s="1286"/>
      <c r="AO97" s="1286"/>
      <c r="AP97" s="1286"/>
      <c r="AQ97" s="1286"/>
      <c r="AR97" s="1290"/>
      <c r="AS97" s="1286"/>
      <c r="AT97" s="1286"/>
      <c r="AU97" s="1286"/>
      <c r="AV97" s="1286"/>
      <c r="AW97" s="1286"/>
      <c r="AX97" s="1286"/>
      <c r="AY97" s="1286"/>
      <c r="AZ97" s="1286"/>
      <c r="BA97" s="1286"/>
      <c r="BB97" s="1286"/>
      <c r="BC97" s="1286"/>
      <c r="BD97" s="1286"/>
      <c r="BE97" s="162"/>
      <c r="BF97" s="162"/>
      <c r="BG97" s="162"/>
      <c r="BH97" s="162"/>
      <c r="BI97" s="162"/>
      <c r="BJ97" s="162"/>
      <c r="BK97" s="162"/>
      <c r="BL97" s="162"/>
      <c r="BM97" s="162"/>
      <c r="BN97" s="162"/>
      <c r="BO97" s="162"/>
      <c r="BP97" s="162"/>
      <c r="BQ97" s="162"/>
      <c r="BR97" s="162"/>
    </row>
    <row r="98" spans="1:70" x14ac:dyDescent="0.2">
      <c r="A98" s="162"/>
      <c r="B98" s="162"/>
      <c r="C98" s="162"/>
      <c r="D98" s="162"/>
      <c r="E98" s="162"/>
      <c r="F98" s="162"/>
      <c r="G98" s="162"/>
      <c r="H98" s="162"/>
      <c r="I98" s="162"/>
      <c r="J98" s="162"/>
      <c r="K98" s="162"/>
      <c r="L98" s="162"/>
      <c r="M98" s="162"/>
      <c r="N98" s="162"/>
      <c r="O98" s="162"/>
      <c r="P98" s="162"/>
      <c r="Q98" s="162"/>
      <c r="R98" s="162"/>
      <c r="S98" s="162"/>
      <c r="T98" s="162"/>
      <c r="U98" s="162"/>
      <c r="V98" s="162"/>
      <c r="W98" s="162"/>
      <c r="X98" s="162"/>
      <c r="Y98" s="162"/>
      <c r="Z98" s="162"/>
      <c r="AA98" s="162"/>
      <c r="AB98" s="162"/>
      <c r="AC98" s="162"/>
      <c r="AD98" s="162"/>
      <c r="AE98" s="162"/>
      <c r="AF98" s="162"/>
      <c r="AG98" s="162"/>
      <c r="AH98" s="162"/>
      <c r="AI98" s="162"/>
      <c r="AJ98" s="162"/>
      <c r="AK98" s="162"/>
      <c r="AL98" s="162"/>
      <c r="AM98" s="1286"/>
      <c r="AN98" s="1286"/>
      <c r="AO98" s="1286"/>
      <c r="AP98" s="1286"/>
      <c r="AQ98" s="1286"/>
      <c r="AR98" s="1290"/>
      <c r="AS98" s="1286"/>
      <c r="AT98" s="1286"/>
      <c r="AU98" s="1286"/>
      <c r="AV98" s="1286"/>
      <c r="AW98" s="1286"/>
      <c r="AX98" s="1286"/>
      <c r="AY98" s="1286"/>
      <c r="AZ98" s="1286"/>
      <c r="BA98" s="1286"/>
      <c r="BB98" s="1286"/>
      <c r="BC98" s="1286"/>
      <c r="BD98" s="1286"/>
      <c r="BE98" s="162"/>
      <c r="BF98" s="162"/>
      <c r="BG98" s="162"/>
      <c r="BH98" s="162"/>
      <c r="BI98" s="162"/>
      <c r="BJ98" s="162"/>
      <c r="BK98" s="162"/>
      <c r="BL98" s="162"/>
      <c r="BM98" s="162"/>
      <c r="BN98" s="162"/>
      <c r="BO98" s="162"/>
      <c r="BP98" s="162"/>
      <c r="BQ98" s="162"/>
      <c r="BR98" s="162"/>
    </row>
    <row r="99" spans="1:70" x14ac:dyDescent="0.2">
      <c r="A99" s="162"/>
      <c r="B99" s="162"/>
      <c r="C99" s="162"/>
      <c r="D99" s="162"/>
      <c r="E99" s="162"/>
      <c r="F99" s="162"/>
      <c r="G99" s="162"/>
      <c r="H99" s="162"/>
      <c r="I99" s="162"/>
      <c r="J99" s="162"/>
      <c r="K99" s="162"/>
      <c r="L99" s="162"/>
      <c r="M99" s="162"/>
      <c r="N99" s="162"/>
      <c r="O99" s="162"/>
      <c r="P99" s="162"/>
      <c r="Q99" s="162"/>
      <c r="R99" s="162"/>
      <c r="S99" s="162"/>
      <c r="T99" s="162"/>
      <c r="U99" s="162"/>
      <c r="V99" s="162"/>
      <c r="W99" s="162"/>
      <c r="X99" s="162"/>
      <c r="Y99" s="162"/>
      <c r="Z99" s="162"/>
      <c r="AA99" s="162"/>
      <c r="AB99" s="162"/>
      <c r="AC99" s="162"/>
      <c r="AD99" s="162"/>
      <c r="AE99" s="162"/>
      <c r="AF99" s="162"/>
      <c r="AG99" s="162"/>
      <c r="AH99" s="162"/>
      <c r="AI99" s="162"/>
      <c r="AJ99" s="162"/>
      <c r="AK99" s="162"/>
      <c r="AL99" s="162"/>
      <c r="AM99" s="1286"/>
      <c r="AN99" s="1286"/>
      <c r="AO99" s="1286"/>
      <c r="AP99" s="1286"/>
      <c r="AQ99" s="1286"/>
      <c r="AR99" s="1290"/>
      <c r="AS99" s="1286"/>
      <c r="AT99" s="1286"/>
      <c r="AU99" s="1286"/>
      <c r="AV99" s="1286"/>
      <c r="AW99" s="1286"/>
      <c r="AX99" s="1286"/>
      <c r="AY99" s="1286"/>
      <c r="AZ99" s="1286"/>
      <c r="BA99" s="1286"/>
      <c r="BB99" s="1286"/>
      <c r="BC99" s="1286"/>
      <c r="BD99" s="1286"/>
      <c r="BE99" s="162"/>
      <c r="BF99" s="162"/>
      <c r="BG99" s="162"/>
      <c r="BH99" s="162"/>
      <c r="BI99" s="162"/>
      <c r="BJ99" s="162"/>
      <c r="BK99" s="162"/>
      <c r="BL99" s="162"/>
      <c r="BM99" s="162"/>
      <c r="BN99" s="162"/>
      <c r="BO99" s="162"/>
      <c r="BP99" s="162"/>
      <c r="BQ99" s="162"/>
      <c r="BR99" s="162"/>
    </row>
    <row r="100" spans="1:70" x14ac:dyDescent="0.2">
      <c r="A100" s="162"/>
      <c r="B100" s="162"/>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2"/>
      <c r="AM100" s="1286"/>
      <c r="AN100" s="1286"/>
      <c r="AO100" s="1286"/>
      <c r="AP100" s="1286"/>
      <c r="AQ100" s="1286"/>
      <c r="AR100" s="1290"/>
      <c r="AS100" s="1286"/>
      <c r="AT100" s="1286"/>
      <c r="AU100" s="1286"/>
      <c r="AV100" s="1286"/>
      <c r="AW100" s="1286"/>
      <c r="AX100" s="1286"/>
      <c r="AY100" s="1286"/>
      <c r="AZ100" s="1286"/>
      <c r="BA100" s="1286"/>
      <c r="BB100" s="1286"/>
      <c r="BC100" s="1286"/>
      <c r="BD100" s="1286"/>
      <c r="BE100" s="162"/>
      <c r="BF100" s="162"/>
      <c r="BG100" s="162"/>
      <c r="BH100" s="162"/>
      <c r="BI100" s="162"/>
      <c r="BJ100" s="162"/>
      <c r="BK100" s="162"/>
      <c r="BL100" s="162"/>
      <c r="BM100" s="162"/>
      <c r="BN100" s="162"/>
      <c r="BO100" s="162"/>
      <c r="BP100" s="162"/>
      <c r="BQ100" s="162"/>
      <c r="BR100" s="162"/>
    </row>
    <row r="101" spans="1:70" x14ac:dyDescent="0.2">
      <c r="A101" s="162"/>
      <c r="B101" s="162"/>
      <c r="C101" s="162"/>
      <c r="D101" s="162"/>
      <c r="E101" s="162"/>
      <c r="F101" s="162"/>
      <c r="G101" s="162"/>
      <c r="H101" s="162"/>
      <c r="I101" s="162"/>
      <c r="J101" s="162"/>
      <c r="K101" s="162"/>
      <c r="L101" s="162"/>
      <c r="M101" s="162"/>
      <c r="N101" s="162"/>
      <c r="O101" s="162"/>
      <c r="P101" s="162"/>
      <c r="Q101" s="162"/>
      <c r="R101" s="162"/>
      <c r="S101" s="162"/>
      <c r="T101" s="162"/>
      <c r="U101" s="162"/>
      <c r="V101" s="162"/>
      <c r="W101" s="162"/>
      <c r="X101" s="162"/>
      <c r="Y101" s="162"/>
      <c r="Z101" s="162"/>
      <c r="AA101" s="162"/>
      <c r="AB101" s="162"/>
      <c r="AC101" s="162"/>
      <c r="AD101" s="162"/>
      <c r="AE101" s="162"/>
      <c r="AF101" s="162"/>
      <c r="AG101" s="162"/>
      <c r="AH101" s="162"/>
      <c r="AI101" s="162"/>
      <c r="AJ101" s="162"/>
      <c r="AK101" s="162"/>
      <c r="AL101" s="162"/>
      <c r="AM101" s="1286"/>
      <c r="AN101" s="1286"/>
      <c r="AO101" s="1286"/>
      <c r="AP101" s="1286"/>
      <c r="AQ101" s="1286"/>
      <c r="AR101" s="1290"/>
      <c r="AS101" s="1286"/>
      <c r="AT101" s="1286"/>
      <c r="AU101" s="1286"/>
      <c r="AV101" s="1286"/>
      <c r="AW101" s="1286"/>
      <c r="AX101" s="1286"/>
      <c r="AY101" s="1286"/>
      <c r="AZ101" s="1286"/>
      <c r="BA101" s="1286"/>
      <c r="BB101" s="1286"/>
      <c r="BC101" s="1286"/>
      <c r="BD101" s="1286"/>
      <c r="BE101" s="162"/>
      <c r="BF101" s="162"/>
      <c r="BG101" s="162"/>
      <c r="BH101" s="162"/>
      <c r="BI101" s="162"/>
      <c r="BJ101" s="162"/>
      <c r="BK101" s="162"/>
      <c r="BL101" s="162"/>
      <c r="BM101" s="162"/>
      <c r="BN101" s="162"/>
      <c r="BO101" s="162"/>
      <c r="BP101" s="162"/>
      <c r="BQ101" s="162"/>
      <c r="BR101" s="162"/>
    </row>
    <row r="102" spans="1:70" x14ac:dyDescent="0.2">
      <c r="A102" s="162"/>
      <c r="B102" s="162"/>
      <c r="C102" s="162"/>
      <c r="D102" s="162"/>
      <c r="E102" s="162"/>
      <c r="F102" s="162"/>
      <c r="G102" s="162"/>
      <c r="H102" s="162"/>
      <c r="I102" s="162"/>
      <c r="J102" s="162"/>
      <c r="K102" s="162"/>
      <c r="L102" s="162"/>
      <c r="M102" s="162"/>
      <c r="N102" s="162"/>
      <c r="O102" s="162"/>
      <c r="P102" s="162"/>
      <c r="Q102" s="162"/>
      <c r="R102" s="162"/>
      <c r="S102" s="162"/>
      <c r="T102" s="162"/>
      <c r="U102" s="162"/>
      <c r="V102" s="162"/>
      <c r="W102" s="162"/>
      <c r="X102" s="162"/>
      <c r="Y102" s="162"/>
      <c r="Z102" s="162"/>
      <c r="AA102" s="162"/>
      <c r="AB102" s="162"/>
      <c r="AC102" s="162"/>
      <c r="AD102" s="162"/>
      <c r="AE102" s="162"/>
      <c r="AF102" s="162"/>
      <c r="AG102" s="162"/>
      <c r="AH102" s="162"/>
      <c r="AI102" s="162"/>
      <c r="AJ102" s="162"/>
      <c r="AK102" s="162"/>
      <c r="AL102" s="162"/>
      <c r="AM102" s="1286"/>
      <c r="AN102" s="1286"/>
      <c r="AO102" s="1286"/>
      <c r="AP102" s="1286"/>
      <c r="AQ102" s="1286"/>
      <c r="AR102" s="1290"/>
      <c r="AS102" s="1286"/>
      <c r="AT102" s="1286"/>
      <c r="AU102" s="1286"/>
      <c r="AV102" s="1286"/>
      <c r="AW102" s="1286"/>
      <c r="AX102" s="1286"/>
      <c r="AY102" s="1286"/>
      <c r="AZ102" s="1286"/>
      <c r="BA102" s="1286"/>
      <c r="BB102" s="1286"/>
      <c r="BC102" s="1286"/>
      <c r="BD102" s="1286"/>
      <c r="BE102" s="162"/>
      <c r="BF102" s="162"/>
      <c r="BG102" s="162"/>
      <c r="BH102" s="162"/>
      <c r="BI102" s="162"/>
      <c r="BJ102" s="162"/>
      <c r="BK102" s="162"/>
      <c r="BL102" s="162"/>
      <c r="BM102" s="162"/>
      <c r="BN102" s="162"/>
      <c r="BO102" s="162"/>
      <c r="BP102" s="162"/>
      <c r="BQ102" s="162"/>
      <c r="BR102" s="162"/>
    </row>
    <row r="103" spans="1:70" x14ac:dyDescent="0.2">
      <c r="A103" s="162"/>
      <c r="B103" s="162"/>
      <c r="C103" s="162"/>
      <c r="D103" s="162"/>
      <c r="E103" s="162"/>
      <c r="F103" s="162"/>
      <c r="G103" s="162"/>
      <c r="H103" s="162"/>
      <c r="I103" s="162"/>
      <c r="J103" s="162"/>
      <c r="K103" s="162"/>
      <c r="L103" s="162"/>
      <c r="M103" s="162"/>
      <c r="N103" s="162"/>
      <c r="O103" s="162"/>
      <c r="P103" s="162"/>
      <c r="Q103" s="162"/>
      <c r="R103" s="162"/>
      <c r="S103" s="162"/>
      <c r="T103" s="162"/>
      <c r="U103" s="162"/>
      <c r="V103" s="162"/>
      <c r="W103" s="162"/>
      <c r="X103" s="162"/>
      <c r="Y103" s="162"/>
      <c r="Z103" s="162"/>
      <c r="AA103" s="162"/>
      <c r="AB103" s="162"/>
      <c r="AC103" s="162"/>
      <c r="AD103" s="162"/>
      <c r="AE103" s="162"/>
      <c r="AF103" s="162"/>
      <c r="AG103" s="162"/>
      <c r="AH103" s="162"/>
      <c r="AI103" s="162"/>
      <c r="AJ103" s="162"/>
      <c r="AK103" s="162"/>
      <c r="AL103" s="162"/>
      <c r="AM103" s="1286"/>
      <c r="AN103" s="1286"/>
      <c r="AO103" s="1286"/>
      <c r="AP103" s="1286"/>
      <c r="AQ103" s="1286"/>
      <c r="AR103" s="1290"/>
      <c r="AS103" s="1286"/>
      <c r="AT103" s="1286"/>
      <c r="AU103" s="1286"/>
      <c r="AV103" s="1286"/>
      <c r="AW103" s="1286"/>
      <c r="AX103" s="1286"/>
      <c r="AY103" s="1286"/>
      <c r="AZ103" s="1286"/>
      <c r="BA103" s="1286"/>
      <c r="BB103" s="1286"/>
      <c r="BC103" s="1286"/>
      <c r="BD103" s="1286"/>
      <c r="BE103" s="162"/>
      <c r="BF103" s="162"/>
      <c r="BG103" s="162"/>
      <c r="BH103" s="162"/>
      <c r="BI103" s="162"/>
      <c r="BJ103" s="162"/>
      <c r="BK103" s="162"/>
      <c r="BL103" s="162"/>
      <c r="BM103" s="162"/>
      <c r="BN103" s="162"/>
      <c r="BO103" s="162"/>
      <c r="BP103" s="162"/>
      <c r="BQ103" s="162"/>
      <c r="BR103" s="162"/>
    </row>
    <row r="104" spans="1:70" x14ac:dyDescent="0.2">
      <c r="A104" s="162"/>
      <c r="B104" s="162"/>
      <c r="C104" s="162"/>
      <c r="D104" s="162"/>
      <c r="E104" s="162"/>
      <c r="F104" s="162"/>
      <c r="G104" s="162"/>
      <c r="H104" s="162"/>
      <c r="I104" s="162"/>
      <c r="J104" s="162"/>
      <c r="K104" s="162"/>
      <c r="L104" s="162"/>
      <c r="M104" s="162"/>
      <c r="N104" s="162"/>
      <c r="O104" s="162"/>
      <c r="P104" s="162"/>
      <c r="Q104" s="162"/>
      <c r="R104" s="162"/>
      <c r="S104" s="162"/>
      <c r="T104" s="162"/>
      <c r="U104" s="162"/>
      <c r="V104" s="162"/>
      <c r="W104" s="162"/>
      <c r="X104" s="162"/>
      <c r="Y104" s="162"/>
      <c r="Z104" s="162"/>
      <c r="AA104" s="162"/>
      <c r="AB104" s="162"/>
      <c r="AC104" s="162"/>
      <c r="AD104" s="162"/>
      <c r="AE104" s="162"/>
      <c r="AF104" s="162"/>
      <c r="AG104" s="162"/>
      <c r="AH104" s="162"/>
      <c r="AI104" s="162"/>
      <c r="AJ104" s="162"/>
      <c r="AK104" s="162"/>
      <c r="AL104" s="162"/>
      <c r="AM104" s="1286"/>
      <c r="AN104" s="1286"/>
      <c r="AO104" s="1286"/>
      <c r="AP104" s="1286"/>
      <c r="AQ104" s="1286"/>
      <c r="AR104" s="1290"/>
      <c r="AS104" s="1286"/>
      <c r="AT104" s="1286"/>
      <c r="AU104" s="1286"/>
      <c r="AV104" s="1286"/>
      <c r="AW104" s="1286"/>
      <c r="AX104" s="1286"/>
      <c r="AY104" s="1286"/>
      <c r="AZ104" s="1286"/>
      <c r="BA104" s="1286"/>
      <c r="BB104" s="1286"/>
      <c r="BC104" s="1286"/>
      <c r="BD104" s="1286"/>
      <c r="BE104" s="162"/>
      <c r="BF104" s="162"/>
      <c r="BG104" s="162"/>
      <c r="BH104" s="162"/>
      <c r="BI104" s="162"/>
      <c r="BJ104" s="162"/>
      <c r="BK104" s="162"/>
      <c r="BL104" s="162"/>
      <c r="BM104" s="162"/>
      <c r="BN104" s="162"/>
      <c r="BO104" s="162"/>
      <c r="BP104" s="162"/>
      <c r="BQ104" s="162"/>
      <c r="BR104" s="162"/>
    </row>
    <row r="105" spans="1:70" x14ac:dyDescent="0.2">
      <c r="A105" s="162"/>
      <c r="B105" s="162"/>
      <c r="C105" s="162"/>
      <c r="D105" s="162"/>
      <c r="E105" s="162"/>
      <c r="F105" s="162"/>
      <c r="G105" s="162"/>
      <c r="H105" s="162"/>
      <c r="I105" s="162"/>
      <c r="J105" s="162"/>
      <c r="K105" s="162"/>
      <c r="L105" s="162"/>
      <c r="M105" s="162"/>
      <c r="N105" s="162"/>
      <c r="O105" s="162"/>
      <c r="P105" s="162"/>
      <c r="Q105" s="162"/>
      <c r="R105" s="162"/>
      <c r="S105" s="162"/>
      <c r="T105" s="162"/>
      <c r="U105" s="162"/>
      <c r="V105" s="162"/>
      <c r="W105" s="162"/>
      <c r="X105" s="162"/>
      <c r="Y105" s="162"/>
      <c r="Z105" s="162"/>
      <c r="AA105" s="162"/>
      <c r="AB105" s="162"/>
      <c r="AC105" s="162"/>
      <c r="AD105" s="162"/>
      <c r="AE105" s="162"/>
      <c r="AF105" s="162"/>
      <c r="AG105" s="162"/>
      <c r="AH105" s="162"/>
      <c r="AI105" s="162"/>
      <c r="AJ105" s="162"/>
      <c r="AK105" s="162"/>
      <c r="AL105" s="162"/>
      <c r="AM105" s="1286"/>
      <c r="AN105" s="1286"/>
      <c r="AO105" s="1286"/>
      <c r="AP105" s="1286"/>
      <c r="AQ105" s="1286"/>
      <c r="AR105" s="1290"/>
      <c r="AS105" s="1286"/>
      <c r="AT105" s="1286"/>
      <c r="AU105" s="1286"/>
      <c r="AV105" s="1286"/>
      <c r="AW105" s="1286"/>
      <c r="AX105" s="1286"/>
      <c r="AY105" s="1286"/>
      <c r="AZ105" s="1286"/>
      <c r="BA105" s="1286"/>
      <c r="BB105" s="1286"/>
      <c r="BC105" s="1286"/>
      <c r="BD105" s="1286"/>
      <c r="BE105" s="162"/>
      <c r="BF105" s="162"/>
      <c r="BG105" s="162"/>
      <c r="BH105" s="162"/>
      <c r="BI105" s="162"/>
      <c r="BJ105" s="162"/>
      <c r="BK105" s="162"/>
      <c r="BL105" s="162"/>
      <c r="BM105" s="162"/>
      <c r="BN105" s="162"/>
      <c r="BO105" s="162"/>
      <c r="BP105" s="162"/>
      <c r="BQ105" s="162"/>
      <c r="BR105" s="162"/>
    </row>
    <row r="106" spans="1:70" x14ac:dyDescent="0.2">
      <c r="A106" s="162"/>
      <c r="B106" s="162"/>
      <c r="C106" s="162"/>
      <c r="D106" s="162"/>
      <c r="E106" s="162"/>
      <c r="F106" s="162"/>
      <c r="G106" s="162"/>
      <c r="H106" s="162"/>
      <c r="I106" s="162"/>
      <c r="J106" s="162"/>
      <c r="K106" s="162"/>
      <c r="L106" s="162"/>
      <c r="M106" s="162"/>
      <c r="N106" s="162"/>
      <c r="O106" s="162"/>
      <c r="P106" s="162"/>
      <c r="Q106" s="162"/>
      <c r="R106" s="162"/>
      <c r="S106" s="162"/>
      <c r="T106" s="162"/>
      <c r="U106" s="162"/>
      <c r="V106" s="162"/>
      <c r="W106" s="162"/>
      <c r="X106" s="162"/>
      <c r="Y106" s="162"/>
      <c r="Z106" s="162"/>
      <c r="AA106" s="162"/>
      <c r="AB106" s="162"/>
      <c r="AC106" s="162"/>
      <c r="AD106" s="162"/>
      <c r="AE106" s="162"/>
      <c r="AF106" s="162"/>
      <c r="AG106" s="162"/>
      <c r="AH106" s="162"/>
      <c r="AI106" s="162"/>
      <c r="AJ106" s="162"/>
      <c r="AK106" s="162"/>
      <c r="AL106" s="162"/>
      <c r="AM106" s="1286"/>
      <c r="AN106" s="1286"/>
      <c r="AO106" s="1286"/>
      <c r="AP106" s="1286"/>
      <c r="AQ106" s="1286"/>
      <c r="AR106" s="1290"/>
      <c r="AS106" s="1286"/>
      <c r="AT106" s="1286"/>
      <c r="AU106" s="1286"/>
      <c r="AV106" s="1286"/>
      <c r="AW106" s="1286"/>
      <c r="AX106" s="1286"/>
      <c r="AY106" s="1286"/>
      <c r="AZ106" s="1286"/>
      <c r="BA106" s="1286"/>
      <c r="BB106" s="1286"/>
      <c r="BC106" s="1286"/>
      <c r="BD106" s="1286"/>
      <c r="BE106" s="162"/>
      <c r="BF106" s="162"/>
      <c r="BG106" s="162"/>
      <c r="BH106" s="162"/>
      <c r="BI106" s="162"/>
      <c r="BJ106" s="162"/>
      <c r="BK106" s="162"/>
      <c r="BL106" s="162"/>
      <c r="BM106" s="162"/>
      <c r="BN106" s="162"/>
      <c r="BO106" s="162"/>
      <c r="BP106" s="162"/>
      <c r="BQ106" s="162"/>
      <c r="BR106" s="162"/>
    </row>
    <row r="107" spans="1:70" x14ac:dyDescent="0.2">
      <c r="A107" s="162"/>
      <c r="B107" s="162"/>
      <c r="C107" s="162"/>
      <c r="D107" s="162"/>
      <c r="E107" s="162"/>
      <c r="F107" s="162"/>
      <c r="G107" s="162"/>
      <c r="H107" s="162"/>
      <c r="I107" s="162"/>
      <c r="J107" s="162"/>
      <c r="K107" s="162"/>
      <c r="L107" s="162"/>
      <c r="M107" s="162"/>
      <c r="N107" s="162"/>
      <c r="O107" s="162"/>
      <c r="P107" s="162"/>
      <c r="Q107" s="162"/>
      <c r="R107" s="162"/>
      <c r="S107" s="162"/>
      <c r="T107" s="162"/>
      <c r="U107" s="162"/>
      <c r="V107" s="162"/>
      <c r="W107" s="162"/>
      <c r="X107" s="162"/>
      <c r="Y107" s="162"/>
      <c r="Z107" s="162"/>
      <c r="AA107" s="162"/>
      <c r="AB107" s="162"/>
      <c r="AC107" s="162"/>
      <c r="AD107" s="162"/>
      <c r="AE107" s="162"/>
      <c r="AF107" s="162"/>
      <c r="AG107" s="162"/>
      <c r="AH107" s="162"/>
      <c r="AI107" s="162"/>
      <c r="AJ107" s="162"/>
      <c r="AK107" s="162"/>
      <c r="AL107" s="162"/>
      <c r="AM107" s="1286"/>
      <c r="AN107" s="1286"/>
      <c r="AO107" s="1286"/>
      <c r="AP107" s="1286"/>
      <c r="AQ107" s="1286"/>
      <c r="AR107" s="1290"/>
      <c r="AS107" s="1286"/>
      <c r="AT107" s="1286"/>
      <c r="AU107" s="1286"/>
      <c r="AV107" s="1286"/>
      <c r="AW107" s="1286"/>
      <c r="AX107" s="1286"/>
      <c r="AY107" s="1286"/>
      <c r="AZ107" s="1286"/>
      <c r="BA107" s="1286"/>
      <c r="BB107" s="1286"/>
      <c r="BC107" s="1286"/>
      <c r="BD107" s="1286"/>
      <c r="BE107" s="162"/>
      <c r="BF107" s="162"/>
      <c r="BG107" s="162"/>
      <c r="BH107" s="162"/>
      <c r="BI107" s="162"/>
      <c r="BJ107" s="162"/>
      <c r="BK107" s="162"/>
      <c r="BL107" s="162"/>
      <c r="BM107" s="162"/>
      <c r="BN107" s="162"/>
      <c r="BO107" s="162"/>
      <c r="BP107" s="162"/>
      <c r="BQ107" s="162"/>
      <c r="BR107" s="162"/>
    </row>
    <row r="108" spans="1:70" x14ac:dyDescent="0.2">
      <c r="A108" s="162"/>
      <c r="B108" s="162"/>
      <c r="C108" s="162"/>
      <c r="D108" s="162"/>
      <c r="E108" s="162"/>
      <c r="F108" s="162"/>
      <c r="G108" s="162"/>
      <c r="H108" s="162"/>
      <c r="I108" s="162"/>
      <c r="J108" s="162"/>
      <c r="K108" s="162"/>
      <c r="L108" s="162"/>
      <c r="M108" s="162"/>
      <c r="N108" s="162"/>
      <c r="O108" s="162"/>
      <c r="P108" s="162"/>
      <c r="Q108" s="162"/>
      <c r="R108" s="162"/>
      <c r="S108" s="162"/>
      <c r="T108" s="162"/>
      <c r="U108" s="162"/>
      <c r="V108" s="162"/>
      <c r="W108" s="162"/>
      <c r="X108" s="162"/>
      <c r="Y108" s="162"/>
      <c r="Z108" s="162"/>
      <c r="AA108" s="162"/>
      <c r="AB108" s="162"/>
      <c r="AC108" s="162"/>
      <c r="AD108" s="162"/>
      <c r="AE108" s="162"/>
      <c r="AF108" s="162"/>
      <c r="AG108" s="162"/>
      <c r="AH108" s="162"/>
      <c r="AI108" s="162"/>
      <c r="AJ108" s="162"/>
      <c r="AK108" s="162"/>
      <c r="AL108" s="162"/>
      <c r="AM108" s="1286"/>
      <c r="AN108" s="1286"/>
      <c r="AO108" s="1286"/>
      <c r="AP108" s="1286"/>
      <c r="AQ108" s="1286"/>
      <c r="AR108" s="1290"/>
      <c r="AS108" s="1286"/>
      <c r="AT108" s="1286"/>
      <c r="AU108" s="1286"/>
      <c r="AV108" s="1286"/>
      <c r="AW108" s="1286"/>
      <c r="AX108" s="1286"/>
      <c r="AY108" s="1286"/>
      <c r="AZ108" s="1286"/>
      <c r="BA108" s="1286"/>
      <c r="BB108" s="1286"/>
      <c r="BC108" s="1286"/>
      <c r="BD108" s="1286"/>
      <c r="BE108" s="162"/>
      <c r="BF108" s="162"/>
      <c r="BG108" s="162"/>
      <c r="BH108" s="162"/>
      <c r="BI108" s="162"/>
      <c r="BJ108" s="162"/>
      <c r="BK108" s="162"/>
      <c r="BL108" s="162"/>
      <c r="BM108" s="162"/>
      <c r="BN108" s="162"/>
      <c r="BO108" s="162"/>
      <c r="BP108" s="162"/>
      <c r="BQ108" s="162"/>
      <c r="BR108" s="162"/>
    </row>
    <row r="109" spans="1:70" x14ac:dyDescent="0.2">
      <c r="A109" s="162"/>
      <c r="B109" s="162"/>
      <c r="C109" s="162"/>
      <c r="D109" s="162"/>
      <c r="E109" s="162"/>
      <c r="F109" s="162"/>
      <c r="G109" s="162"/>
      <c r="H109" s="162"/>
      <c r="I109" s="162"/>
      <c r="J109" s="162"/>
      <c r="K109" s="162"/>
      <c r="L109" s="162"/>
      <c r="M109" s="162"/>
      <c r="N109" s="162"/>
      <c r="O109" s="162"/>
      <c r="P109" s="162"/>
      <c r="Q109" s="162"/>
      <c r="R109" s="162"/>
      <c r="S109" s="162"/>
      <c r="T109" s="162"/>
      <c r="U109" s="162"/>
      <c r="V109" s="162"/>
      <c r="W109" s="162"/>
      <c r="X109" s="162"/>
      <c r="Y109" s="162"/>
      <c r="Z109" s="162"/>
      <c r="AA109" s="162"/>
      <c r="AB109" s="162"/>
      <c r="AC109" s="162"/>
      <c r="AD109" s="162"/>
      <c r="AE109" s="162"/>
      <c r="AF109" s="162"/>
      <c r="AG109" s="162"/>
      <c r="AH109" s="162"/>
      <c r="AI109" s="162"/>
      <c r="AJ109" s="162"/>
      <c r="AK109" s="162"/>
      <c r="AL109" s="162"/>
      <c r="AM109" s="1286"/>
      <c r="AN109" s="1286"/>
      <c r="AO109" s="1286"/>
      <c r="AP109" s="1286"/>
      <c r="AQ109" s="1286"/>
      <c r="AR109" s="1290"/>
      <c r="AS109" s="1286"/>
      <c r="AT109" s="1286"/>
      <c r="AU109" s="1286"/>
      <c r="AV109" s="1286"/>
      <c r="AW109" s="1286"/>
      <c r="AX109" s="1286"/>
      <c r="AY109" s="1286"/>
      <c r="AZ109" s="1286"/>
      <c r="BA109" s="1286"/>
      <c r="BB109" s="1286"/>
      <c r="BC109" s="1286"/>
      <c r="BD109" s="1286"/>
      <c r="BE109" s="162"/>
      <c r="BF109" s="162"/>
      <c r="BG109" s="162"/>
      <c r="BH109" s="162"/>
      <c r="BI109" s="162"/>
      <c r="BJ109" s="162"/>
      <c r="BK109" s="162"/>
      <c r="BL109" s="162"/>
      <c r="BM109" s="162"/>
      <c r="BN109" s="162"/>
      <c r="BO109" s="162"/>
      <c r="BP109" s="162"/>
      <c r="BQ109" s="162"/>
      <c r="BR109" s="162"/>
    </row>
    <row r="110" spans="1:70" x14ac:dyDescent="0.2">
      <c r="A110" s="162"/>
      <c r="B110" s="162"/>
      <c r="C110" s="162"/>
      <c r="D110" s="162"/>
      <c r="E110" s="162"/>
      <c r="F110" s="162"/>
      <c r="G110" s="162"/>
      <c r="H110" s="162"/>
      <c r="I110" s="162"/>
      <c r="J110" s="162"/>
      <c r="K110" s="162"/>
      <c r="L110" s="162"/>
      <c r="M110" s="162"/>
      <c r="N110" s="162"/>
      <c r="O110" s="162"/>
      <c r="P110" s="162"/>
      <c r="Q110" s="162"/>
      <c r="R110" s="162"/>
      <c r="S110" s="162"/>
      <c r="T110" s="162"/>
      <c r="U110" s="162"/>
      <c r="V110" s="162"/>
      <c r="W110" s="162"/>
      <c r="X110" s="162"/>
      <c r="Y110" s="162"/>
      <c r="Z110" s="162"/>
      <c r="AA110" s="162"/>
      <c r="AB110" s="162"/>
      <c r="AC110" s="162"/>
      <c r="AD110" s="162"/>
      <c r="AE110" s="162"/>
      <c r="AF110" s="162"/>
      <c r="AG110" s="162"/>
      <c r="AH110" s="162"/>
      <c r="AI110" s="162"/>
      <c r="AJ110" s="162"/>
      <c r="AK110" s="162"/>
      <c r="AL110" s="162"/>
      <c r="AM110" s="1286"/>
      <c r="AN110" s="1286"/>
      <c r="AO110" s="1286"/>
      <c r="AP110" s="1286"/>
      <c r="AQ110" s="1286"/>
      <c r="AR110" s="1290"/>
      <c r="AS110" s="1286"/>
      <c r="AT110" s="1286"/>
      <c r="AU110" s="1286"/>
      <c r="AV110" s="1286"/>
      <c r="AW110" s="1286"/>
      <c r="AX110" s="1286"/>
      <c r="AY110" s="1286"/>
      <c r="AZ110" s="1286"/>
      <c r="BA110" s="1286"/>
      <c r="BB110" s="1286"/>
      <c r="BC110" s="1286"/>
      <c r="BD110" s="1286"/>
      <c r="BE110" s="162"/>
      <c r="BF110" s="162"/>
      <c r="BG110" s="162"/>
      <c r="BH110" s="162"/>
      <c r="BI110" s="162"/>
      <c r="BJ110" s="162"/>
      <c r="BK110" s="162"/>
      <c r="BL110" s="162"/>
      <c r="BM110" s="162"/>
      <c r="BN110" s="162"/>
      <c r="BO110" s="162"/>
      <c r="BP110" s="162"/>
      <c r="BQ110" s="162"/>
      <c r="BR110" s="162"/>
    </row>
    <row r="111" spans="1:70" x14ac:dyDescent="0.2">
      <c r="A111" s="162"/>
      <c r="B111" s="162"/>
      <c r="C111" s="162"/>
      <c r="D111" s="162"/>
      <c r="E111" s="162"/>
      <c r="F111" s="162"/>
      <c r="G111" s="162"/>
      <c r="H111" s="162"/>
      <c r="I111" s="162"/>
      <c r="J111" s="162"/>
      <c r="K111" s="162"/>
      <c r="L111" s="162"/>
      <c r="M111" s="162"/>
      <c r="N111" s="162"/>
      <c r="O111" s="162"/>
      <c r="P111" s="162"/>
      <c r="Q111" s="162"/>
      <c r="R111" s="162"/>
      <c r="S111" s="162"/>
      <c r="T111" s="162"/>
      <c r="U111" s="162"/>
      <c r="V111" s="162"/>
      <c r="W111" s="162"/>
      <c r="X111" s="162"/>
      <c r="Y111" s="162"/>
      <c r="Z111" s="162"/>
      <c r="AA111" s="162"/>
      <c r="AB111" s="162"/>
      <c r="AC111" s="162"/>
      <c r="AD111" s="162"/>
      <c r="AE111" s="162"/>
      <c r="AF111" s="162"/>
      <c r="AG111" s="162"/>
      <c r="AH111" s="162"/>
      <c r="AI111" s="162"/>
      <c r="AJ111" s="162"/>
      <c r="AK111" s="162"/>
      <c r="AL111" s="162"/>
      <c r="AM111" s="1286"/>
      <c r="AN111" s="1286"/>
      <c r="AO111" s="1286"/>
      <c r="AP111" s="1286"/>
      <c r="AQ111" s="1286"/>
      <c r="AR111" s="1290"/>
      <c r="AS111" s="1286"/>
      <c r="AT111" s="1286"/>
      <c r="AU111" s="1286"/>
      <c r="AV111" s="1286"/>
      <c r="AW111" s="1286"/>
      <c r="AX111" s="1286"/>
      <c r="AY111" s="1286"/>
      <c r="AZ111" s="1286"/>
      <c r="BA111" s="1286"/>
      <c r="BB111" s="1286"/>
      <c r="BC111" s="1286"/>
      <c r="BD111" s="1286"/>
      <c r="BE111" s="162"/>
      <c r="BF111" s="162"/>
      <c r="BG111" s="162"/>
      <c r="BH111" s="162"/>
      <c r="BI111" s="162"/>
      <c r="BJ111" s="162"/>
      <c r="BK111" s="162"/>
      <c r="BL111" s="162"/>
      <c r="BM111" s="162"/>
      <c r="BN111" s="162"/>
      <c r="BO111" s="162"/>
      <c r="BP111" s="162"/>
      <c r="BQ111" s="162"/>
      <c r="BR111" s="162"/>
    </row>
    <row r="112" spans="1:70" x14ac:dyDescent="0.2">
      <c r="A112" s="162"/>
      <c r="B112" s="162"/>
      <c r="C112" s="162"/>
      <c r="D112" s="162"/>
      <c r="E112" s="162"/>
      <c r="F112" s="162"/>
      <c r="G112" s="162"/>
      <c r="H112" s="162"/>
      <c r="I112" s="162"/>
      <c r="J112" s="162"/>
      <c r="K112" s="162"/>
      <c r="L112" s="162"/>
      <c r="M112" s="162"/>
      <c r="N112" s="162"/>
      <c r="O112" s="162"/>
      <c r="P112" s="162"/>
      <c r="Q112" s="162"/>
      <c r="R112" s="162"/>
      <c r="S112" s="162"/>
      <c r="T112" s="162"/>
      <c r="U112" s="162"/>
      <c r="V112" s="162"/>
      <c r="W112" s="162"/>
      <c r="X112" s="162"/>
      <c r="Y112" s="162"/>
      <c r="Z112" s="162"/>
      <c r="AA112" s="162"/>
      <c r="AB112" s="162"/>
      <c r="AC112" s="162"/>
      <c r="AD112" s="162"/>
      <c r="AE112" s="162"/>
      <c r="AF112" s="162"/>
      <c r="AG112" s="162"/>
      <c r="AH112" s="162"/>
      <c r="AI112" s="162"/>
      <c r="AJ112" s="162"/>
      <c r="AK112" s="162"/>
      <c r="AL112" s="162"/>
      <c r="AM112" s="1286"/>
      <c r="AN112" s="1286"/>
      <c r="AO112" s="1286"/>
      <c r="AP112" s="1286"/>
      <c r="AQ112" s="1286"/>
      <c r="AR112" s="1290"/>
      <c r="AS112" s="1286"/>
      <c r="AT112" s="1286"/>
      <c r="AU112" s="1286"/>
      <c r="AV112" s="1286"/>
      <c r="AW112" s="1286"/>
      <c r="AX112" s="1286"/>
      <c r="AY112" s="1286"/>
      <c r="AZ112" s="1286"/>
      <c r="BA112" s="1286"/>
      <c r="BB112" s="1286"/>
      <c r="BC112" s="1286"/>
      <c r="BD112" s="1286"/>
      <c r="BE112" s="162"/>
      <c r="BF112" s="162"/>
      <c r="BG112" s="162"/>
      <c r="BH112" s="162"/>
      <c r="BI112" s="162"/>
      <c r="BJ112" s="162"/>
      <c r="BK112" s="162"/>
      <c r="BL112" s="162"/>
      <c r="BM112" s="162"/>
      <c r="BN112" s="162"/>
      <c r="BO112" s="162"/>
      <c r="BP112" s="162"/>
      <c r="BQ112" s="162"/>
      <c r="BR112" s="162"/>
    </row>
    <row r="113" spans="1:70" x14ac:dyDescent="0.2">
      <c r="A113" s="162"/>
      <c r="B113" s="162"/>
      <c r="C113" s="162"/>
      <c r="D113" s="162"/>
      <c r="E113" s="162"/>
      <c r="F113" s="162"/>
      <c r="G113" s="162"/>
      <c r="H113" s="162"/>
      <c r="I113" s="162"/>
      <c r="J113" s="162"/>
      <c r="K113" s="162"/>
      <c r="L113" s="162"/>
      <c r="M113" s="162"/>
      <c r="N113" s="162"/>
      <c r="O113" s="162"/>
      <c r="P113" s="162"/>
      <c r="Q113" s="162"/>
      <c r="R113" s="162"/>
      <c r="S113" s="162"/>
      <c r="T113" s="162"/>
      <c r="U113" s="162"/>
      <c r="V113" s="162"/>
      <c r="W113" s="162"/>
      <c r="X113" s="162"/>
      <c r="Y113" s="162"/>
      <c r="Z113" s="162"/>
      <c r="AA113" s="162"/>
      <c r="AB113" s="162"/>
      <c r="AC113" s="162"/>
      <c r="AD113" s="162"/>
      <c r="AE113" s="162"/>
      <c r="AF113" s="162"/>
      <c r="AG113" s="162"/>
      <c r="AH113" s="162"/>
      <c r="AI113" s="162"/>
      <c r="AJ113" s="162"/>
      <c r="AK113" s="162"/>
      <c r="AL113" s="162"/>
      <c r="AM113" s="1286"/>
      <c r="AN113" s="1286"/>
      <c r="AO113" s="1286"/>
      <c r="AP113" s="1286"/>
      <c r="AQ113" s="1286"/>
      <c r="AR113" s="1290"/>
      <c r="AS113" s="1286"/>
      <c r="AT113" s="1286"/>
      <c r="AU113" s="1286"/>
      <c r="AV113" s="1286"/>
      <c r="AW113" s="1286"/>
      <c r="AX113" s="1286"/>
      <c r="AY113" s="1286"/>
      <c r="AZ113" s="1286"/>
      <c r="BA113" s="1286"/>
      <c r="BB113" s="1286"/>
      <c r="BC113" s="1286"/>
      <c r="BD113" s="1286"/>
      <c r="BE113" s="162"/>
      <c r="BF113" s="162"/>
      <c r="BG113" s="162"/>
      <c r="BH113" s="162"/>
      <c r="BI113" s="162"/>
      <c r="BJ113" s="162"/>
      <c r="BK113" s="162"/>
      <c r="BL113" s="162"/>
      <c r="BM113" s="162"/>
      <c r="BN113" s="162"/>
      <c r="BO113" s="162"/>
      <c r="BP113" s="162"/>
      <c r="BQ113" s="162"/>
      <c r="BR113" s="162"/>
    </row>
    <row r="114" spans="1:70" x14ac:dyDescent="0.2">
      <c r="A114" s="162"/>
      <c r="B114" s="162"/>
      <c r="C114" s="162"/>
      <c r="D114" s="162"/>
      <c r="E114" s="162"/>
      <c r="F114" s="162"/>
      <c r="G114" s="162"/>
      <c r="H114" s="162"/>
      <c r="I114" s="162"/>
      <c r="J114" s="162"/>
      <c r="K114" s="162"/>
      <c r="L114" s="162"/>
      <c r="M114" s="162"/>
      <c r="N114" s="162"/>
      <c r="O114" s="162"/>
      <c r="P114" s="162"/>
      <c r="Q114" s="162"/>
      <c r="R114" s="162"/>
      <c r="S114" s="162"/>
      <c r="T114" s="162"/>
      <c r="U114" s="162"/>
      <c r="V114" s="162"/>
      <c r="W114" s="162"/>
      <c r="X114" s="162"/>
      <c r="Y114" s="162"/>
      <c r="Z114" s="162"/>
      <c r="AA114" s="162"/>
      <c r="AB114" s="162"/>
      <c r="AC114" s="162"/>
      <c r="AD114" s="162"/>
      <c r="AE114" s="162"/>
      <c r="AF114" s="162"/>
      <c r="AG114" s="162"/>
      <c r="AH114" s="162"/>
      <c r="AI114" s="162"/>
      <c r="AJ114" s="162"/>
      <c r="AK114" s="162"/>
      <c r="AL114" s="162"/>
      <c r="AM114" s="1286"/>
      <c r="AN114" s="1286"/>
      <c r="AO114" s="1286"/>
      <c r="AP114" s="1286"/>
      <c r="AQ114" s="1286"/>
      <c r="AR114" s="1290"/>
      <c r="AS114" s="1286"/>
      <c r="AT114" s="1286"/>
      <c r="AU114" s="1286"/>
      <c r="AV114" s="1286"/>
      <c r="AW114" s="1286"/>
      <c r="AX114" s="1286"/>
      <c r="AY114" s="1286"/>
      <c r="AZ114" s="1286"/>
      <c r="BA114" s="1286"/>
      <c r="BB114" s="1286"/>
      <c r="BC114" s="1286"/>
      <c r="BD114" s="1286"/>
      <c r="BE114" s="162"/>
      <c r="BF114" s="162"/>
      <c r="BG114" s="162"/>
      <c r="BH114" s="162"/>
      <c r="BI114" s="162"/>
      <c r="BJ114" s="162"/>
      <c r="BK114" s="162"/>
      <c r="BL114" s="162"/>
      <c r="BM114" s="162"/>
      <c r="BN114" s="162"/>
      <c r="BO114" s="162"/>
      <c r="BP114" s="162"/>
      <c r="BQ114" s="162"/>
      <c r="BR114" s="162"/>
    </row>
    <row r="115" spans="1:70" x14ac:dyDescent="0.2">
      <c r="A115" s="162"/>
      <c r="B115" s="162"/>
      <c r="C115" s="162"/>
      <c r="D115" s="162"/>
      <c r="E115" s="162"/>
      <c r="F115" s="162"/>
      <c r="G115" s="162"/>
      <c r="H115" s="162"/>
      <c r="I115" s="162"/>
      <c r="J115" s="162"/>
      <c r="K115" s="162"/>
      <c r="L115" s="162"/>
      <c r="M115" s="162"/>
      <c r="N115" s="162"/>
      <c r="O115" s="162"/>
      <c r="P115" s="162"/>
      <c r="Q115" s="162"/>
      <c r="R115" s="162"/>
      <c r="S115" s="162"/>
      <c r="T115" s="162"/>
      <c r="U115" s="162"/>
      <c r="V115" s="162"/>
      <c r="W115" s="162"/>
      <c r="X115" s="162"/>
      <c r="Y115" s="162"/>
      <c r="Z115" s="162"/>
      <c r="AA115" s="162"/>
      <c r="AB115" s="162"/>
      <c r="AC115" s="162"/>
      <c r="AD115" s="162"/>
      <c r="AE115" s="162"/>
      <c r="AF115" s="162"/>
      <c r="AG115" s="162"/>
      <c r="AH115" s="162"/>
      <c r="AI115" s="162"/>
      <c r="AJ115" s="162"/>
      <c r="AK115" s="162"/>
      <c r="AL115" s="162"/>
      <c r="AM115" s="1286"/>
      <c r="AN115" s="1286"/>
      <c r="AO115" s="1286"/>
      <c r="AP115" s="1286"/>
      <c r="AQ115" s="1286"/>
      <c r="AR115" s="1290"/>
      <c r="AS115" s="1286"/>
      <c r="AT115" s="1286"/>
      <c r="AU115" s="1286"/>
      <c r="AV115" s="1286"/>
      <c r="AW115" s="1286"/>
      <c r="AX115" s="1286"/>
      <c r="AY115" s="1286"/>
      <c r="AZ115" s="1286"/>
      <c r="BA115" s="1286"/>
      <c r="BB115" s="1286"/>
      <c r="BC115" s="1286"/>
      <c r="BD115" s="1286"/>
      <c r="BE115" s="162"/>
      <c r="BF115" s="162"/>
      <c r="BG115" s="162"/>
      <c r="BH115" s="162"/>
      <c r="BI115" s="162"/>
      <c r="BJ115" s="162"/>
      <c r="BK115" s="162"/>
      <c r="BL115" s="162"/>
      <c r="BM115" s="162"/>
      <c r="BN115" s="162"/>
      <c r="BO115" s="162"/>
      <c r="BP115" s="162"/>
      <c r="BQ115" s="162"/>
      <c r="BR115" s="162"/>
    </row>
    <row r="116" spans="1:70" x14ac:dyDescent="0.2">
      <c r="A116" s="162"/>
      <c r="B116" s="162"/>
      <c r="C116" s="162"/>
      <c r="D116" s="162"/>
      <c r="E116" s="162"/>
      <c r="F116" s="162"/>
      <c r="G116" s="162"/>
      <c r="H116" s="162"/>
      <c r="I116" s="162"/>
      <c r="J116" s="162"/>
      <c r="K116" s="162"/>
      <c r="L116" s="162"/>
      <c r="M116" s="162"/>
      <c r="N116" s="162"/>
      <c r="O116" s="162"/>
      <c r="P116" s="162"/>
      <c r="Q116" s="162"/>
      <c r="R116" s="162"/>
      <c r="S116" s="162"/>
      <c r="T116" s="162"/>
      <c r="U116" s="162"/>
      <c r="V116" s="162"/>
      <c r="W116" s="162"/>
      <c r="X116" s="162"/>
      <c r="Y116" s="162"/>
      <c r="Z116" s="162"/>
      <c r="AA116" s="162"/>
      <c r="AB116" s="162"/>
      <c r="AC116" s="162"/>
      <c r="AD116" s="162"/>
      <c r="AE116" s="162"/>
      <c r="AF116" s="162"/>
      <c r="AG116" s="162"/>
      <c r="AH116" s="162"/>
      <c r="AI116" s="162"/>
      <c r="AJ116" s="162"/>
      <c r="AK116" s="162"/>
      <c r="AL116" s="162"/>
      <c r="AM116" s="1286"/>
      <c r="AN116" s="1286"/>
      <c r="AO116" s="1286"/>
      <c r="AP116" s="1286"/>
      <c r="AQ116" s="1286"/>
      <c r="AR116" s="1290"/>
      <c r="AS116" s="1286"/>
      <c r="AT116" s="1286"/>
      <c r="AU116" s="1286"/>
      <c r="AV116" s="1286"/>
      <c r="AW116" s="1286"/>
      <c r="AX116" s="1286"/>
      <c r="AY116" s="1286"/>
      <c r="AZ116" s="1286"/>
      <c r="BA116" s="1286"/>
      <c r="BB116" s="1286"/>
      <c r="BC116" s="1286"/>
      <c r="BD116" s="1286"/>
      <c r="BE116" s="162"/>
      <c r="BF116" s="162"/>
      <c r="BG116" s="162"/>
      <c r="BH116" s="162"/>
      <c r="BI116" s="162"/>
      <c r="BJ116" s="162"/>
      <c r="BK116" s="162"/>
      <c r="BL116" s="162"/>
      <c r="BM116" s="162"/>
      <c r="BN116" s="162"/>
      <c r="BO116" s="162"/>
      <c r="BP116" s="162"/>
      <c r="BQ116" s="162"/>
      <c r="BR116" s="162"/>
    </row>
    <row r="117" spans="1:70" x14ac:dyDescent="0.2">
      <c r="A117" s="162"/>
      <c r="B117" s="162"/>
      <c r="C117" s="162"/>
      <c r="D117" s="162"/>
      <c r="E117" s="162"/>
      <c r="F117" s="162"/>
      <c r="G117" s="162"/>
      <c r="H117" s="162"/>
      <c r="I117" s="162"/>
      <c r="J117" s="162"/>
      <c r="K117" s="162"/>
      <c r="L117" s="162"/>
      <c r="M117" s="162"/>
      <c r="N117" s="162"/>
      <c r="O117" s="162"/>
      <c r="P117" s="162"/>
      <c r="Q117" s="162"/>
      <c r="R117" s="162"/>
      <c r="S117" s="162"/>
      <c r="T117" s="162"/>
      <c r="U117" s="162"/>
      <c r="V117" s="162"/>
      <c r="W117" s="162"/>
      <c r="X117" s="162"/>
      <c r="Y117" s="162"/>
      <c r="Z117" s="162"/>
      <c r="AA117" s="162"/>
      <c r="AB117" s="162"/>
      <c r="AC117" s="162"/>
      <c r="AD117" s="162"/>
      <c r="AE117" s="162"/>
      <c r="AF117" s="162"/>
      <c r="AG117" s="162"/>
      <c r="AH117" s="162"/>
      <c r="AI117" s="162"/>
      <c r="AJ117" s="162"/>
      <c r="AK117" s="162"/>
      <c r="AL117" s="162"/>
      <c r="AM117" s="1286"/>
      <c r="AN117" s="1286"/>
      <c r="AO117" s="1286"/>
      <c r="AP117" s="1286"/>
      <c r="AQ117" s="1286"/>
      <c r="AR117" s="1290"/>
      <c r="AS117" s="1286"/>
      <c r="AT117" s="1286"/>
      <c r="AU117" s="1286"/>
      <c r="AV117" s="1286"/>
      <c r="AW117" s="1286"/>
      <c r="AX117" s="1286"/>
      <c r="AY117" s="1286"/>
      <c r="AZ117" s="1286"/>
      <c r="BA117" s="1286"/>
      <c r="BB117" s="1286"/>
      <c r="BC117" s="1286"/>
      <c r="BD117" s="1286"/>
      <c r="BE117" s="162"/>
      <c r="BF117" s="162"/>
      <c r="BG117" s="162"/>
      <c r="BH117" s="162"/>
      <c r="BI117" s="162"/>
      <c r="BJ117" s="162"/>
      <c r="BK117" s="162"/>
      <c r="BL117" s="162"/>
      <c r="BM117" s="162"/>
      <c r="BN117" s="162"/>
      <c r="BO117" s="162"/>
      <c r="BP117" s="162"/>
      <c r="BQ117" s="162"/>
      <c r="BR117" s="162"/>
    </row>
    <row r="118" spans="1:70" x14ac:dyDescent="0.2">
      <c r="A118" s="162"/>
      <c r="B118" s="162"/>
      <c r="C118" s="162"/>
      <c r="D118" s="162"/>
      <c r="E118" s="162"/>
      <c r="F118" s="162"/>
      <c r="G118" s="162"/>
      <c r="H118" s="162"/>
      <c r="I118" s="162"/>
      <c r="J118" s="162"/>
      <c r="K118" s="162"/>
      <c r="L118" s="162"/>
      <c r="M118" s="162"/>
      <c r="N118" s="162"/>
      <c r="O118" s="162"/>
      <c r="P118" s="162"/>
      <c r="Q118" s="162"/>
      <c r="R118" s="162"/>
      <c r="S118" s="162"/>
      <c r="T118" s="162"/>
      <c r="U118" s="162"/>
      <c r="V118" s="162"/>
      <c r="W118" s="162"/>
      <c r="X118" s="162"/>
      <c r="Y118" s="162"/>
      <c r="Z118" s="162"/>
      <c r="AA118" s="162"/>
      <c r="AB118" s="162"/>
      <c r="AC118" s="162"/>
      <c r="AD118" s="162"/>
      <c r="AE118" s="162"/>
      <c r="AF118" s="162"/>
      <c r="AG118" s="162"/>
      <c r="AH118" s="162"/>
      <c r="AI118" s="162"/>
      <c r="AJ118" s="162"/>
      <c r="AK118" s="162"/>
      <c r="AL118" s="162"/>
      <c r="AM118" s="1286"/>
      <c r="AN118" s="1286"/>
      <c r="AO118" s="1286"/>
      <c r="AP118" s="1286"/>
      <c r="AQ118" s="1286"/>
      <c r="AR118" s="1290"/>
      <c r="AS118" s="1286"/>
      <c r="AT118" s="1286"/>
      <c r="AU118" s="1286"/>
      <c r="AV118" s="1286"/>
      <c r="AW118" s="1286"/>
      <c r="AX118" s="1286"/>
      <c r="AY118" s="1286"/>
      <c r="AZ118" s="1286"/>
      <c r="BA118" s="1286"/>
      <c r="BB118" s="1286"/>
      <c r="BC118" s="1286"/>
      <c r="BD118" s="1286"/>
      <c r="BE118" s="162"/>
      <c r="BF118" s="162"/>
      <c r="BG118" s="162"/>
      <c r="BH118" s="162"/>
      <c r="BI118" s="162"/>
      <c r="BJ118" s="162"/>
      <c r="BK118" s="162"/>
      <c r="BL118" s="162"/>
      <c r="BM118" s="162"/>
      <c r="BN118" s="162"/>
      <c r="BO118" s="162"/>
      <c r="BP118" s="162"/>
      <c r="BQ118" s="162"/>
      <c r="BR118" s="162"/>
    </row>
    <row r="119" spans="1:70" x14ac:dyDescent="0.2">
      <c r="A119" s="162"/>
      <c r="B119" s="162"/>
      <c r="C119" s="162"/>
      <c r="D119" s="162"/>
      <c r="E119" s="162"/>
      <c r="F119" s="162"/>
      <c r="G119" s="162"/>
      <c r="H119" s="162"/>
      <c r="I119" s="162"/>
      <c r="J119" s="162"/>
      <c r="K119" s="162"/>
      <c r="L119" s="162"/>
      <c r="M119" s="162"/>
      <c r="N119" s="162"/>
      <c r="O119" s="162"/>
      <c r="P119" s="162"/>
      <c r="Q119" s="162"/>
      <c r="R119" s="162"/>
      <c r="S119" s="162"/>
      <c r="T119" s="162"/>
      <c r="U119" s="162"/>
      <c r="V119" s="162"/>
      <c r="W119" s="162"/>
      <c r="X119" s="162"/>
      <c r="Y119" s="162"/>
      <c r="Z119" s="162"/>
      <c r="AA119" s="162"/>
      <c r="AB119" s="162"/>
      <c r="AC119" s="162"/>
      <c r="AD119" s="162"/>
      <c r="AE119" s="162"/>
      <c r="AF119" s="162"/>
      <c r="AG119" s="162"/>
      <c r="AH119" s="162"/>
      <c r="AI119" s="162"/>
      <c r="AJ119" s="162"/>
      <c r="AK119" s="162"/>
      <c r="AL119" s="162"/>
      <c r="AM119" s="1286"/>
      <c r="AN119" s="1286"/>
      <c r="AO119" s="1286"/>
      <c r="AP119" s="1286"/>
      <c r="AQ119" s="1286"/>
      <c r="AR119" s="1290"/>
      <c r="AS119" s="1286"/>
      <c r="AT119" s="1286"/>
      <c r="AU119" s="1286"/>
      <c r="AV119" s="1286"/>
      <c r="AW119" s="1286"/>
      <c r="AX119" s="1286"/>
      <c r="AY119" s="1286"/>
      <c r="AZ119" s="1286"/>
      <c r="BA119" s="1286"/>
      <c r="BB119" s="1286"/>
      <c r="BC119" s="1286"/>
      <c r="BD119" s="1286"/>
      <c r="BE119" s="162"/>
      <c r="BF119" s="162"/>
      <c r="BG119" s="162"/>
      <c r="BH119" s="162"/>
      <c r="BI119" s="162"/>
      <c r="BJ119" s="162"/>
      <c r="BK119" s="162"/>
      <c r="BL119" s="162"/>
      <c r="BM119" s="162"/>
      <c r="BN119" s="162"/>
      <c r="BO119" s="162"/>
      <c r="BP119" s="162"/>
      <c r="BQ119" s="162"/>
      <c r="BR119" s="162"/>
    </row>
    <row r="120" spans="1:70" x14ac:dyDescent="0.2">
      <c r="A120" s="162"/>
      <c r="B120" s="162"/>
      <c r="C120" s="162"/>
      <c r="D120" s="162"/>
      <c r="E120" s="162"/>
      <c r="F120" s="162"/>
      <c r="G120" s="162"/>
      <c r="H120" s="162"/>
      <c r="I120" s="162"/>
      <c r="J120" s="162"/>
      <c r="K120" s="162"/>
      <c r="L120" s="162"/>
      <c r="M120" s="162"/>
      <c r="N120" s="162"/>
      <c r="O120" s="162"/>
      <c r="P120" s="162"/>
      <c r="Q120" s="162"/>
      <c r="R120" s="162"/>
      <c r="S120" s="162"/>
      <c r="T120" s="162"/>
      <c r="U120" s="162"/>
      <c r="V120" s="162"/>
      <c r="W120" s="162"/>
      <c r="X120" s="162"/>
      <c r="Y120" s="162"/>
      <c r="Z120" s="162"/>
      <c r="AA120" s="162"/>
      <c r="AB120" s="162"/>
      <c r="AC120" s="162"/>
      <c r="AD120" s="162"/>
      <c r="AE120" s="162"/>
      <c r="AF120" s="162"/>
      <c r="AG120" s="162"/>
      <c r="AH120" s="162"/>
      <c r="AI120" s="162"/>
      <c r="AJ120" s="162"/>
      <c r="AK120" s="162"/>
      <c r="AL120" s="162"/>
      <c r="AM120" s="1286"/>
      <c r="AN120" s="1286"/>
      <c r="AO120" s="1286"/>
      <c r="AP120" s="1286"/>
      <c r="AQ120" s="1286"/>
      <c r="AR120" s="1290"/>
      <c r="AS120" s="1286"/>
      <c r="AT120" s="1286"/>
      <c r="AU120" s="1286"/>
      <c r="AV120" s="1286"/>
      <c r="AW120" s="1286"/>
      <c r="AX120" s="1286"/>
      <c r="AY120" s="1286"/>
      <c r="AZ120" s="1286"/>
      <c r="BA120" s="1286"/>
      <c r="BB120" s="1286"/>
      <c r="BC120" s="1286"/>
      <c r="BD120" s="1286"/>
      <c r="BE120" s="162"/>
      <c r="BF120" s="162"/>
      <c r="BG120" s="162"/>
      <c r="BH120" s="162"/>
      <c r="BI120" s="162"/>
      <c r="BJ120" s="162"/>
      <c r="BK120" s="162"/>
      <c r="BL120" s="162"/>
      <c r="BM120" s="162"/>
      <c r="BN120" s="162"/>
      <c r="BO120" s="162"/>
      <c r="BP120" s="162"/>
      <c r="BQ120" s="162"/>
      <c r="BR120" s="162"/>
    </row>
    <row r="121" spans="1:70" x14ac:dyDescent="0.2">
      <c r="A121" s="162"/>
      <c r="B121" s="162"/>
      <c r="C121" s="162"/>
      <c r="D121" s="162"/>
      <c r="E121" s="162"/>
      <c r="F121" s="162"/>
      <c r="G121" s="162"/>
      <c r="H121" s="162"/>
      <c r="I121" s="162"/>
      <c r="J121" s="162"/>
      <c r="K121" s="162"/>
      <c r="L121" s="162"/>
      <c r="M121" s="162"/>
      <c r="N121" s="162"/>
      <c r="O121" s="162"/>
      <c r="P121" s="162"/>
      <c r="Q121" s="162"/>
      <c r="R121" s="162"/>
      <c r="S121" s="162"/>
      <c r="T121" s="162"/>
      <c r="U121" s="162"/>
      <c r="V121" s="162"/>
      <c r="W121" s="162"/>
      <c r="X121" s="162"/>
      <c r="Y121" s="162"/>
      <c r="Z121" s="162"/>
      <c r="AA121" s="162"/>
      <c r="AB121" s="162"/>
      <c r="AC121" s="162"/>
      <c r="AD121" s="162"/>
      <c r="AE121" s="162"/>
      <c r="AF121" s="162"/>
      <c r="AG121" s="162"/>
      <c r="AH121" s="162"/>
      <c r="AI121" s="162"/>
      <c r="AJ121" s="162"/>
      <c r="AK121" s="162"/>
      <c r="AL121" s="162"/>
      <c r="AM121" s="1286"/>
      <c r="AN121" s="1286"/>
      <c r="AO121" s="1286"/>
      <c r="AP121" s="1286"/>
      <c r="AQ121" s="1286"/>
      <c r="AR121" s="1290"/>
      <c r="AS121" s="1286"/>
      <c r="AT121" s="1286"/>
      <c r="AU121" s="1286"/>
      <c r="AV121" s="1286"/>
      <c r="AW121" s="1286"/>
      <c r="AX121" s="1286"/>
      <c r="AY121" s="1286"/>
      <c r="AZ121" s="1286"/>
      <c r="BA121" s="1286"/>
      <c r="BB121" s="1286"/>
      <c r="BC121" s="1286"/>
      <c r="BD121" s="1286"/>
      <c r="BE121" s="162"/>
      <c r="BF121" s="162"/>
      <c r="BG121" s="162"/>
      <c r="BH121" s="162"/>
      <c r="BI121" s="162"/>
      <c r="BJ121" s="162"/>
      <c r="BK121" s="162"/>
      <c r="BL121" s="162"/>
      <c r="BM121" s="162"/>
      <c r="BN121" s="162"/>
      <c r="BO121" s="162"/>
      <c r="BP121" s="162"/>
      <c r="BQ121" s="162"/>
      <c r="BR121" s="162"/>
    </row>
    <row r="122" spans="1:70" x14ac:dyDescent="0.2">
      <c r="A122" s="162"/>
      <c r="B122" s="162"/>
      <c r="C122" s="162"/>
      <c r="D122" s="162"/>
      <c r="E122" s="162"/>
      <c r="F122" s="162"/>
      <c r="G122" s="162"/>
      <c r="H122" s="162"/>
      <c r="I122" s="162"/>
      <c r="J122" s="162"/>
      <c r="K122" s="162"/>
      <c r="L122" s="162"/>
      <c r="M122" s="162"/>
      <c r="N122" s="162"/>
      <c r="O122" s="162"/>
      <c r="P122" s="162"/>
      <c r="Q122" s="162"/>
      <c r="R122" s="162"/>
      <c r="S122" s="162"/>
      <c r="T122" s="162"/>
      <c r="U122" s="162"/>
      <c r="V122" s="162"/>
      <c r="W122" s="162"/>
      <c r="X122" s="162"/>
      <c r="Y122" s="162"/>
      <c r="Z122" s="162"/>
      <c r="AA122" s="162"/>
      <c r="AB122" s="162"/>
      <c r="AC122" s="162"/>
      <c r="AD122" s="162"/>
      <c r="AE122" s="162"/>
      <c r="AF122" s="162"/>
      <c r="AG122" s="162"/>
      <c r="AH122" s="162"/>
      <c r="AI122" s="162"/>
      <c r="AJ122" s="162"/>
      <c r="AK122" s="162"/>
      <c r="AL122" s="162"/>
      <c r="AM122" s="1286"/>
      <c r="AN122" s="1286"/>
      <c r="AO122" s="1286"/>
      <c r="AP122" s="1286"/>
      <c r="AQ122" s="1286"/>
      <c r="AR122" s="1290"/>
      <c r="AS122" s="1286"/>
      <c r="AT122" s="1286"/>
      <c r="AU122" s="1286"/>
      <c r="AV122" s="1286"/>
      <c r="AW122" s="1286"/>
      <c r="AX122" s="1286"/>
      <c r="AY122" s="1286"/>
      <c r="AZ122" s="1286"/>
      <c r="BA122" s="1286"/>
      <c r="BB122" s="1286"/>
      <c r="BC122" s="1286"/>
      <c r="BD122" s="1286"/>
      <c r="BE122" s="162"/>
      <c r="BF122" s="162"/>
      <c r="BG122" s="162"/>
      <c r="BH122" s="162"/>
      <c r="BI122" s="162"/>
      <c r="BJ122" s="162"/>
      <c r="BK122" s="162"/>
      <c r="BL122" s="162"/>
      <c r="BM122" s="162"/>
      <c r="BN122" s="162"/>
      <c r="BO122" s="162"/>
      <c r="BP122" s="162"/>
      <c r="BQ122" s="162"/>
      <c r="BR122" s="162"/>
    </row>
    <row r="123" spans="1:70" x14ac:dyDescent="0.2">
      <c r="A123" s="162"/>
      <c r="B123" s="162"/>
      <c r="C123" s="162"/>
      <c r="D123" s="162"/>
      <c r="E123" s="162"/>
      <c r="F123" s="162"/>
      <c r="G123" s="162"/>
      <c r="H123" s="162"/>
      <c r="I123" s="162"/>
      <c r="J123" s="162"/>
      <c r="K123" s="162"/>
      <c r="L123" s="162"/>
      <c r="M123" s="162"/>
      <c r="N123" s="162"/>
      <c r="O123" s="162"/>
      <c r="P123" s="162"/>
      <c r="Q123" s="162"/>
      <c r="R123" s="162"/>
      <c r="S123" s="162"/>
      <c r="T123" s="162"/>
      <c r="U123" s="162"/>
      <c r="V123" s="162"/>
      <c r="W123" s="162"/>
      <c r="X123" s="162"/>
      <c r="Y123" s="162"/>
      <c r="Z123" s="162"/>
      <c r="AA123" s="162"/>
      <c r="AB123" s="162"/>
      <c r="AC123" s="162"/>
      <c r="AD123" s="162"/>
      <c r="AE123" s="162"/>
      <c r="AF123" s="162"/>
      <c r="AG123" s="162"/>
      <c r="AH123" s="162"/>
      <c r="AI123" s="162"/>
      <c r="AJ123" s="162"/>
      <c r="AK123" s="162"/>
      <c r="AL123" s="162"/>
      <c r="AM123" s="1286"/>
      <c r="AN123" s="1286"/>
      <c r="AO123" s="1286"/>
      <c r="AP123" s="1286"/>
      <c r="AQ123" s="1286"/>
      <c r="AR123" s="1290"/>
      <c r="AS123" s="1286"/>
      <c r="AT123" s="1286"/>
      <c r="AU123" s="1286"/>
      <c r="AV123" s="1286"/>
      <c r="AW123" s="1286"/>
      <c r="AX123" s="1286"/>
      <c r="AY123" s="1286"/>
      <c r="AZ123" s="1286"/>
      <c r="BA123" s="1286"/>
      <c r="BB123" s="1286"/>
      <c r="BC123" s="1286"/>
      <c r="BD123" s="1286"/>
      <c r="BE123" s="162"/>
      <c r="BF123" s="162"/>
      <c r="BG123" s="162"/>
      <c r="BH123" s="162"/>
      <c r="BI123" s="162"/>
      <c r="BJ123" s="162"/>
      <c r="BK123" s="162"/>
      <c r="BL123" s="162"/>
      <c r="BM123" s="162"/>
      <c r="BN123" s="162"/>
      <c r="BO123" s="162"/>
      <c r="BP123" s="162"/>
      <c r="BQ123" s="162"/>
      <c r="BR123" s="162"/>
    </row>
    <row r="124" spans="1:70" x14ac:dyDescent="0.2">
      <c r="A124" s="162"/>
      <c r="B124" s="162"/>
      <c r="C124" s="162"/>
      <c r="D124" s="162"/>
      <c r="E124" s="162"/>
      <c r="F124" s="162"/>
      <c r="G124" s="162"/>
      <c r="H124" s="162"/>
      <c r="I124" s="162"/>
      <c r="J124" s="162"/>
      <c r="K124" s="162"/>
      <c r="L124" s="162"/>
      <c r="M124" s="162"/>
      <c r="N124" s="162"/>
      <c r="O124" s="162"/>
      <c r="P124" s="162"/>
      <c r="Q124" s="162"/>
      <c r="R124" s="162"/>
      <c r="S124" s="162"/>
      <c r="T124" s="162"/>
      <c r="U124" s="162"/>
      <c r="V124" s="162"/>
      <c r="W124" s="162"/>
      <c r="X124" s="162"/>
      <c r="Y124" s="162"/>
      <c r="Z124" s="162"/>
      <c r="AA124" s="162"/>
      <c r="AB124" s="162"/>
      <c r="AC124" s="162"/>
      <c r="AD124" s="162"/>
      <c r="AE124" s="162"/>
      <c r="AF124" s="162"/>
      <c r="AG124" s="162"/>
      <c r="AH124" s="162"/>
      <c r="AI124" s="162"/>
      <c r="AJ124" s="162"/>
      <c r="AK124" s="162"/>
      <c r="AL124" s="162"/>
      <c r="AM124" s="1286"/>
      <c r="AN124" s="1286"/>
      <c r="AO124" s="1286"/>
      <c r="AP124" s="1286"/>
      <c r="AQ124" s="1286"/>
      <c r="AR124" s="1290"/>
      <c r="AS124" s="1286"/>
      <c r="AT124" s="1286"/>
      <c r="AU124" s="1286"/>
      <c r="AV124" s="1286"/>
      <c r="AW124" s="1286"/>
      <c r="AX124" s="1286"/>
      <c r="AY124" s="1286"/>
      <c r="AZ124" s="1286"/>
      <c r="BA124" s="1286"/>
      <c r="BB124" s="1286"/>
      <c r="BC124" s="1286"/>
      <c r="BD124" s="1286"/>
      <c r="BE124" s="162"/>
      <c r="BF124" s="162"/>
      <c r="BG124" s="162"/>
      <c r="BH124" s="162"/>
      <c r="BI124" s="162"/>
      <c r="BJ124" s="162"/>
      <c r="BK124" s="162"/>
      <c r="BL124" s="162"/>
      <c r="BM124" s="162"/>
      <c r="BN124" s="162"/>
      <c r="BO124" s="162"/>
      <c r="BP124" s="162"/>
      <c r="BQ124" s="162"/>
      <c r="BR124" s="162"/>
    </row>
    <row r="125" spans="1:70" x14ac:dyDescent="0.2">
      <c r="A125" s="162"/>
      <c r="B125" s="162"/>
      <c r="C125" s="162"/>
      <c r="D125" s="162"/>
      <c r="E125" s="162"/>
      <c r="F125" s="162"/>
      <c r="G125" s="162"/>
      <c r="H125" s="162"/>
      <c r="I125" s="162"/>
      <c r="J125" s="162"/>
      <c r="K125" s="162"/>
      <c r="L125" s="162"/>
      <c r="M125" s="162"/>
      <c r="N125" s="162"/>
      <c r="O125" s="162"/>
      <c r="P125" s="162"/>
      <c r="Q125" s="162"/>
      <c r="R125" s="162"/>
      <c r="S125" s="162"/>
      <c r="T125" s="162"/>
      <c r="U125" s="162"/>
      <c r="V125" s="162"/>
      <c r="W125" s="162"/>
      <c r="X125" s="162"/>
      <c r="Y125" s="162"/>
      <c r="Z125" s="162"/>
      <c r="AA125" s="162"/>
      <c r="AB125" s="162"/>
      <c r="AC125" s="162"/>
      <c r="AD125" s="162"/>
      <c r="AE125" s="162"/>
      <c r="AF125" s="162"/>
      <c r="AG125" s="162"/>
      <c r="AH125" s="162"/>
      <c r="AI125" s="162"/>
      <c r="AJ125" s="162"/>
      <c r="AK125" s="162"/>
      <c r="AL125" s="162"/>
      <c r="AM125" s="1286"/>
      <c r="AN125" s="1286"/>
      <c r="AO125" s="1286"/>
      <c r="AP125" s="1286"/>
      <c r="AQ125" s="1286"/>
      <c r="AR125" s="1290"/>
      <c r="AS125" s="1286"/>
      <c r="AT125" s="1286"/>
      <c r="AU125" s="1286"/>
      <c r="AV125" s="1286"/>
      <c r="AW125" s="1286"/>
      <c r="AX125" s="1286"/>
      <c r="AY125" s="1286"/>
      <c r="AZ125" s="1286"/>
      <c r="BA125" s="1286"/>
      <c r="BB125" s="1286"/>
      <c r="BC125" s="1286"/>
      <c r="BD125" s="1286"/>
      <c r="BE125" s="162"/>
      <c r="BF125" s="162"/>
      <c r="BG125" s="162"/>
      <c r="BH125" s="162"/>
      <c r="BI125" s="162"/>
      <c r="BJ125" s="162"/>
      <c r="BK125" s="162"/>
      <c r="BL125" s="162"/>
      <c r="BM125" s="162"/>
      <c r="BN125" s="162"/>
      <c r="BO125" s="162"/>
      <c r="BP125" s="162"/>
      <c r="BQ125" s="162"/>
      <c r="BR125" s="162"/>
    </row>
    <row r="126" spans="1:70" x14ac:dyDescent="0.2">
      <c r="A126" s="162"/>
      <c r="B126" s="162"/>
      <c r="C126" s="162"/>
      <c r="D126" s="162"/>
      <c r="E126" s="162"/>
      <c r="F126" s="162"/>
      <c r="G126" s="162"/>
      <c r="H126" s="162"/>
      <c r="I126" s="162"/>
      <c r="J126" s="162"/>
      <c r="K126" s="162"/>
      <c r="L126" s="162"/>
      <c r="M126" s="162"/>
      <c r="N126" s="162"/>
      <c r="O126" s="162"/>
      <c r="P126" s="162"/>
      <c r="Q126" s="162"/>
      <c r="R126" s="162"/>
      <c r="S126" s="162"/>
      <c r="T126" s="162"/>
      <c r="U126" s="162"/>
      <c r="V126" s="162"/>
      <c r="W126" s="162"/>
      <c r="X126" s="162"/>
      <c r="Y126" s="162"/>
      <c r="Z126" s="162"/>
      <c r="AA126" s="162"/>
      <c r="AB126" s="162"/>
      <c r="AC126" s="162"/>
      <c r="AD126" s="162"/>
      <c r="AE126" s="162"/>
      <c r="AF126" s="162"/>
      <c r="AG126" s="162"/>
      <c r="AH126" s="162"/>
      <c r="AI126" s="162"/>
      <c r="AJ126" s="162"/>
      <c r="AK126" s="162"/>
      <c r="AL126" s="162"/>
      <c r="AM126" s="1286"/>
      <c r="AN126" s="1286"/>
      <c r="AO126" s="1286"/>
      <c r="AP126" s="1286"/>
      <c r="AQ126" s="1286"/>
      <c r="AR126" s="1290"/>
      <c r="AS126" s="1286"/>
      <c r="AT126" s="1286"/>
      <c r="AU126" s="1286"/>
      <c r="AV126" s="1286"/>
      <c r="AW126" s="1286"/>
      <c r="AX126" s="1286"/>
      <c r="AY126" s="1286"/>
      <c r="AZ126" s="1286"/>
      <c r="BA126" s="1286"/>
      <c r="BB126" s="1286"/>
      <c r="BC126" s="1286"/>
      <c r="BD126" s="1286"/>
      <c r="BE126" s="162"/>
      <c r="BF126" s="162"/>
      <c r="BG126" s="162"/>
      <c r="BH126" s="162"/>
      <c r="BI126" s="162"/>
      <c r="BJ126" s="162"/>
      <c r="BK126" s="162"/>
      <c r="BL126" s="162"/>
      <c r="BM126" s="162"/>
      <c r="BN126" s="162"/>
      <c r="BO126" s="162"/>
      <c r="BP126" s="162"/>
      <c r="BQ126" s="162"/>
      <c r="BR126" s="162"/>
    </row>
    <row r="127" spans="1:70" x14ac:dyDescent="0.2">
      <c r="A127" s="162"/>
      <c r="B127" s="162"/>
      <c r="C127" s="162"/>
      <c r="D127" s="162"/>
      <c r="E127" s="162"/>
      <c r="F127" s="162"/>
      <c r="G127" s="162"/>
      <c r="H127" s="162"/>
      <c r="I127" s="162"/>
      <c r="J127" s="162"/>
      <c r="K127" s="162"/>
      <c r="L127" s="162"/>
      <c r="M127" s="162"/>
      <c r="N127" s="162"/>
      <c r="O127" s="162"/>
      <c r="P127" s="162"/>
      <c r="Q127" s="162"/>
      <c r="R127" s="162"/>
      <c r="S127" s="162"/>
      <c r="T127" s="162"/>
      <c r="U127" s="162"/>
      <c r="V127" s="162"/>
      <c r="W127" s="162"/>
      <c r="X127" s="162"/>
      <c r="Y127" s="162"/>
      <c r="Z127" s="162"/>
      <c r="AA127" s="162"/>
      <c r="AB127" s="162"/>
      <c r="AC127" s="162"/>
      <c r="AD127" s="162"/>
      <c r="AE127" s="162"/>
      <c r="AF127" s="162"/>
      <c r="AG127" s="162"/>
      <c r="AH127" s="162"/>
      <c r="AI127" s="162"/>
      <c r="AJ127" s="162"/>
      <c r="AK127" s="162"/>
      <c r="AL127" s="162"/>
      <c r="AM127" s="1286"/>
      <c r="AN127" s="1286"/>
      <c r="AO127" s="1286"/>
      <c r="AP127" s="1286"/>
      <c r="AQ127" s="1286"/>
      <c r="AR127" s="1290"/>
      <c r="AS127" s="1286"/>
      <c r="AT127" s="1286"/>
      <c r="AU127" s="1286"/>
      <c r="AV127" s="1286"/>
      <c r="AW127" s="1286"/>
      <c r="AX127" s="1286"/>
      <c r="AY127" s="1286"/>
      <c r="AZ127" s="1286"/>
      <c r="BA127" s="1286"/>
      <c r="BB127" s="1286"/>
      <c r="BC127" s="1286"/>
      <c r="BD127" s="1286"/>
      <c r="BE127" s="162"/>
      <c r="BF127" s="162"/>
      <c r="BG127" s="162"/>
      <c r="BH127" s="162"/>
      <c r="BI127" s="162"/>
      <c r="BJ127" s="162"/>
      <c r="BK127" s="162"/>
      <c r="BL127" s="162"/>
      <c r="BM127" s="162"/>
      <c r="BN127" s="162"/>
      <c r="BO127" s="162"/>
      <c r="BP127" s="162"/>
      <c r="BQ127" s="162"/>
      <c r="BR127" s="162"/>
    </row>
    <row r="128" spans="1:70" x14ac:dyDescent="0.2">
      <c r="A128" s="162"/>
      <c r="B128" s="162"/>
      <c r="C128" s="162"/>
      <c r="D128" s="162"/>
      <c r="E128" s="162"/>
      <c r="F128" s="162"/>
      <c r="G128" s="162"/>
      <c r="H128" s="162"/>
      <c r="I128" s="162"/>
      <c r="J128" s="162"/>
      <c r="K128" s="162"/>
      <c r="L128" s="162"/>
      <c r="M128" s="162"/>
      <c r="N128" s="162"/>
      <c r="O128" s="162"/>
      <c r="P128" s="162"/>
      <c r="Q128" s="162"/>
      <c r="R128" s="162"/>
      <c r="S128" s="162"/>
      <c r="T128" s="162"/>
      <c r="U128" s="162"/>
      <c r="V128" s="162"/>
      <c r="W128" s="162"/>
      <c r="X128" s="162"/>
      <c r="Y128" s="162"/>
      <c r="Z128" s="162"/>
      <c r="AA128" s="162"/>
      <c r="AB128" s="162"/>
      <c r="AC128" s="162"/>
      <c r="AD128" s="162"/>
      <c r="AE128" s="162"/>
      <c r="AF128" s="162"/>
      <c r="AG128" s="162"/>
      <c r="AH128" s="162"/>
      <c r="AI128" s="162"/>
      <c r="AJ128" s="162"/>
      <c r="AK128" s="162"/>
      <c r="AL128" s="162"/>
      <c r="AM128" s="1286"/>
      <c r="AN128" s="1286"/>
      <c r="AO128" s="1286"/>
      <c r="AP128" s="1286"/>
      <c r="AQ128" s="1286"/>
      <c r="AR128" s="1290"/>
      <c r="AS128" s="1286"/>
      <c r="AT128" s="1286"/>
      <c r="AU128" s="1286"/>
      <c r="AV128" s="1286"/>
      <c r="AW128" s="1286"/>
      <c r="AX128" s="1286"/>
      <c r="AY128" s="1286"/>
      <c r="AZ128" s="1286"/>
      <c r="BA128" s="1286"/>
      <c r="BB128" s="1286"/>
      <c r="BC128" s="1286"/>
      <c r="BD128" s="1286"/>
      <c r="BE128" s="162"/>
      <c r="BF128" s="162"/>
      <c r="BG128" s="162"/>
      <c r="BH128" s="162"/>
      <c r="BI128" s="162"/>
      <c r="BJ128" s="162"/>
      <c r="BK128" s="162"/>
      <c r="BL128" s="162"/>
      <c r="BM128" s="162"/>
      <c r="BN128" s="162"/>
      <c r="BO128" s="162"/>
      <c r="BP128" s="162"/>
      <c r="BQ128" s="162"/>
      <c r="BR128" s="162"/>
    </row>
    <row r="129" spans="1:70" x14ac:dyDescent="0.2">
      <c r="A129" s="162"/>
      <c r="B129" s="162"/>
      <c r="C129" s="162"/>
      <c r="D129" s="162"/>
      <c r="E129" s="162"/>
      <c r="F129" s="162"/>
      <c r="G129" s="162"/>
      <c r="H129" s="162"/>
      <c r="I129" s="162"/>
      <c r="J129" s="162"/>
      <c r="K129" s="162"/>
      <c r="L129" s="162"/>
      <c r="M129" s="162"/>
      <c r="N129" s="162"/>
      <c r="O129" s="162"/>
      <c r="P129" s="162"/>
      <c r="Q129" s="162"/>
      <c r="R129" s="162"/>
      <c r="S129" s="162"/>
      <c r="T129" s="162"/>
      <c r="U129" s="162"/>
      <c r="V129" s="162"/>
      <c r="W129" s="162"/>
      <c r="X129" s="162"/>
      <c r="Y129" s="162"/>
      <c r="Z129" s="162"/>
      <c r="AA129" s="162"/>
      <c r="AB129" s="162"/>
      <c r="AC129" s="162"/>
      <c r="AD129" s="162"/>
      <c r="AE129" s="162"/>
      <c r="AF129" s="162"/>
      <c r="AG129" s="162"/>
      <c r="AH129" s="162"/>
      <c r="AI129" s="162"/>
      <c r="AJ129" s="162"/>
      <c r="AK129" s="162"/>
      <c r="AL129" s="162"/>
      <c r="AM129" s="1286"/>
      <c r="AN129" s="1286"/>
      <c r="AO129" s="1286"/>
      <c r="AP129" s="1286"/>
      <c r="AQ129" s="1286"/>
      <c r="AR129" s="1290"/>
      <c r="AS129" s="1286"/>
      <c r="AT129" s="1286"/>
      <c r="AU129" s="1286"/>
      <c r="AV129" s="1286"/>
      <c r="AW129" s="1286"/>
      <c r="AX129" s="1286"/>
      <c r="AY129" s="1286"/>
      <c r="AZ129" s="1286"/>
      <c r="BA129" s="1286"/>
      <c r="BB129" s="1286"/>
      <c r="BC129" s="1286"/>
      <c r="BD129" s="1286"/>
      <c r="BE129" s="162"/>
      <c r="BF129" s="162"/>
      <c r="BG129" s="162"/>
      <c r="BH129" s="162"/>
      <c r="BI129" s="162"/>
      <c r="BJ129" s="162"/>
      <c r="BK129" s="162"/>
      <c r="BL129" s="162"/>
      <c r="BM129" s="162"/>
      <c r="BN129" s="162"/>
      <c r="BO129" s="162"/>
      <c r="BP129" s="162"/>
      <c r="BQ129" s="162"/>
      <c r="BR129" s="162"/>
    </row>
    <row r="130" spans="1:70" x14ac:dyDescent="0.2">
      <c r="A130" s="162"/>
      <c r="B130" s="162"/>
      <c r="C130" s="162"/>
      <c r="D130" s="162"/>
      <c r="E130" s="162"/>
      <c r="F130" s="162"/>
      <c r="G130" s="162"/>
      <c r="H130" s="162"/>
      <c r="I130" s="162"/>
      <c r="J130" s="162"/>
      <c r="K130" s="162"/>
      <c r="L130" s="162"/>
      <c r="M130" s="162"/>
      <c r="N130" s="162"/>
      <c r="O130" s="162"/>
      <c r="P130" s="162"/>
      <c r="Q130" s="162"/>
      <c r="R130" s="162"/>
      <c r="S130" s="162"/>
      <c r="T130" s="162"/>
      <c r="U130" s="162"/>
      <c r="V130" s="162"/>
      <c r="W130" s="162"/>
      <c r="X130" s="162"/>
      <c r="Y130" s="162"/>
      <c r="Z130" s="162"/>
      <c r="AA130" s="162"/>
      <c r="AB130" s="162"/>
      <c r="AC130" s="162"/>
      <c r="AD130" s="162"/>
      <c r="AE130" s="162"/>
      <c r="AF130" s="162"/>
      <c r="AG130" s="162"/>
      <c r="AH130" s="162"/>
      <c r="AI130" s="162"/>
      <c r="AJ130" s="162"/>
      <c r="AK130" s="162"/>
      <c r="AL130" s="162"/>
      <c r="AM130" s="1286"/>
      <c r="AN130" s="1286"/>
      <c r="AO130" s="1286"/>
      <c r="AP130" s="1286"/>
      <c r="AQ130" s="1286"/>
      <c r="AR130" s="1290"/>
      <c r="AS130" s="1286"/>
      <c r="AT130" s="1286"/>
      <c r="AU130" s="1286"/>
      <c r="AV130" s="1286"/>
      <c r="AW130" s="1286"/>
      <c r="AX130" s="1286"/>
      <c r="AY130" s="1286"/>
      <c r="AZ130" s="1286"/>
      <c r="BA130" s="1286"/>
      <c r="BB130" s="1286"/>
      <c r="BC130" s="1286"/>
      <c r="BD130" s="1286"/>
      <c r="BE130" s="162"/>
      <c r="BF130" s="162"/>
      <c r="BG130" s="162"/>
      <c r="BH130" s="162"/>
      <c r="BI130" s="162"/>
      <c r="BJ130" s="162"/>
      <c r="BK130" s="162"/>
      <c r="BL130" s="162"/>
      <c r="BM130" s="162"/>
      <c r="BN130" s="162"/>
      <c r="BO130" s="162"/>
      <c r="BP130" s="162"/>
      <c r="BQ130" s="162"/>
      <c r="BR130" s="162"/>
    </row>
    <row r="131" spans="1:70" x14ac:dyDescent="0.2">
      <c r="A131" s="162"/>
      <c r="B131" s="162"/>
      <c r="C131" s="162"/>
      <c r="D131" s="162"/>
      <c r="E131" s="162"/>
      <c r="F131" s="162"/>
      <c r="G131" s="162"/>
      <c r="H131" s="162"/>
      <c r="I131" s="162"/>
      <c r="J131" s="162"/>
      <c r="K131" s="162"/>
      <c r="L131" s="162"/>
      <c r="M131" s="162"/>
      <c r="N131" s="162"/>
      <c r="O131" s="162"/>
      <c r="P131" s="162"/>
      <c r="Q131" s="162"/>
      <c r="R131" s="162"/>
      <c r="S131" s="162"/>
      <c r="T131" s="162"/>
      <c r="U131" s="162"/>
      <c r="V131" s="162"/>
      <c r="W131" s="162"/>
      <c r="X131" s="162"/>
      <c r="Y131" s="162"/>
      <c r="Z131" s="162"/>
      <c r="AA131" s="162"/>
      <c r="AB131" s="162"/>
      <c r="AC131" s="162"/>
      <c r="AD131" s="162"/>
      <c r="AE131" s="162"/>
      <c r="AF131" s="162"/>
      <c r="AG131" s="162"/>
      <c r="AH131" s="162"/>
      <c r="AI131" s="162"/>
      <c r="AJ131" s="162"/>
      <c r="AK131" s="162"/>
      <c r="AL131" s="162"/>
      <c r="AM131" s="1286"/>
      <c r="AN131" s="1286"/>
      <c r="AO131" s="1286"/>
      <c r="AP131" s="1286"/>
      <c r="AQ131" s="1286"/>
      <c r="AR131" s="1290"/>
      <c r="AS131" s="1286"/>
      <c r="AT131" s="1286"/>
      <c r="AU131" s="1286"/>
      <c r="AV131" s="1286"/>
      <c r="AW131" s="1286"/>
      <c r="AX131" s="1286"/>
      <c r="AY131" s="1286"/>
      <c r="AZ131" s="1286"/>
      <c r="BA131" s="1286"/>
      <c r="BB131" s="1286"/>
      <c r="BC131" s="1286"/>
      <c r="BD131" s="1286"/>
      <c r="BE131" s="162"/>
      <c r="BF131" s="162"/>
      <c r="BG131" s="162"/>
      <c r="BH131" s="162"/>
      <c r="BI131" s="162"/>
      <c r="BJ131" s="162"/>
      <c r="BK131" s="162"/>
      <c r="BL131" s="162"/>
      <c r="BM131" s="162"/>
      <c r="BN131" s="162"/>
      <c r="BO131" s="162"/>
      <c r="BP131" s="162"/>
      <c r="BQ131" s="162"/>
      <c r="BR131" s="162"/>
    </row>
    <row r="132" spans="1:70" x14ac:dyDescent="0.2">
      <c r="A132" s="162"/>
      <c r="B132" s="162"/>
      <c r="C132" s="162"/>
      <c r="D132" s="162"/>
      <c r="E132" s="162"/>
      <c r="F132" s="162"/>
      <c r="G132" s="162"/>
      <c r="H132" s="162"/>
      <c r="I132" s="162"/>
      <c r="J132" s="162"/>
      <c r="K132" s="162"/>
      <c r="L132" s="162"/>
      <c r="M132" s="162"/>
      <c r="N132" s="162"/>
      <c r="O132" s="162"/>
      <c r="P132" s="162"/>
      <c r="Q132" s="162"/>
      <c r="R132" s="162"/>
      <c r="S132" s="162"/>
      <c r="T132" s="162"/>
      <c r="U132" s="162"/>
      <c r="V132" s="162"/>
      <c r="W132" s="162"/>
      <c r="X132" s="162"/>
      <c r="Y132" s="162"/>
      <c r="Z132" s="162"/>
      <c r="AA132" s="162"/>
      <c r="AB132" s="162"/>
      <c r="AC132" s="162"/>
      <c r="AD132" s="162"/>
      <c r="AE132" s="162"/>
      <c r="AF132" s="162"/>
      <c r="AG132" s="162"/>
      <c r="AH132" s="162"/>
      <c r="AI132" s="162"/>
      <c r="AJ132" s="162"/>
      <c r="AK132" s="162"/>
      <c r="AL132" s="162"/>
      <c r="AM132" s="1286"/>
      <c r="AN132" s="1286"/>
      <c r="AO132" s="1286"/>
      <c r="AP132" s="1286"/>
      <c r="AQ132" s="1286"/>
      <c r="AR132" s="1290"/>
      <c r="AS132" s="1286"/>
      <c r="AT132" s="1286"/>
      <c r="AU132" s="1286"/>
      <c r="AV132" s="1286"/>
      <c r="AW132" s="1286"/>
      <c r="AX132" s="1286"/>
      <c r="AY132" s="1286"/>
      <c r="AZ132" s="1286"/>
      <c r="BA132" s="1286"/>
      <c r="BB132" s="1286"/>
      <c r="BC132" s="1286"/>
      <c r="BD132" s="1286"/>
      <c r="BE132" s="162"/>
      <c r="BF132" s="162"/>
      <c r="BG132" s="162"/>
      <c r="BH132" s="162"/>
      <c r="BI132" s="162"/>
      <c r="BJ132" s="162"/>
      <c r="BK132" s="162"/>
      <c r="BL132" s="162"/>
      <c r="BM132" s="162"/>
      <c r="BN132" s="162"/>
      <c r="BO132" s="162"/>
      <c r="BP132" s="162"/>
      <c r="BQ132" s="162"/>
      <c r="BR132" s="162"/>
    </row>
    <row r="133" spans="1:70" x14ac:dyDescent="0.2">
      <c r="A133" s="162"/>
      <c r="B133" s="162"/>
      <c r="C133" s="162"/>
      <c r="D133" s="162"/>
      <c r="E133" s="162"/>
      <c r="F133" s="162"/>
      <c r="G133" s="162"/>
      <c r="H133" s="162"/>
      <c r="I133" s="162"/>
      <c r="J133" s="162"/>
      <c r="K133" s="162"/>
      <c r="L133" s="162"/>
      <c r="M133" s="162"/>
      <c r="N133" s="162"/>
      <c r="O133" s="162"/>
      <c r="P133" s="162"/>
      <c r="Q133" s="162"/>
      <c r="R133" s="162"/>
      <c r="S133" s="162"/>
      <c r="T133" s="162"/>
      <c r="U133" s="162"/>
      <c r="V133" s="162"/>
      <c r="W133" s="162"/>
      <c r="X133" s="162"/>
      <c r="Y133" s="162"/>
      <c r="Z133" s="162"/>
      <c r="AA133" s="162"/>
      <c r="AB133" s="162"/>
      <c r="AC133" s="162"/>
      <c r="AD133" s="162"/>
      <c r="AE133" s="162"/>
      <c r="AF133" s="162"/>
      <c r="AG133" s="162"/>
      <c r="AH133" s="162"/>
      <c r="AI133" s="162"/>
      <c r="AJ133" s="162"/>
      <c r="AK133" s="162"/>
      <c r="AL133" s="162"/>
      <c r="AM133" s="1286"/>
      <c r="AN133" s="1286"/>
      <c r="AO133" s="1286"/>
      <c r="AP133" s="1286"/>
      <c r="AQ133" s="1286"/>
      <c r="AR133" s="1290"/>
      <c r="AS133" s="1286"/>
      <c r="AT133" s="1286"/>
      <c r="AU133" s="1286"/>
      <c r="AV133" s="1286"/>
      <c r="AW133" s="1286"/>
      <c r="AX133" s="1286"/>
      <c r="AY133" s="1286"/>
      <c r="AZ133" s="1286"/>
      <c r="BA133" s="1286"/>
      <c r="BB133" s="1286"/>
      <c r="BC133" s="1286"/>
      <c r="BD133" s="1286"/>
      <c r="BE133" s="162"/>
      <c r="BF133" s="162"/>
      <c r="BG133" s="162"/>
      <c r="BH133" s="162"/>
      <c r="BI133" s="162"/>
      <c r="BJ133" s="162"/>
      <c r="BK133" s="162"/>
      <c r="BL133" s="162"/>
      <c r="BM133" s="162"/>
      <c r="BN133" s="162"/>
      <c r="BO133" s="162"/>
      <c r="BP133" s="162"/>
      <c r="BQ133" s="162"/>
      <c r="BR133" s="162"/>
    </row>
    <row r="134" spans="1:70" x14ac:dyDescent="0.2">
      <c r="A134" s="162"/>
      <c r="B134" s="162"/>
      <c r="C134" s="162"/>
      <c r="D134" s="162"/>
      <c r="E134" s="162"/>
      <c r="F134" s="162"/>
      <c r="G134" s="162"/>
      <c r="H134" s="162"/>
      <c r="I134" s="162"/>
      <c r="J134" s="162"/>
      <c r="K134" s="162"/>
      <c r="L134" s="162"/>
      <c r="M134" s="162"/>
      <c r="N134" s="162"/>
      <c r="O134" s="162"/>
      <c r="P134" s="162"/>
      <c r="Q134" s="162"/>
      <c r="R134" s="162"/>
      <c r="S134" s="162"/>
      <c r="T134" s="162"/>
      <c r="U134" s="162"/>
      <c r="V134" s="162"/>
      <c r="W134" s="162"/>
      <c r="X134" s="162"/>
      <c r="Y134" s="162"/>
      <c r="Z134" s="162"/>
      <c r="AA134" s="162"/>
      <c r="AB134" s="162"/>
      <c r="AC134" s="162"/>
      <c r="AD134" s="162"/>
      <c r="AE134" s="162"/>
      <c r="AF134" s="162"/>
      <c r="AG134" s="162"/>
      <c r="AH134" s="162"/>
      <c r="AI134" s="162"/>
      <c r="AJ134" s="162"/>
      <c r="AK134" s="162"/>
      <c r="AL134" s="162"/>
      <c r="AM134" s="1286"/>
      <c r="AN134" s="1286"/>
      <c r="AO134" s="1286"/>
      <c r="AP134" s="1286"/>
      <c r="AQ134" s="1286"/>
      <c r="AR134" s="1290"/>
      <c r="AS134" s="1286"/>
      <c r="AT134" s="1286"/>
      <c r="AU134" s="1286"/>
      <c r="AV134" s="1286"/>
      <c r="AW134" s="1286"/>
      <c r="AX134" s="1286"/>
      <c r="AY134" s="1286"/>
      <c r="AZ134" s="1286"/>
      <c r="BA134" s="1286"/>
      <c r="BB134" s="1286"/>
      <c r="BC134" s="1286"/>
      <c r="BD134" s="1286"/>
      <c r="BE134" s="162"/>
      <c r="BF134" s="162"/>
      <c r="BG134" s="162"/>
      <c r="BH134" s="162"/>
      <c r="BI134" s="162"/>
      <c r="BJ134" s="162"/>
      <c r="BK134" s="162"/>
      <c r="BL134" s="162"/>
      <c r="BM134" s="162"/>
      <c r="BN134" s="162"/>
      <c r="BO134" s="162"/>
      <c r="BP134" s="162"/>
      <c r="BQ134" s="162"/>
      <c r="BR134" s="162"/>
    </row>
    <row r="135" spans="1:70" x14ac:dyDescent="0.2">
      <c r="A135" s="162"/>
      <c r="B135" s="162"/>
      <c r="C135" s="162"/>
      <c r="D135" s="162"/>
      <c r="E135" s="162"/>
      <c r="F135" s="162"/>
      <c r="G135" s="162"/>
      <c r="H135" s="162"/>
      <c r="I135" s="162"/>
      <c r="J135" s="162"/>
      <c r="K135" s="162"/>
      <c r="L135" s="162"/>
      <c r="M135" s="162"/>
      <c r="N135" s="162"/>
      <c r="O135" s="162"/>
      <c r="P135" s="162"/>
      <c r="Q135" s="162"/>
      <c r="R135" s="162"/>
      <c r="S135" s="162"/>
      <c r="T135" s="162"/>
      <c r="U135" s="162"/>
      <c r="V135" s="162"/>
      <c r="W135" s="162"/>
      <c r="X135" s="162"/>
      <c r="Y135" s="162"/>
      <c r="Z135" s="162"/>
      <c r="AA135" s="162"/>
      <c r="AB135" s="162"/>
      <c r="AC135" s="162"/>
      <c r="AD135" s="162"/>
      <c r="AE135" s="162"/>
      <c r="AF135" s="162"/>
      <c r="AG135" s="162"/>
      <c r="AH135" s="162"/>
      <c r="AI135" s="162"/>
      <c r="AJ135" s="162"/>
      <c r="AK135" s="162"/>
      <c r="AL135" s="162"/>
      <c r="AM135" s="1286"/>
      <c r="AN135" s="1286"/>
      <c r="AO135" s="1286"/>
      <c r="AP135" s="1286"/>
      <c r="AQ135" s="1286"/>
      <c r="AR135" s="1290"/>
      <c r="AS135" s="1286"/>
      <c r="AT135" s="1286"/>
      <c r="AU135" s="1286"/>
      <c r="AV135" s="1286"/>
      <c r="AW135" s="1286"/>
      <c r="AX135" s="1286"/>
      <c r="AY135" s="1286"/>
      <c r="AZ135" s="1286"/>
      <c r="BA135" s="1286"/>
      <c r="BB135" s="1286"/>
      <c r="BC135" s="1286"/>
      <c r="BD135" s="1286"/>
      <c r="BE135" s="162"/>
      <c r="BF135" s="162"/>
      <c r="BG135" s="162"/>
      <c r="BH135" s="162"/>
      <c r="BI135" s="162"/>
      <c r="BJ135" s="162"/>
      <c r="BK135" s="162"/>
      <c r="BL135" s="162"/>
      <c r="BM135" s="162"/>
      <c r="BN135" s="162"/>
      <c r="BO135" s="162"/>
      <c r="BP135" s="162"/>
      <c r="BQ135" s="162"/>
      <c r="BR135" s="162"/>
    </row>
    <row r="136" spans="1:70" x14ac:dyDescent="0.2">
      <c r="A136" s="162"/>
      <c r="B136" s="162"/>
      <c r="C136" s="162"/>
      <c r="D136" s="162"/>
      <c r="E136" s="162"/>
      <c r="F136" s="162"/>
      <c r="G136" s="162"/>
      <c r="H136" s="162"/>
      <c r="I136" s="162"/>
      <c r="J136" s="162"/>
      <c r="K136" s="162"/>
      <c r="L136" s="162"/>
      <c r="M136" s="162"/>
      <c r="N136" s="162"/>
      <c r="O136" s="162"/>
      <c r="P136" s="162"/>
      <c r="Q136" s="162"/>
      <c r="R136" s="162"/>
      <c r="S136" s="162"/>
      <c r="T136" s="162"/>
      <c r="U136" s="162"/>
      <c r="V136" s="162"/>
      <c r="W136" s="162"/>
      <c r="X136" s="162"/>
      <c r="Y136" s="162"/>
      <c r="Z136" s="162"/>
      <c r="AA136" s="162"/>
      <c r="AB136" s="162"/>
      <c r="AC136" s="162"/>
      <c r="AD136" s="162"/>
      <c r="AE136" s="162"/>
      <c r="AF136" s="162"/>
      <c r="AG136" s="162"/>
      <c r="AH136" s="162"/>
      <c r="AI136" s="162"/>
      <c r="AJ136" s="162"/>
      <c r="AK136" s="162"/>
      <c r="AL136" s="162"/>
      <c r="AM136" s="1286"/>
      <c r="AN136" s="1286"/>
      <c r="AO136" s="1286"/>
      <c r="AP136" s="1286"/>
      <c r="AQ136" s="1286"/>
      <c r="AR136" s="1290"/>
      <c r="AS136" s="1286"/>
      <c r="AT136" s="1286"/>
      <c r="AU136" s="1286"/>
      <c r="AV136" s="1286"/>
      <c r="AW136" s="1286"/>
      <c r="AX136" s="1286"/>
      <c r="AY136" s="1286"/>
      <c r="AZ136" s="1286"/>
      <c r="BA136" s="1286"/>
      <c r="BB136" s="1286"/>
      <c r="BC136" s="1286"/>
      <c r="BD136" s="1286"/>
      <c r="BE136" s="162"/>
      <c r="BF136" s="162"/>
      <c r="BG136" s="162"/>
      <c r="BH136" s="162"/>
      <c r="BI136" s="162"/>
      <c r="BJ136" s="162"/>
      <c r="BK136" s="162"/>
      <c r="BL136" s="162"/>
      <c r="BM136" s="162"/>
      <c r="BN136" s="162"/>
      <c r="BO136" s="162"/>
      <c r="BP136" s="162"/>
      <c r="BQ136" s="162"/>
      <c r="BR136" s="162"/>
    </row>
    <row r="137" spans="1:70" x14ac:dyDescent="0.2">
      <c r="A137" s="162"/>
      <c r="B137" s="162"/>
      <c r="C137" s="162"/>
      <c r="D137" s="162"/>
      <c r="E137" s="162"/>
      <c r="F137" s="162"/>
      <c r="G137" s="162"/>
      <c r="H137" s="162"/>
      <c r="I137" s="162"/>
      <c r="J137" s="162"/>
      <c r="K137" s="162"/>
      <c r="L137" s="162"/>
      <c r="M137" s="162"/>
      <c r="N137" s="162"/>
      <c r="O137" s="162"/>
      <c r="P137" s="162"/>
      <c r="Q137" s="162"/>
      <c r="R137" s="162"/>
      <c r="S137" s="162"/>
      <c r="T137" s="162"/>
      <c r="U137" s="162"/>
      <c r="V137" s="162"/>
      <c r="W137" s="162"/>
      <c r="X137" s="162"/>
      <c r="Y137" s="162"/>
      <c r="Z137" s="162"/>
      <c r="AA137" s="162"/>
      <c r="AB137" s="162"/>
      <c r="AC137" s="162"/>
      <c r="AD137" s="162"/>
      <c r="AE137" s="162"/>
      <c r="AF137" s="162"/>
      <c r="AG137" s="162"/>
      <c r="AH137" s="162"/>
      <c r="AI137" s="162"/>
      <c r="AJ137" s="162"/>
      <c r="AK137" s="162"/>
      <c r="AL137" s="162"/>
      <c r="AM137" s="1286"/>
      <c r="AN137" s="1286"/>
      <c r="AO137" s="1286"/>
      <c r="AP137" s="1286"/>
      <c r="AQ137" s="1286"/>
      <c r="AR137" s="1290"/>
      <c r="AS137" s="1286"/>
      <c r="AT137" s="1286"/>
      <c r="AU137" s="1286"/>
      <c r="AV137" s="1286"/>
      <c r="AW137" s="1286"/>
      <c r="AX137" s="1286"/>
      <c r="AY137" s="1286"/>
      <c r="AZ137" s="1286"/>
      <c r="BA137" s="1286"/>
      <c r="BB137" s="1286"/>
      <c r="BC137" s="1286"/>
      <c r="BD137" s="1286"/>
      <c r="BE137" s="162"/>
      <c r="BF137" s="162"/>
      <c r="BG137" s="162"/>
      <c r="BH137" s="162"/>
      <c r="BI137" s="162"/>
      <c r="BJ137" s="162"/>
      <c r="BK137" s="162"/>
      <c r="BL137" s="162"/>
      <c r="BM137" s="162"/>
      <c r="BN137" s="162"/>
      <c r="BO137" s="162"/>
      <c r="BP137" s="162"/>
      <c r="BQ137" s="162"/>
      <c r="BR137" s="162"/>
    </row>
    <row r="138" spans="1:70" x14ac:dyDescent="0.2">
      <c r="A138" s="162"/>
      <c r="B138" s="162"/>
      <c r="C138" s="162"/>
      <c r="D138" s="162"/>
      <c r="E138" s="162"/>
      <c r="F138" s="162"/>
      <c r="G138" s="162"/>
      <c r="H138" s="162"/>
      <c r="I138" s="162"/>
      <c r="J138" s="162"/>
      <c r="K138" s="162"/>
      <c r="L138" s="162"/>
      <c r="M138" s="162"/>
      <c r="N138" s="162"/>
      <c r="O138" s="162"/>
      <c r="P138" s="162"/>
      <c r="Q138" s="162"/>
      <c r="R138" s="162"/>
      <c r="S138" s="162"/>
      <c r="T138" s="162"/>
      <c r="U138" s="162"/>
      <c r="V138" s="162"/>
      <c r="W138" s="162"/>
      <c r="X138" s="162"/>
      <c r="Y138" s="162"/>
      <c r="Z138" s="162"/>
      <c r="AA138" s="162"/>
      <c r="AB138" s="162"/>
      <c r="AC138" s="162"/>
      <c r="AD138" s="162"/>
      <c r="AE138" s="162"/>
      <c r="AF138" s="162"/>
      <c r="AG138" s="162"/>
      <c r="AH138" s="162"/>
      <c r="AI138" s="162"/>
      <c r="AJ138" s="162"/>
      <c r="AK138" s="162"/>
      <c r="AL138" s="162"/>
      <c r="AM138" s="1286"/>
      <c r="AN138" s="1286"/>
      <c r="AO138" s="1286"/>
      <c r="AP138" s="1286"/>
      <c r="AQ138" s="1286"/>
      <c r="AR138" s="1290"/>
      <c r="AS138" s="1286"/>
      <c r="AT138" s="1286"/>
      <c r="AU138" s="1286"/>
      <c r="AV138" s="1286"/>
      <c r="AW138" s="1286"/>
      <c r="AX138" s="1286"/>
      <c r="AY138" s="1286"/>
      <c r="AZ138" s="1286"/>
      <c r="BA138" s="1286"/>
      <c r="BB138" s="1286"/>
      <c r="BC138" s="1286"/>
      <c r="BD138" s="1286"/>
      <c r="BE138" s="162"/>
      <c r="BF138" s="162"/>
      <c r="BG138" s="162"/>
      <c r="BH138" s="162"/>
      <c r="BI138" s="162"/>
      <c r="BJ138" s="162"/>
      <c r="BK138" s="162"/>
      <c r="BL138" s="162"/>
      <c r="BM138" s="162"/>
      <c r="BN138" s="162"/>
      <c r="BO138" s="162"/>
      <c r="BP138" s="162"/>
      <c r="BQ138" s="162"/>
      <c r="BR138" s="162"/>
    </row>
    <row r="139" spans="1:70" x14ac:dyDescent="0.2">
      <c r="A139" s="162"/>
      <c r="B139" s="162"/>
      <c r="C139" s="162"/>
      <c r="D139" s="162"/>
      <c r="E139" s="162"/>
      <c r="F139" s="162"/>
      <c r="G139" s="162"/>
      <c r="H139" s="162"/>
      <c r="I139" s="162"/>
      <c r="J139" s="162"/>
      <c r="K139" s="162"/>
      <c r="L139" s="162"/>
      <c r="M139" s="162"/>
      <c r="N139" s="162"/>
      <c r="O139" s="162"/>
      <c r="P139" s="162"/>
      <c r="Q139" s="162"/>
      <c r="R139" s="162"/>
      <c r="S139" s="162"/>
      <c r="T139" s="162"/>
      <c r="U139" s="162"/>
      <c r="V139" s="162"/>
      <c r="W139" s="162"/>
      <c r="X139" s="162"/>
      <c r="Y139" s="162"/>
      <c r="Z139" s="162"/>
      <c r="AA139" s="162"/>
      <c r="AB139" s="162"/>
      <c r="AC139" s="162"/>
      <c r="AD139" s="162"/>
      <c r="AE139" s="162"/>
      <c r="AF139" s="162"/>
      <c r="AG139" s="162"/>
      <c r="AH139" s="162"/>
      <c r="AI139" s="162"/>
      <c r="AJ139" s="162"/>
      <c r="AK139" s="162"/>
      <c r="AL139" s="162"/>
      <c r="AM139" s="1286"/>
      <c r="AN139" s="1286"/>
      <c r="AO139" s="1286"/>
      <c r="AP139" s="1286"/>
      <c r="AQ139" s="1286"/>
      <c r="AR139" s="1290"/>
      <c r="AS139" s="1286"/>
      <c r="AT139" s="1286"/>
      <c r="AU139" s="1286"/>
      <c r="AV139" s="1286"/>
      <c r="AW139" s="1286"/>
      <c r="AX139" s="1286"/>
      <c r="AY139" s="1286"/>
      <c r="AZ139" s="1286"/>
      <c r="BA139" s="1286"/>
      <c r="BB139" s="1286"/>
      <c r="BC139" s="1286"/>
      <c r="BD139" s="1286"/>
      <c r="BE139" s="162"/>
      <c r="BF139" s="162"/>
      <c r="BG139" s="162"/>
      <c r="BH139" s="162"/>
      <c r="BI139" s="162"/>
      <c r="BJ139" s="162"/>
      <c r="BK139" s="162"/>
      <c r="BL139" s="162"/>
      <c r="BM139" s="162"/>
      <c r="BN139" s="162"/>
      <c r="BO139" s="162"/>
      <c r="BP139" s="162"/>
      <c r="BQ139" s="162"/>
      <c r="BR139" s="162"/>
    </row>
    <row r="140" spans="1:70" x14ac:dyDescent="0.2">
      <c r="A140" s="162"/>
      <c r="B140" s="162"/>
      <c r="C140" s="162"/>
      <c r="D140" s="162"/>
      <c r="E140" s="162"/>
      <c r="F140" s="162"/>
      <c r="G140" s="162"/>
      <c r="H140" s="162"/>
      <c r="I140" s="162"/>
      <c r="J140" s="162"/>
      <c r="K140" s="162"/>
      <c r="L140" s="162"/>
      <c r="M140" s="162"/>
      <c r="N140" s="162"/>
      <c r="O140" s="162"/>
      <c r="P140" s="162"/>
      <c r="Q140" s="162"/>
      <c r="R140" s="162"/>
      <c r="S140" s="162"/>
      <c r="T140" s="162"/>
      <c r="U140" s="162"/>
      <c r="V140" s="162"/>
      <c r="W140" s="162"/>
      <c r="X140" s="162"/>
      <c r="Y140" s="162"/>
      <c r="Z140" s="162"/>
      <c r="AA140" s="162"/>
      <c r="AB140" s="162"/>
      <c r="AC140" s="162"/>
      <c r="AD140" s="162"/>
      <c r="AE140" s="162"/>
      <c r="AF140" s="162"/>
      <c r="AG140" s="162"/>
      <c r="AH140" s="162"/>
      <c r="AI140" s="162"/>
      <c r="AJ140" s="162"/>
      <c r="AK140" s="162"/>
      <c r="AL140" s="162"/>
      <c r="AM140" s="1286"/>
      <c r="AN140" s="1286"/>
      <c r="AO140" s="1286"/>
      <c r="AP140" s="1286"/>
      <c r="AQ140" s="1286"/>
      <c r="AR140" s="1290"/>
      <c r="AS140" s="1286"/>
      <c r="AT140" s="1286"/>
      <c r="AU140" s="1286"/>
      <c r="AV140" s="1286"/>
      <c r="AW140" s="1286"/>
      <c r="AX140" s="1286"/>
      <c r="AY140" s="1286"/>
      <c r="AZ140" s="1286"/>
      <c r="BA140" s="1286"/>
      <c r="BB140" s="1286"/>
      <c r="BC140" s="1286"/>
      <c r="BD140" s="1286"/>
      <c r="BE140" s="162"/>
      <c r="BF140" s="162"/>
      <c r="BG140" s="162"/>
      <c r="BH140" s="162"/>
      <c r="BI140" s="162"/>
      <c r="BJ140" s="162"/>
      <c r="BK140" s="162"/>
      <c r="BL140" s="162"/>
      <c r="BM140" s="162"/>
      <c r="BN140" s="162"/>
      <c r="BO140" s="162"/>
      <c r="BP140" s="162"/>
      <c r="BQ140" s="162"/>
      <c r="BR140" s="162"/>
    </row>
    <row r="141" spans="1:70" x14ac:dyDescent="0.2">
      <c r="A141" s="162"/>
      <c r="B141" s="162"/>
      <c r="C141" s="162"/>
      <c r="D141" s="162"/>
      <c r="G141" s="162"/>
      <c r="H141" s="162"/>
      <c r="I141" s="162"/>
      <c r="J141" s="162"/>
      <c r="K141" s="162"/>
      <c r="L141" s="162"/>
      <c r="M141" s="162"/>
      <c r="N141" s="162"/>
      <c r="O141" s="162"/>
      <c r="P141" s="162"/>
      <c r="Q141" s="162"/>
      <c r="R141" s="162"/>
      <c r="S141" s="162"/>
      <c r="T141" s="162"/>
      <c r="U141" s="162"/>
      <c r="V141" s="162"/>
      <c r="W141" s="162"/>
      <c r="X141" s="162"/>
      <c r="Y141" s="162"/>
      <c r="Z141" s="162"/>
      <c r="AA141" s="162"/>
      <c r="AB141" s="162"/>
      <c r="AC141" s="162"/>
      <c r="AD141" s="162"/>
      <c r="AE141" s="162"/>
      <c r="AF141" s="162"/>
      <c r="AG141" s="162"/>
      <c r="AH141" s="162"/>
      <c r="AI141" s="162"/>
      <c r="AJ141" s="162"/>
      <c r="AK141" s="162"/>
      <c r="AL141" s="162"/>
      <c r="AM141" s="1286"/>
      <c r="AN141" s="1286"/>
      <c r="AO141" s="1286"/>
      <c r="AP141" s="1286"/>
      <c r="AQ141" s="1286"/>
      <c r="AR141" s="1290"/>
      <c r="AS141" s="1286"/>
      <c r="AT141" s="1286"/>
      <c r="AU141" s="1286"/>
      <c r="AV141" s="1286"/>
      <c r="AW141" s="1286"/>
      <c r="AX141" s="1286"/>
      <c r="AY141" s="1286"/>
      <c r="AZ141" s="1286"/>
      <c r="BA141" s="1286"/>
      <c r="BB141" s="1286"/>
      <c r="BC141" s="1286"/>
      <c r="BD141" s="1286"/>
      <c r="BE141" s="162"/>
      <c r="BF141" s="162"/>
      <c r="BG141" s="162"/>
      <c r="BH141" s="162"/>
      <c r="BI141" s="162"/>
      <c r="BJ141" s="162"/>
      <c r="BK141" s="162"/>
      <c r="BL141" s="162"/>
      <c r="BM141" s="162"/>
      <c r="BN141" s="162"/>
      <c r="BO141" s="162"/>
      <c r="BP141" s="162"/>
      <c r="BQ141" s="162"/>
      <c r="BR141" s="162"/>
    </row>
    <row r="142" spans="1:70" x14ac:dyDescent="0.2">
      <c r="A142" s="162"/>
      <c r="B142" s="162"/>
      <c r="C142" s="162"/>
      <c r="D142" s="162"/>
      <c r="G142" s="162"/>
      <c r="H142" s="162"/>
      <c r="I142" s="162"/>
      <c r="J142" s="162"/>
      <c r="K142" s="162"/>
      <c r="L142" s="162"/>
      <c r="M142" s="162"/>
      <c r="N142" s="162"/>
      <c r="O142" s="162"/>
      <c r="P142" s="162"/>
      <c r="Q142" s="162"/>
      <c r="R142" s="162"/>
      <c r="S142" s="162"/>
      <c r="T142" s="162"/>
      <c r="U142" s="162"/>
      <c r="V142" s="162"/>
      <c r="W142" s="162"/>
      <c r="X142" s="162"/>
      <c r="Y142" s="162"/>
      <c r="Z142" s="162"/>
      <c r="AA142" s="162"/>
      <c r="AB142" s="162"/>
      <c r="AC142" s="162"/>
      <c r="AD142" s="162"/>
      <c r="AE142" s="162"/>
      <c r="AF142" s="162"/>
      <c r="AG142" s="162"/>
      <c r="AH142" s="162"/>
      <c r="AI142" s="162"/>
      <c r="AJ142" s="162"/>
      <c r="AK142" s="162"/>
      <c r="AL142" s="162"/>
      <c r="AM142" s="1286"/>
      <c r="AN142" s="1286"/>
      <c r="AO142" s="1286"/>
      <c r="AP142" s="1286"/>
      <c r="AQ142" s="1286"/>
      <c r="AR142" s="1290"/>
      <c r="AS142" s="1286"/>
      <c r="AT142" s="1286"/>
      <c r="AU142" s="1286"/>
      <c r="AV142" s="1286"/>
      <c r="AW142" s="1286"/>
      <c r="AX142" s="1286"/>
      <c r="AY142" s="1286"/>
      <c r="AZ142" s="1286"/>
      <c r="BA142" s="1286"/>
      <c r="BB142" s="1286"/>
      <c r="BC142" s="1286"/>
      <c r="BD142" s="1286"/>
      <c r="BE142" s="162"/>
      <c r="BF142" s="162"/>
      <c r="BG142" s="162"/>
      <c r="BH142" s="162"/>
      <c r="BI142" s="162"/>
      <c r="BJ142" s="162"/>
      <c r="BK142" s="162"/>
      <c r="BL142" s="162"/>
      <c r="BM142" s="162"/>
      <c r="BN142" s="162"/>
      <c r="BO142" s="162"/>
      <c r="BP142" s="162"/>
      <c r="BQ142" s="162"/>
      <c r="BR142" s="162"/>
    </row>
    <row r="143" spans="1:70" x14ac:dyDescent="0.2">
      <c r="A143" s="162"/>
      <c r="B143" s="162"/>
      <c r="C143" s="162"/>
      <c r="D143" s="162"/>
      <c r="G143" s="162"/>
      <c r="H143" s="162"/>
      <c r="I143" s="162"/>
      <c r="J143" s="162"/>
      <c r="K143" s="162"/>
      <c r="L143" s="162"/>
      <c r="M143" s="162"/>
      <c r="N143" s="162"/>
      <c r="O143" s="162"/>
      <c r="P143" s="162"/>
      <c r="Q143" s="162"/>
      <c r="R143" s="162"/>
      <c r="S143" s="162"/>
      <c r="T143" s="162"/>
      <c r="U143" s="162"/>
      <c r="V143" s="162"/>
      <c r="W143" s="162"/>
      <c r="X143" s="162"/>
      <c r="Y143" s="162"/>
      <c r="Z143" s="162"/>
      <c r="AA143" s="162"/>
      <c r="AB143" s="162"/>
      <c r="AC143" s="162"/>
      <c r="AD143" s="162"/>
      <c r="AE143" s="162"/>
      <c r="AF143" s="162"/>
      <c r="AG143" s="162"/>
      <c r="AH143" s="162"/>
      <c r="AI143" s="162"/>
      <c r="AJ143" s="162"/>
      <c r="AK143" s="162"/>
      <c r="AL143" s="162"/>
      <c r="AM143" s="1286"/>
      <c r="AN143" s="1286"/>
      <c r="AO143" s="1286"/>
      <c r="AP143" s="1286"/>
      <c r="AQ143" s="1286"/>
      <c r="AR143" s="1290"/>
      <c r="AS143" s="1286"/>
      <c r="AT143" s="1286"/>
      <c r="AU143" s="1286"/>
      <c r="AV143" s="1286"/>
      <c r="AW143" s="1286"/>
      <c r="AX143" s="1286"/>
      <c r="AY143" s="1286"/>
      <c r="AZ143" s="1286"/>
      <c r="BA143" s="1286"/>
      <c r="BB143" s="1286"/>
      <c r="BC143" s="1286"/>
      <c r="BD143" s="1286"/>
      <c r="BE143" s="162"/>
      <c r="BF143" s="162"/>
      <c r="BG143" s="162"/>
      <c r="BH143" s="162"/>
      <c r="BI143" s="162"/>
      <c r="BJ143" s="162"/>
      <c r="BK143" s="162"/>
      <c r="BL143" s="162"/>
      <c r="BM143" s="162"/>
      <c r="BN143" s="162"/>
      <c r="BO143" s="162"/>
      <c r="BP143" s="162"/>
      <c r="BQ143" s="162"/>
      <c r="BR143" s="162"/>
    </row>
    <row r="144" spans="1:70" x14ac:dyDescent="0.2">
      <c r="A144" s="162"/>
      <c r="B144" s="162"/>
      <c r="C144" s="162"/>
      <c r="D144" s="162"/>
      <c r="G144" s="162"/>
      <c r="H144" s="162"/>
      <c r="I144" s="162"/>
      <c r="J144" s="162"/>
      <c r="K144" s="162"/>
      <c r="L144" s="162"/>
      <c r="M144" s="162"/>
      <c r="N144" s="162"/>
      <c r="O144" s="162"/>
      <c r="P144" s="162"/>
      <c r="Q144" s="162"/>
      <c r="R144" s="162"/>
      <c r="S144" s="162"/>
      <c r="T144" s="162"/>
      <c r="U144" s="162"/>
      <c r="V144" s="162"/>
      <c r="W144" s="162"/>
      <c r="X144" s="162"/>
      <c r="Y144" s="162"/>
      <c r="Z144" s="162"/>
      <c r="AA144" s="162"/>
      <c r="AB144" s="162"/>
      <c r="AC144" s="162"/>
      <c r="AD144" s="162"/>
      <c r="AE144" s="162"/>
      <c r="AF144" s="162"/>
      <c r="AG144" s="162"/>
      <c r="AH144" s="162"/>
      <c r="AI144" s="162"/>
      <c r="AJ144" s="162"/>
      <c r="AK144" s="162"/>
      <c r="AL144" s="162"/>
      <c r="AM144" s="1286"/>
      <c r="AN144" s="1286"/>
      <c r="AO144" s="1286"/>
      <c r="AP144" s="1286"/>
      <c r="AQ144" s="1286"/>
      <c r="AR144" s="1290"/>
      <c r="AS144" s="1286"/>
      <c r="AT144" s="1286"/>
      <c r="AU144" s="1286"/>
      <c r="AV144" s="1286"/>
      <c r="AW144" s="1286"/>
      <c r="AX144" s="1286"/>
      <c r="AY144" s="1286"/>
      <c r="AZ144" s="1286"/>
      <c r="BA144" s="1286"/>
      <c r="BB144" s="1286"/>
      <c r="BC144" s="1286"/>
      <c r="BD144" s="1286"/>
      <c r="BE144" s="162"/>
      <c r="BF144" s="162"/>
      <c r="BG144" s="162"/>
      <c r="BH144" s="162"/>
      <c r="BI144" s="162"/>
      <c r="BJ144" s="162"/>
      <c r="BK144" s="162"/>
      <c r="BL144" s="162"/>
      <c r="BM144" s="162"/>
      <c r="BN144" s="162"/>
      <c r="BO144" s="162"/>
      <c r="BP144" s="162"/>
      <c r="BQ144" s="162"/>
      <c r="BR144" s="162"/>
    </row>
    <row r="145" spans="1:70" x14ac:dyDescent="0.2">
      <c r="A145" s="162"/>
      <c r="B145" s="162"/>
      <c r="C145" s="162"/>
      <c r="D145" s="162"/>
      <c r="G145" s="162"/>
      <c r="H145" s="162"/>
      <c r="I145" s="162"/>
      <c r="J145" s="162"/>
      <c r="K145" s="162"/>
      <c r="L145" s="162"/>
      <c r="M145" s="162"/>
      <c r="N145" s="162"/>
      <c r="O145" s="162"/>
      <c r="P145" s="162"/>
      <c r="Q145" s="162"/>
      <c r="R145" s="162"/>
      <c r="S145" s="162"/>
      <c r="T145" s="162"/>
      <c r="U145" s="162"/>
      <c r="V145" s="162"/>
      <c r="W145" s="162"/>
      <c r="X145" s="162"/>
      <c r="Y145" s="162"/>
      <c r="Z145" s="162"/>
      <c r="AA145" s="162"/>
      <c r="AB145" s="162"/>
      <c r="AC145" s="162"/>
      <c r="AD145" s="162"/>
      <c r="AE145" s="162"/>
      <c r="AF145" s="162"/>
      <c r="AG145" s="162"/>
      <c r="AH145" s="162"/>
      <c r="AI145" s="162"/>
      <c r="AJ145" s="162"/>
      <c r="AK145" s="162"/>
      <c r="AL145" s="162"/>
      <c r="AM145" s="1286"/>
      <c r="AN145" s="1286"/>
      <c r="AO145" s="1286"/>
      <c r="AP145" s="1286"/>
      <c r="AQ145" s="1286"/>
      <c r="AR145" s="1290"/>
      <c r="AS145" s="1286"/>
      <c r="AT145" s="1286"/>
      <c r="AU145" s="1286"/>
      <c r="AV145" s="1286"/>
      <c r="AW145" s="1286"/>
      <c r="AX145" s="1286"/>
      <c r="AY145" s="1286"/>
      <c r="AZ145" s="1286"/>
      <c r="BA145" s="1286"/>
      <c r="BB145" s="1286"/>
      <c r="BC145" s="1286"/>
      <c r="BD145" s="1286"/>
      <c r="BE145" s="162"/>
      <c r="BF145" s="162"/>
      <c r="BG145" s="162"/>
      <c r="BH145" s="162"/>
      <c r="BI145" s="162"/>
      <c r="BJ145" s="162"/>
      <c r="BK145" s="162"/>
      <c r="BL145" s="162"/>
      <c r="BM145" s="162"/>
      <c r="BN145" s="162"/>
      <c r="BO145" s="162"/>
      <c r="BP145" s="162"/>
      <c r="BQ145" s="162"/>
      <c r="BR145" s="162"/>
    </row>
    <row r="146" spans="1:70" x14ac:dyDescent="0.2">
      <c r="A146" s="162"/>
      <c r="B146" s="162"/>
      <c r="C146" s="162"/>
      <c r="D146" s="162"/>
      <c r="G146" s="162"/>
      <c r="H146" s="162"/>
      <c r="I146" s="162"/>
      <c r="J146" s="162"/>
      <c r="K146" s="162"/>
      <c r="L146" s="162"/>
      <c r="M146" s="162"/>
      <c r="N146" s="162"/>
      <c r="O146" s="162"/>
      <c r="P146" s="162"/>
      <c r="Q146" s="162"/>
      <c r="R146" s="162"/>
      <c r="S146" s="162"/>
      <c r="T146" s="162"/>
      <c r="U146" s="162"/>
      <c r="V146" s="162"/>
      <c r="W146" s="162"/>
      <c r="X146" s="162"/>
      <c r="Y146" s="162"/>
      <c r="Z146" s="162"/>
      <c r="AA146" s="162"/>
      <c r="AB146" s="162"/>
      <c r="AC146" s="162"/>
      <c r="AD146" s="162"/>
      <c r="AE146" s="162"/>
      <c r="AF146" s="162"/>
      <c r="AG146" s="162"/>
      <c r="AH146" s="162"/>
      <c r="AI146" s="162"/>
      <c r="AJ146" s="162"/>
      <c r="AK146" s="162"/>
      <c r="AL146" s="162"/>
      <c r="AM146" s="1286"/>
      <c r="AN146" s="1286"/>
      <c r="AO146" s="1286"/>
      <c r="AP146" s="1286"/>
      <c r="AQ146" s="1286"/>
      <c r="AR146" s="1290"/>
      <c r="AS146" s="1286"/>
      <c r="AT146" s="1286"/>
      <c r="AU146" s="1286"/>
      <c r="AV146" s="1286"/>
      <c r="AW146" s="1286"/>
      <c r="AX146" s="1286"/>
      <c r="AY146" s="1286"/>
      <c r="AZ146" s="1286"/>
      <c r="BA146" s="1286"/>
      <c r="BB146" s="1286"/>
      <c r="BC146" s="1286"/>
      <c r="BD146" s="1286"/>
      <c r="BE146" s="162"/>
      <c r="BF146" s="162"/>
      <c r="BG146" s="162"/>
      <c r="BH146" s="162"/>
      <c r="BI146" s="162"/>
      <c r="BJ146" s="162"/>
      <c r="BK146" s="162"/>
      <c r="BL146" s="162"/>
      <c r="BM146" s="162"/>
      <c r="BN146" s="162"/>
      <c r="BO146" s="162"/>
      <c r="BP146" s="162"/>
      <c r="BQ146" s="162"/>
      <c r="BR146" s="162"/>
    </row>
    <row r="147" spans="1:70" x14ac:dyDescent="0.2">
      <c r="A147" s="162"/>
      <c r="B147" s="162"/>
      <c r="C147" s="162"/>
      <c r="D147" s="162"/>
      <c r="G147" s="162"/>
      <c r="H147" s="162"/>
      <c r="I147" s="162"/>
      <c r="J147" s="162"/>
      <c r="K147" s="162"/>
      <c r="L147" s="162"/>
      <c r="M147" s="162"/>
      <c r="N147" s="162"/>
      <c r="O147" s="162"/>
      <c r="P147" s="162"/>
      <c r="R147" s="162"/>
      <c r="S147" s="162"/>
      <c r="T147" s="162"/>
      <c r="U147" s="162"/>
      <c r="V147" s="162"/>
      <c r="W147" s="162"/>
      <c r="X147" s="162"/>
      <c r="Y147" s="162"/>
      <c r="Z147" s="162"/>
      <c r="AA147" s="162"/>
      <c r="AB147" s="162"/>
      <c r="AC147" s="162"/>
      <c r="AD147" s="162"/>
      <c r="AE147" s="162"/>
      <c r="AF147" s="162"/>
      <c r="AG147" s="162"/>
      <c r="AH147" s="162"/>
      <c r="AI147" s="162"/>
      <c r="AJ147" s="162"/>
      <c r="AK147" s="162"/>
      <c r="AL147" s="162"/>
      <c r="AM147" s="1286"/>
      <c r="AN147" s="1286"/>
      <c r="AO147" s="1286"/>
      <c r="AP147" s="1286"/>
      <c r="AQ147" s="1286"/>
      <c r="AR147" s="1290"/>
      <c r="AS147" s="1286"/>
      <c r="AT147" s="1286"/>
      <c r="AU147" s="1286"/>
      <c r="AV147" s="1286"/>
      <c r="AW147" s="1286"/>
      <c r="AX147" s="1286"/>
      <c r="AY147" s="1286"/>
      <c r="AZ147" s="1286"/>
      <c r="BA147" s="1286"/>
      <c r="BB147" s="1286"/>
      <c r="BC147" s="1286"/>
      <c r="BD147" s="1286"/>
      <c r="BE147" s="162"/>
      <c r="BF147" s="162"/>
      <c r="BG147" s="162"/>
      <c r="BH147" s="162"/>
      <c r="BI147" s="162"/>
      <c r="BJ147" s="162"/>
      <c r="BK147" s="162"/>
      <c r="BL147" s="162"/>
      <c r="BM147" s="162"/>
      <c r="BN147" s="162"/>
      <c r="BO147" s="162"/>
      <c r="BP147" s="162"/>
      <c r="BQ147" s="162"/>
      <c r="BR147" s="162"/>
    </row>
    <row r="148" spans="1:70" x14ac:dyDescent="0.2">
      <c r="A148" s="162"/>
      <c r="B148" s="162"/>
      <c r="C148" s="162"/>
      <c r="D148" s="162"/>
      <c r="G148" s="162"/>
      <c r="H148" s="162"/>
      <c r="I148" s="162"/>
      <c r="J148" s="162"/>
      <c r="K148" s="162"/>
      <c r="L148" s="162"/>
      <c r="M148" s="162"/>
      <c r="N148" s="162"/>
      <c r="O148" s="162"/>
      <c r="P148" s="162"/>
      <c r="R148" s="162"/>
      <c r="S148" s="162"/>
      <c r="T148" s="162"/>
      <c r="U148" s="162"/>
      <c r="V148" s="162"/>
      <c r="W148" s="162"/>
      <c r="X148" s="162"/>
      <c r="Y148" s="162"/>
      <c r="Z148" s="162"/>
      <c r="AA148" s="162"/>
      <c r="AB148" s="162"/>
      <c r="AC148" s="162"/>
      <c r="AD148" s="162"/>
      <c r="AE148" s="162"/>
      <c r="AF148" s="162"/>
      <c r="AG148" s="162"/>
      <c r="AH148" s="162"/>
      <c r="AI148" s="162"/>
      <c r="AJ148" s="162"/>
      <c r="AK148" s="162"/>
      <c r="AL148" s="162"/>
      <c r="AM148" s="1286"/>
      <c r="AN148" s="1286"/>
      <c r="AO148" s="1286"/>
      <c r="AP148" s="1286"/>
      <c r="AQ148" s="1286"/>
      <c r="AR148" s="1290"/>
      <c r="AS148" s="1286"/>
      <c r="AT148" s="1286"/>
      <c r="AU148" s="1286"/>
      <c r="AV148" s="1286"/>
      <c r="AW148" s="1286"/>
      <c r="AX148" s="1286"/>
      <c r="AY148" s="1286"/>
      <c r="AZ148" s="1286"/>
      <c r="BA148" s="1286"/>
      <c r="BB148" s="1286"/>
      <c r="BC148" s="1286"/>
      <c r="BD148" s="1286"/>
      <c r="BE148" s="162"/>
      <c r="BF148" s="162"/>
      <c r="BG148" s="162"/>
      <c r="BH148" s="162"/>
      <c r="BI148" s="162"/>
      <c r="BJ148" s="162"/>
      <c r="BK148" s="162"/>
      <c r="BL148" s="162"/>
      <c r="BM148" s="162"/>
      <c r="BN148" s="162"/>
      <c r="BO148" s="162"/>
      <c r="BP148" s="162"/>
      <c r="BQ148" s="162"/>
      <c r="BR148" s="162"/>
    </row>
  </sheetData>
  <sheetProtection algorithmName="SHA-512" hashValue="nFn2GQB1kCPYaqt8h5zfP/7NTgguJXytdMjWICm8XrcXI6DYqtfQjSYwK4Uka+wzWMU1/BfXNwXQMAt7WboaLQ==" saltValue="bdiTbLR4dJUoHBgMN183Wg==" spinCount="100000" sheet="1" formatCells="0" formatColumns="0" formatRows="0" insertColumns="0" insertRows="0"/>
  <dataConsolidate/>
  <mergeCells count="8">
    <mergeCell ref="Z3:AC3"/>
    <mergeCell ref="AD3:AG3"/>
    <mergeCell ref="V2:AG2"/>
    <mergeCell ref="E19:F19"/>
    <mergeCell ref="G2:J2"/>
    <mergeCell ref="L2:P2"/>
    <mergeCell ref="E3:F3"/>
    <mergeCell ref="V3:Y3"/>
  </mergeCells>
  <phoneticPr fontId="0" type="noConversion"/>
  <conditionalFormatting sqref="T24">
    <cfRule type="cellIs" dxfId="477" priority="1" operator="greaterThan">
      <formula>0.8</formula>
    </cfRule>
  </conditionalFormatting>
  <dataValidations xWindow="580" yWindow="549" count="5">
    <dataValidation type="decimal" operator="lessThanOrEqual" allowBlank="1" showInputMessage="1" showErrorMessage="1" errorTitle="Überschreitungsreserve" error="Der eingetragene Wert ist nicht zulässig._x000a_Eingabehinweis beachten!" promptTitle="ÜBERSCHREITUNGSRESERVE" prompt="Die Überschreitungsreserve ist mit 8% der Fertigungskosten begrenzt. Bei Vorliegen eines Completion-Bonds werden ausnahmsweise 10% anerkannt._x000a__x000a_5% Überschreitungsreserve sind verpflichtend, außer es handelt sich um ein vom BMWKMS gefördertes Projekt!" sqref="C21" xr:uid="{00000000-0002-0000-0200-000001000000}">
      <formula1>0.1</formula1>
    </dataValidation>
    <dataValidation type="whole" operator="lessThan" allowBlank="1" showInputMessage="1" showErrorMessage="1" sqref="C38" xr:uid="{00000000-0002-0000-0200-000002000000}">
      <formula1>-99999</formula1>
    </dataValidation>
    <dataValidation type="whole" operator="lessThan" allowBlank="1" showInputMessage="1" showErrorMessage="1" sqref="H1" xr:uid="{00000000-0002-0000-0200-000003000000}">
      <formula1>-999</formula1>
    </dataValidation>
    <dataValidation operator="lessThan" allowBlank="1" showInputMessage="1" showErrorMessage="1" sqref="AJ1:AK16 AJ18:AK21 AJ26:AK1048576 AJ23:AK24 AL1:BG1048576" xr:uid="{377C9266-7610-40B2-8FCC-27118389A1BA}"/>
    <dataValidation allowBlank="1" showInputMessage="1" showErrorMessage="1" promptTitle="ACHTUNG" prompt="Mittelzuflüsse sind als positiver Betrag, Mittelabflüsse mit negativem Vorzeichen einzugeben. Bei den Ko-Partnern erfolgt die Eingabe in umgekehrter Weise (SALDO von Zu- und Abflüssen = NULL)." sqref="D23" xr:uid="{1C3EA6FC-33F7-41D7-8359-E4242B822018}"/>
  </dataValidations>
  <printOptions horizontalCentered="1"/>
  <pageMargins left="0.39370078740157483" right="0.39370078740157483" top="1.1811023622047245" bottom="0.39370078740157483" header="0.51181102362204722" footer="0.51181102362204722"/>
  <pageSetup paperSize="9" scale="66" orientation="landscape" blackAndWhite="1" horizontalDpi="4294967292" r:id="rId1"/>
  <headerFooter scaleWithDoc="0">
    <oddHeader>&amp;R&amp;"Verdana,Standard"&amp;10&amp;F</oddHeader>
    <oddFooter>&amp;L&amp;"Verdana,Standard"&amp;8Ausdruck vom &amp;D&amp;R&amp;"Verdana,Standard"&amp;8Seite &amp;P von &amp;N</oddFooter>
  </headerFooter>
  <ignoredErrors>
    <ignoredError sqref="A1 AD3 B5:B22 V3 Z3" unlockedFormula="1"/>
    <ignoredError sqref="AI22:AJ22 AI17 O17 O22" formula="1"/>
    <ignoredError sqref="T24" evalError="1"/>
  </ignoredError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2">
    <tabColor indexed="44"/>
    <pageSetUpPr fitToPage="1"/>
  </sheetPr>
  <dimension ref="A1:BG152"/>
  <sheetViews>
    <sheetView showZeros="0" zoomScaleNormal="100" workbookViewId="0">
      <pane ySplit="2" topLeftCell="A3" activePane="bottomLeft" state="frozen"/>
      <selection pane="bottomLeft" activeCell="C6" sqref="C6"/>
    </sheetView>
  </sheetViews>
  <sheetFormatPr baseColWidth="10" defaultColWidth="9.625" defaultRowHeight="12.75" outlineLevelRow="1" outlineLevelCol="1" x14ac:dyDescent="0.2"/>
  <cols>
    <col min="1" max="1" width="27" style="66" customWidth="1"/>
    <col min="2" max="2" width="15" style="66" customWidth="1"/>
    <col min="3" max="3" width="11.375" style="66" customWidth="1"/>
    <col min="4" max="4" width="13.125" style="66" bestFit="1" customWidth="1"/>
    <col min="5" max="5" width="11" style="66" bestFit="1" customWidth="1"/>
    <col min="6" max="7" width="10.625" style="66" customWidth="1" outlineLevel="1"/>
    <col min="8" max="8" width="2.625" style="66" customWidth="1"/>
    <col min="9" max="9" width="14.375" style="79" hidden="1" customWidth="1" outlineLevel="1"/>
    <col min="10" max="10" width="5" style="79" hidden="1" customWidth="1" outlineLevel="1"/>
    <col min="11" max="11" width="14.375" style="79" hidden="1" customWidth="1" outlineLevel="1"/>
    <col min="12" max="12" width="5.625" style="79" hidden="1" customWidth="1" outlineLevel="1"/>
    <col min="13" max="13" width="3.125" style="66" customWidth="1" collapsed="1"/>
    <col min="14" max="14" width="3.125" style="66" customWidth="1"/>
    <col min="15" max="15" width="11.125" style="66" hidden="1" customWidth="1" outlineLevel="1"/>
    <col min="16" max="16" width="12.625" style="66" hidden="1" customWidth="1" outlineLevel="1"/>
    <col min="17" max="17" width="13.125" style="66" hidden="1" customWidth="1" outlineLevel="1"/>
    <col min="18" max="18" width="14.25" style="66" hidden="1" customWidth="1" outlineLevel="1"/>
    <col min="19" max="19" width="9.625" style="66" hidden="1" customWidth="1" outlineLevel="1"/>
    <col min="20" max="20" width="3.125" style="66" hidden="1" customWidth="1" outlineLevel="1"/>
    <col min="21" max="21" width="13.125" style="66" customWidth="1" collapsed="1"/>
    <col min="22" max="22" width="9.625" style="89" hidden="1" customWidth="1"/>
    <col min="23" max="24" width="9.625" style="66" hidden="1" customWidth="1"/>
    <col min="25" max="25" width="9.625" style="89" hidden="1" customWidth="1"/>
    <col min="26" max="27" width="9.625" style="66" hidden="1" customWidth="1"/>
    <col min="28" max="29" width="9.625" style="66" customWidth="1"/>
    <col min="30" max="30" width="11.25" style="66" bestFit="1" customWidth="1"/>
    <col min="31" max="31" width="9.625" style="66"/>
    <col min="32" max="32" width="10.75" style="66" bestFit="1" customWidth="1"/>
    <col min="33" max="33" width="9.625" style="66"/>
    <col min="34" max="34" width="10.75" style="66" bestFit="1" customWidth="1"/>
    <col min="35" max="35" width="9.625" style="66"/>
    <col min="36" max="36" width="10.75" style="66" bestFit="1" customWidth="1"/>
    <col min="37" max="37" width="12.375" style="66" bestFit="1" customWidth="1"/>
    <col min="38" max="16384" width="9.625" style="66"/>
  </cols>
  <sheetData>
    <row r="1" spans="1:59" s="65" customFormat="1" ht="21" customHeight="1" x14ac:dyDescent="0.2">
      <c r="A1" s="222" t="str">
        <f>Stammblatt!A1</f>
        <v>Test</v>
      </c>
      <c r="B1" s="223"/>
      <c r="C1" s="224"/>
      <c r="D1" s="224"/>
      <c r="E1" s="772" t="str">
        <f>Stammblatt!F4</f>
        <v>Version 26.3</v>
      </c>
      <c r="F1" s="1397" t="s">
        <v>1195</v>
      </c>
      <c r="G1" s="1398"/>
      <c r="H1" s="225"/>
      <c r="I1" s="229" t="s">
        <v>246</v>
      </c>
      <c r="J1" s="226"/>
      <c r="K1" s="229" t="s">
        <v>261</v>
      </c>
      <c r="L1" s="226"/>
      <c r="M1" s="239"/>
      <c r="N1" s="239"/>
      <c r="O1" s="632"/>
      <c r="P1" s="632"/>
      <c r="Q1" s="1399" t="str">
        <f>IF(Stammblatt!$L$4=1,"A b s c h l u s s","F i n a l")</f>
        <v>A b s c h l u s s</v>
      </c>
      <c r="R1" s="1399"/>
      <c r="S1" s="669"/>
      <c r="T1" s="669"/>
      <c r="U1" s="662"/>
      <c r="V1" s="632"/>
      <c r="W1" s="632"/>
      <c r="X1" s="632"/>
      <c r="Y1" s="632"/>
      <c r="Z1" s="632"/>
      <c r="AA1" s="632"/>
      <c r="AB1" s="255"/>
      <c r="AC1" s="255"/>
      <c r="AD1" s="255"/>
      <c r="AE1" s="255"/>
      <c r="AF1" s="255"/>
      <c r="AG1" s="255"/>
      <c r="AH1" s="255"/>
      <c r="AI1" s="255"/>
      <c r="AJ1" s="255"/>
      <c r="AK1" s="255"/>
      <c r="AL1" s="239"/>
      <c r="AM1" s="632"/>
      <c r="AN1" s="632"/>
      <c r="AO1" s="632"/>
      <c r="AP1" s="632"/>
      <c r="AQ1" s="632"/>
      <c r="AR1" s="632"/>
      <c r="AS1" s="632"/>
      <c r="AT1" s="632"/>
      <c r="AU1" s="632"/>
      <c r="AV1" s="632"/>
      <c r="AW1" s="632"/>
      <c r="AX1" s="632"/>
      <c r="AY1" s="632"/>
      <c r="AZ1" s="632"/>
      <c r="BA1" s="632"/>
      <c r="BB1" s="632"/>
      <c r="BC1" s="632"/>
      <c r="BD1" s="632"/>
      <c r="BE1" s="632"/>
      <c r="BF1" s="632"/>
      <c r="BG1" s="632"/>
    </row>
    <row r="2" spans="1:59" s="65" customFormat="1" ht="27" customHeight="1" x14ac:dyDescent="0.25">
      <c r="A2" s="675" t="str">
        <f>IF(Stammblatt!$L$4=1,V2,Y2)</f>
        <v>FINANZIERUNGSPLAN</v>
      </c>
      <c r="B2" s="227"/>
      <c r="C2" s="208"/>
      <c r="D2" s="228"/>
      <c r="E2" s="208"/>
      <c r="F2" s="1254" t="str">
        <f>IF(Stammblatt!$L$4=1,V5,Y5)</f>
        <v>Zusage-Datum</v>
      </c>
      <c r="G2" s="1254" t="str">
        <f>IF(Stammblatt!$L$4=1,V6,Y6)</f>
        <v>Antrags-datum</v>
      </c>
      <c r="H2" s="225"/>
      <c r="I2" s="232" t="s">
        <v>247</v>
      </c>
      <c r="J2" s="231" t="s">
        <v>248</v>
      </c>
      <c r="K2" s="232" t="s">
        <v>262</v>
      </c>
      <c r="L2" s="231" t="s">
        <v>248</v>
      </c>
      <c r="M2" s="239"/>
      <c r="N2" s="239"/>
      <c r="O2" s="632"/>
      <c r="P2" s="632"/>
      <c r="Q2" s="662" t="str">
        <f>IF(Stammblatt!$L$4=1,"FINANZIERUNG","FINANCING")</f>
        <v>FINANZIERUNG</v>
      </c>
      <c r="R2" s="662" t="str">
        <f>IF(Stammblatt!$L$4=1,"Abweichung","deviation")</f>
        <v>Abweichung</v>
      </c>
      <c r="S2" s="662"/>
      <c r="T2" s="662"/>
      <c r="U2" s="662"/>
      <c r="V2" s="632" t="s">
        <v>122</v>
      </c>
      <c r="W2" s="632"/>
      <c r="X2" s="632"/>
      <c r="Y2" s="632" t="s">
        <v>515</v>
      </c>
      <c r="Z2" s="632"/>
      <c r="AA2" s="632"/>
      <c r="AB2" s="255"/>
      <c r="AC2" s="255"/>
      <c r="AD2" s="255"/>
      <c r="AE2" s="255"/>
      <c r="AF2" s="255"/>
      <c r="AG2" s="255"/>
      <c r="AH2" s="255"/>
      <c r="AI2" s="255"/>
      <c r="AJ2" s="255"/>
      <c r="AK2" s="255"/>
      <c r="AL2" s="239"/>
      <c r="AM2" s="632"/>
      <c r="AN2" s="632"/>
      <c r="AO2" s="632"/>
      <c r="AP2" s="632"/>
      <c r="AQ2" s="632"/>
      <c r="AR2" s="632"/>
      <c r="AS2" s="632"/>
      <c r="AT2" s="632"/>
      <c r="AU2" s="632"/>
      <c r="AV2" s="632"/>
      <c r="AW2" s="632"/>
      <c r="AX2" s="632"/>
      <c r="AY2" s="632"/>
      <c r="AZ2" s="632"/>
      <c r="BA2" s="632"/>
      <c r="BB2" s="632"/>
      <c r="BC2" s="632"/>
      <c r="BD2" s="632"/>
      <c r="BE2" s="632"/>
      <c r="BF2" s="632"/>
      <c r="BG2" s="632"/>
    </row>
    <row r="3" spans="1:59" s="65" customFormat="1" ht="15" customHeight="1" x14ac:dyDescent="0.15">
      <c r="A3" s="230"/>
      <c r="B3" s="230"/>
      <c r="C3" s="230"/>
      <c r="D3" s="230"/>
      <c r="E3" s="230"/>
      <c r="F3" s="637"/>
      <c r="G3" s="637"/>
      <c r="H3" s="225"/>
      <c r="I3" s="232"/>
      <c r="J3" s="231"/>
      <c r="K3" s="232"/>
      <c r="L3" s="631"/>
      <c r="M3" s="239"/>
      <c r="N3" s="239"/>
      <c r="O3" s="632"/>
      <c r="P3" s="632"/>
      <c r="Q3" s="632"/>
      <c r="R3" s="632"/>
      <c r="S3" s="632"/>
      <c r="T3" s="632"/>
      <c r="U3" s="846" t="s">
        <v>1175</v>
      </c>
      <c r="V3" s="632"/>
      <c r="W3" s="632"/>
      <c r="X3" s="632"/>
      <c r="Y3" s="632"/>
      <c r="Z3" s="632"/>
      <c r="AA3" s="632"/>
      <c r="AB3" s="255"/>
      <c r="AC3" s="255"/>
      <c r="AD3" s="255"/>
      <c r="AE3" s="255"/>
      <c r="AF3" s="255"/>
      <c r="AG3" s="255"/>
      <c r="AH3" s="255"/>
      <c r="AI3" s="1279"/>
      <c r="AJ3" s="255"/>
      <c r="AK3" s="255"/>
      <c r="AL3" s="239"/>
      <c r="AM3" s="632"/>
      <c r="AN3" s="632"/>
      <c r="AO3" s="632"/>
      <c r="AP3" s="632"/>
      <c r="AQ3" s="632"/>
      <c r="AR3" s="632"/>
      <c r="AS3" s="632"/>
      <c r="AT3" s="632"/>
      <c r="AU3" s="632"/>
      <c r="AV3" s="632"/>
      <c r="AW3" s="632"/>
      <c r="AX3" s="632"/>
      <c r="AY3" s="632"/>
      <c r="AZ3" s="632"/>
      <c r="BA3" s="632"/>
      <c r="BB3" s="632"/>
      <c r="BC3" s="632"/>
      <c r="BD3" s="632"/>
      <c r="BE3" s="632"/>
      <c r="BF3" s="632"/>
      <c r="BG3" s="632"/>
    </row>
    <row r="4" spans="1:59" ht="21" customHeight="1" x14ac:dyDescent="0.2">
      <c r="A4" s="113" t="str">
        <f>IF(Stammblatt!L4=1,Finanzierungsplan!V4 &amp; Stammblatt!B11,Finanzierungsplan!Y4 &amp; Stammblatt!B11)</f>
        <v xml:space="preserve">Finanzierung </v>
      </c>
      <c r="B4" s="74"/>
      <c r="C4" s="67"/>
      <c r="D4" s="114">
        <f ca="1">FIN</f>
        <v>0</v>
      </c>
      <c r="E4" s="115">
        <f ca="1">IF(D4=0,0,D4/D67)</f>
        <v>0</v>
      </c>
      <c r="F4" s="233"/>
      <c r="G4" s="234"/>
      <c r="H4" s="235"/>
      <c r="I4" s="1271">
        <f ca="1">SUM(I5:I31)</f>
        <v>0</v>
      </c>
      <c r="J4" s="1272">
        <f ca="1">IF($I$67&lt;1,0,I4/$I$67)</f>
        <v>0</v>
      </c>
      <c r="K4" s="1271">
        <f>SUM(K5:K31)</f>
        <v>0</v>
      </c>
      <c r="L4" s="1273">
        <f>IF($K$67=0,,K4/$K$67)</f>
        <v>0</v>
      </c>
      <c r="M4" s="239"/>
      <c r="N4" s="239"/>
      <c r="O4" s="632"/>
      <c r="P4" s="632"/>
      <c r="Q4" s="114">
        <f>Zusammenfassung!N25</f>
        <v>0</v>
      </c>
      <c r="R4" s="114">
        <f ca="1">Q4-D4</f>
        <v>0</v>
      </c>
      <c r="S4" s="115">
        <f>IF(Q4=0,0,Q4/$Q$67)</f>
        <v>0</v>
      </c>
      <c r="T4" s="632"/>
      <c r="U4" s="843" t="s">
        <v>1176</v>
      </c>
      <c r="V4" s="632" t="s">
        <v>894</v>
      </c>
      <c r="W4" s="632"/>
      <c r="X4" s="632"/>
      <c r="Y4" s="632" t="s">
        <v>895</v>
      </c>
      <c r="Z4" s="632"/>
      <c r="AA4" s="632"/>
      <c r="AB4" s="255"/>
      <c r="AC4" s="255"/>
      <c r="AD4" s="255"/>
      <c r="AE4" s="255"/>
      <c r="AF4" s="255"/>
      <c r="AG4" s="255"/>
      <c r="AH4" s="255"/>
      <c r="AI4" s="255"/>
      <c r="AJ4" s="255"/>
      <c r="AK4" s="255"/>
      <c r="AL4" s="239"/>
      <c r="AM4" s="632"/>
      <c r="AN4" s="632"/>
      <c r="AO4" s="632"/>
      <c r="AP4" s="632"/>
      <c r="AQ4" s="632"/>
      <c r="AR4" s="632"/>
      <c r="AS4" s="632"/>
      <c r="AT4" s="632"/>
      <c r="AU4" s="632"/>
      <c r="AV4" s="632"/>
      <c r="AW4" s="632"/>
      <c r="AX4" s="632"/>
      <c r="AY4" s="632"/>
      <c r="AZ4" s="632"/>
      <c r="BA4" s="632"/>
      <c r="BB4" s="632"/>
      <c r="BC4" s="632"/>
      <c r="BD4" s="632"/>
      <c r="BE4" s="632"/>
      <c r="BF4" s="632"/>
      <c r="BG4" s="632"/>
    </row>
    <row r="5" spans="1:59" ht="21" customHeight="1" thickBot="1" x14ac:dyDescent="0.25">
      <c r="A5" s="640" t="str">
        <f>IF(Stammblatt!$L$4=1,V8,Y8)</f>
        <v>Eigenanteil</v>
      </c>
      <c r="B5" s="282"/>
      <c r="C5" s="284"/>
      <c r="D5" s="667">
        <f ca="1">SUM(C6:C9)</f>
        <v>0</v>
      </c>
      <c r="E5" s="1261">
        <f ca="1">IF($D$4=0,0,D5/$D$4)</f>
        <v>0</v>
      </c>
      <c r="F5" s="236"/>
      <c r="G5" s="237"/>
      <c r="H5" s="235"/>
      <c r="I5" s="238"/>
      <c r="J5" s="239"/>
      <c r="K5" s="238"/>
      <c r="L5" s="239"/>
      <c r="M5" s="239"/>
      <c r="N5" s="239"/>
      <c r="O5" s="632"/>
      <c r="P5" s="632"/>
      <c r="Q5" s="667">
        <f>SUM(P6:P12)</f>
        <v>0</v>
      </c>
      <c r="R5" s="730">
        <f ca="1">Q5-D5</f>
        <v>0</v>
      </c>
      <c r="S5" s="1261"/>
      <c r="T5" s="632"/>
      <c r="U5" s="850">
        <f ca="1">'Kalkulation Herstellungskosten'!H243</f>
        <v>0</v>
      </c>
      <c r="V5" s="632" t="s">
        <v>1196</v>
      </c>
      <c r="W5" s="632"/>
      <c r="X5" s="632"/>
      <c r="Y5" s="632" t="s">
        <v>1198</v>
      </c>
      <c r="Z5" s="632"/>
      <c r="AA5" s="632"/>
      <c r="AB5" s="255"/>
      <c r="AC5" s="255"/>
      <c r="AD5" s="255"/>
      <c r="AE5" s="255"/>
      <c r="AF5" s="255"/>
      <c r="AG5" s="255"/>
      <c r="AH5" s="255"/>
      <c r="AI5" s="255"/>
      <c r="AJ5" s="255"/>
      <c r="AK5" s="255"/>
      <c r="AL5" s="239"/>
      <c r="AM5" s="632"/>
      <c r="AN5" s="632"/>
      <c r="AO5" s="632"/>
      <c r="AP5" s="632"/>
      <c r="AQ5" s="632"/>
      <c r="AR5" s="632"/>
      <c r="AS5" s="632"/>
      <c r="AT5" s="632"/>
      <c r="AU5" s="632"/>
      <c r="AV5" s="632"/>
      <c r="AW5" s="632"/>
      <c r="AX5" s="632"/>
      <c r="AY5" s="632"/>
      <c r="AZ5" s="632"/>
      <c r="BA5" s="632"/>
      <c r="BB5" s="632"/>
      <c r="BC5" s="632"/>
      <c r="BD5" s="632"/>
      <c r="BE5" s="632"/>
      <c r="BF5" s="632"/>
      <c r="BG5" s="632"/>
    </row>
    <row r="6" spans="1:59" ht="12.75" customHeight="1" thickBot="1" x14ac:dyDescent="0.25">
      <c r="A6" s="274" t="str">
        <f>IF(Stammblatt!$L$4=1,V9,Y9)</f>
        <v>Barmittel (2,5% v. HSTK)</v>
      </c>
      <c r="B6" s="283"/>
      <c r="C6" s="621">
        <f ca="1">ROUNDUP(D4*2.5%,-2)</f>
        <v>0</v>
      </c>
      <c r="D6" s="731"/>
      <c r="E6" s="286"/>
      <c r="F6" s="1023"/>
      <c r="G6" s="1022"/>
      <c r="H6" s="235"/>
      <c r="I6" s="238">
        <f ca="1">C6</f>
        <v>0</v>
      </c>
      <c r="J6" s="239"/>
      <c r="K6" s="238"/>
      <c r="L6" s="239"/>
      <c r="M6" s="239"/>
      <c r="N6" s="239"/>
      <c r="O6" s="632"/>
      <c r="P6" s="133"/>
      <c r="Q6" s="731"/>
      <c r="R6" s="731"/>
      <c r="S6" s="286"/>
      <c r="T6" s="632"/>
      <c r="U6" s="851">
        <f ca="1">D5-U5</f>
        <v>0</v>
      </c>
      <c r="V6" s="632" t="s">
        <v>1199</v>
      </c>
      <c r="W6" s="632"/>
      <c r="X6" s="632"/>
      <c r="Y6" s="632" t="s">
        <v>1197</v>
      </c>
      <c r="Z6" s="632"/>
      <c r="AA6" s="632"/>
      <c r="AB6" s="255"/>
      <c r="AC6" s="255"/>
      <c r="AD6" s="255"/>
      <c r="AE6" s="255"/>
      <c r="AF6" s="255"/>
      <c r="AG6" s="255"/>
      <c r="AH6" s="255"/>
      <c r="AI6" s="255"/>
      <c r="AJ6" s="255"/>
      <c r="AK6" s="255"/>
      <c r="AL6" s="239"/>
      <c r="AM6" s="632"/>
      <c r="AN6" s="632"/>
      <c r="AO6" s="632"/>
      <c r="AP6" s="632"/>
      <c r="AQ6" s="632"/>
      <c r="AR6" s="632"/>
      <c r="AS6" s="632"/>
      <c r="AT6" s="632"/>
      <c r="AU6" s="632"/>
      <c r="AV6" s="632"/>
      <c r="AW6" s="632"/>
      <c r="AX6" s="632"/>
      <c r="AY6" s="632"/>
      <c r="AZ6" s="632"/>
      <c r="BA6" s="632"/>
      <c r="BB6" s="632"/>
      <c r="BC6" s="632"/>
      <c r="BD6" s="632"/>
      <c r="BE6" s="632"/>
      <c r="BF6" s="632"/>
      <c r="BG6" s="632"/>
    </row>
    <row r="7" spans="1:59" ht="12.75" customHeight="1" x14ac:dyDescent="0.2">
      <c r="A7" s="274" t="str">
        <f>IF(Stammblatt!$L$4=1,V7,Y7)</f>
        <v>zusätzliche Barmittel, Darlehen etc.</v>
      </c>
      <c r="B7" s="283"/>
      <c r="C7" s="133"/>
      <c r="D7" s="731"/>
      <c r="E7" s="286"/>
      <c r="F7" s="1023"/>
      <c r="G7" s="1022"/>
      <c r="H7" s="235"/>
      <c r="I7" s="238"/>
      <c r="J7" s="239"/>
      <c r="K7" s="238"/>
      <c r="L7" s="239"/>
      <c r="M7" s="239"/>
      <c r="N7" s="239"/>
      <c r="O7" s="632"/>
      <c r="P7" s="133"/>
      <c r="Q7" s="731"/>
      <c r="R7" s="731"/>
      <c r="S7" s="286"/>
      <c r="T7" s="632"/>
      <c r="U7" s="1019"/>
      <c r="V7" s="632" t="s">
        <v>1184</v>
      </c>
      <c r="W7" s="632"/>
      <c r="X7" s="632"/>
      <c r="Y7" s="632" t="s">
        <v>1185</v>
      </c>
      <c r="Z7" s="632"/>
      <c r="AA7" s="632"/>
      <c r="AB7" s="255"/>
      <c r="AC7" s="255"/>
      <c r="AD7" s="255"/>
      <c r="AE7" s="255"/>
      <c r="AF7" s="255"/>
      <c r="AG7" s="255"/>
      <c r="AH7" s="255"/>
      <c r="AI7" s="255"/>
      <c r="AJ7" s="255"/>
      <c r="AK7" s="255"/>
      <c r="AL7" s="239"/>
      <c r="AM7" s="632"/>
      <c r="AN7" s="632"/>
      <c r="AO7" s="632"/>
      <c r="AP7" s="632"/>
      <c r="AQ7" s="632"/>
      <c r="AR7" s="632"/>
      <c r="AS7" s="632"/>
      <c r="AT7" s="632"/>
      <c r="AU7" s="632"/>
      <c r="AV7" s="632"/>
      <c r="AW7" s="632"/>
      <c r="AX7" s="632"/>
      <c r="AY7" s="632"/>
      <c r="AZ7" s="632"/>
      <c r="BA7" s="632"/>
      <c r="BB7" s="632"/>
      <c r="BC7" s="632"/>
      <c r="BD7" s="632"/>
      <c r="BE7" s="632"/>
      <c r="BF7" s="632"/>
      <c r="BG7" s="632"/>
    </row>
    <row r="8" spans="1:59" ht="12.75" customHeight="1" x14ac:dyDescent="0.2">
      <c r="A8" s="274" t="str">
        <f>IF(Stammblatt!$L$4=1,V10,Y10)</f>
        <v>bewertete Eigenleistungen</v>
      </c>
      <c r="B8" s="275"/>
      <c r="C8" s="133"/>
      <c r="D8" s="731"/>
      <c r="E8" s="286"/>
      <c r="F8" s="1023"/>
      <c r="G8" s="1022"/>
      <c r="H8" s="235"/>
      <c r="I8" s="238">
        <f>C8</f>
        <v>0</v>
      </c>
      <c r="J8" s="239"/>
      <c r="K8" s="238"/>
      <c r="L8" s="239"/>
      <c r="M8" s="239"/>
      <c r="N8" s="239"/>
      <c r="O8" s="632"/>
      <c r="P8" s="133"/>
      <c r="Q8" s="731"/>
      <c r="R8" s="731"/>
      <c r="S8" s="286"/>
      <c r="T8" s="632"/>
      <c r="U8" s="662"/>
      <c r="V8" s="632" t="s">
        <v>211</v>
      </c>
      <c r="W8" s="632"/>
      <c r="X8" s="632"/>
      <c r="Y8" s="632" t="s">
        <v>516</v>
      </c>
      <c r="Z8" s="632"/>
      <c r="AA8" s="632"/>
      <c r="AB8" s="255"/>
      <c r="AC8" s="255"/>
      <c r="AD8" s="255"/>
      <c r="AE8" s="255"/>
      <c r="AF8" s="255"/>
      <c r="AG8" s="255"/>
      <c r="AH8" s="1279"/>
      <c r="AI8" s="255"/>
      <c r="AJ8" s="255"/>
      <c r="AK8" s="255"/>
      <c r="AL8" s="239"/>
      <c r="AM8" s="632"/>
      <c r="AN8" s="632"/>
      <c r="AO8" s="632"/>
      <c r="AP8" s="632"/>
      <c r="AQ8" s="632"/>
      <c r="AR8" s="632"/>
      <c r="AS8" s="632"/>
      <c r="AT8" s="632"/>
      <c r="AU8" s="632"/>
      <c r="AV8" s="632"/>
      <c r="AW8" s="632"/>
      <c r="AX8" s="632"/>
      <c r="AY8" s="632"/>
      <c r="AZ8" s="632"/>
      <c r="BA8" s="632"/>
      <c r="BB8" s="632"/>
      <c r="BC8" s="632"/>
      <c r="BD8" s="632"/>
      <c r="BE8" s="632"/>
      <c r="BF8" s="632"/>
      <c r="BG8" s="632"/>
    </row>
    <row r="9" spans="1:59" ht="12.75" customHeight="1" x14ac:dyDescent="0.2">
      <c r="A9" s="274" t="str">
        <f>IF(Stammblatt!$L$4=1,V11,Y11)</f>
        <v>Lizenzen, Garantien etc.</v>
      </c>
      <c r="B9" s="275"/>
      <c r="C9" s="285">
        <f>SUM(B10:B12)</f>
        <v>0</v>
      </c>
      <c r="D9" s="731"/>
      <c r="E9" s="664"/>
      <c r="F9" s="663"/>
      <c r="G9" s="241"/>
      <c r="H9" s="235"/>
      <c r="I9" s="238"/>
      <c r="J9" s="239"/>
      <c r="K9" s="238">
        <f>C9</f>
        <v>0</v>
      </c>
      <c r="L9" s="239"/>
      <c r="M9" s="239"/>
      <c r="N9" s="239"/>
      <c r="O9" s="632"/>
      <c r="P9" s="275"/>
      <c r="Q9" s="731"/>
      <c r="R9" s="731"/>
      <c r="S9" s="664"/>
      <c r="T9" s="632"/>
      <c r="U9" s="662"/>
      <c r="V9" s="632" t="s">
        <v>1182</v>
      </c>
      <c r="W9" s="632"/>
      <c r="X9" s="632"/>
      <c r="Y9" s="632" t="s">
        <v>1183</v>
      </c>
      <c r="Z9" s="632"/>
      <c r="AA9" s="632"/>
      <c r="AB9" s="255"/>
      <c r="AC9" s="255"/>
      <c r="AD9" s="255"/>
      <c r="AE9" s="255"/>
      <c r="AF9" s="255"/>
      <c r="AG9" s="255"/>
      <c r="AH9" s="255"/>
      <c r="AI9" s="255"/>
      <c r="AJ9" s="255"/>
      <c r="AK9" s="255"/>
      <c r="AL9" s="239"/>
      <c r="AM9" s="632"/>
      <c r="AN9" s="632"/>
      <c r="AO9" s="632"/>
      <c r="AP9" s="632"/>
      <c r="AQ9" s="632"/>
      <c r="AR9" s="632"/>
      <c r="AS9" s="632"/>
      <c r="AT9" s="632"/>
      <c r="AU9" s="632"/>
      <c r="AV9" s="632"/>
      <c r="AW9" s="632"/>
      <c r="AX9" s="632"/>
      <c r="AY9" s="632"/>
      <c r="AZ9" s="632"/>
      <c r="BA9" s="632"/>
      <c r="BB9" s="632"/>
      <c r="BC9" s="632"/>
      <c r="BD9" s="632"/>
      <c r="BE9" s="632"/>
      <c r="BF9" s="632"/>
      <c r="BG9" s="632"/>
    </row>
    <row r="10" spans="1:59" ht="12.75" customHeight="1" x14ac:dyDescent="0.2">
      <c r="A10" s="280" t="str">
        <f>IF(Stammblatt!$L$4=1,V12,Y12)</f>
        <v>ORF (Lizenzanteil)</v>
      </c>
      <c r="B10" s="134"/>
      <c r="C10" s="287"/>
      <c r="D10" s="732"/>
      <c r="E10" s="665"/>
      <c r="F10" s="1021"/>
      <c r="G10" s="1022"/>
      <c r="H10" s="235"/>
      <c r="I10" s="238"/>
      <c r="J10" s="239"/>
      <c r="K10" s="238"/>
      <c r="L10" s="239"/>
      <c r="M10" s="239"/>
      <c r="N10" s="239"/>
      <c r="O10" s="632"/>
      <c r="P10" s="133"/>
      <c r="Q10" s="732"/>
      <c r="R10" s="732"/>
      <c r="S10" s="665"/>
      <c r="T10" s="632"/>
      <c r="U10" s="662"/>
      <c r="V10" s="632" t="s">
        <v>135</v>
      </c>
      <c r="W10" s="632"/>
      <c r="X10" s="632"/>
      <c r="Y10" s="632" t="s">
        <v>517</v>
      </c>
      <c r="Z10" s="632"/>
      <c r="AA10" s="632"/>
      <c r="AB10" s="255"/>
      <c r="AC10" s="255"/>
      <c r="AD10" s="255"/>
      <c r="AE10" s="255"/>
      <c r="AF10" s="255"/>
      <c r="AG10" s="255"/>
      <c r="AH10" s="255"/>
      <c r="AI10" s="255"/>
      <c r="AJ10" s="255"/>
      <c r="AK10" s="255"/>
      <c r="AL10" s="239"/>
      <c r="AM10" s="632"/>
      <c r="AN10" s="632"/>
      <c r="AO10" s="632"/>
      <c r="AP10" s="632"/>
      <c r="AQ10" s="632"/>
      <c r="AR10" s="632"/>
      <c r="AS10" s="632"/>
      <c r="AT10" s="632"/>
      <c r="AU10" s="632"/>
      <c r="AV10" s="632"/>
      <c r="AW10" s="632"/>
      <c r="AX10" s="632"/>
      <c r="AY10" s="632"/>
      <c r="AZ10" s="632"/>
      <c r="BA10" s="632"/>
      <c r="BB10" s="632"/>
      <c r="BC10" s="632"/>
      <c r="BD10" s="632"/>
      <c r="BE10" s="632"/>
      <c r="BF10" s="632"/>
      <c r="BG10" s="632"/>
    </row>
    <row r="11" spans="1:59" ht="12.75" customHeight="1" x14ac:dyDescent="0.2">
      <c r="A11" s="280" t="str">
        <f>IF(Stammblatt!$L$4=1,V13,Y13)</f>
        <v>Verleihgarantie</v>
      </c>
      <c r="B11" s="135"/>
      <c r="C11" s="288"/>
      <c r="D11" s="733"/>
      <c r="E11" s="665"/>
      <c r="F11" s="1021"/>
      <c r="G11" s="1022"/>
      <c r="H11" s="235"/>
      <c r="I11" s="238"/>
      <c r="J11" s="239"/>
      <c r="K11" s="238"/>
      <c r="L11" s="239"/>
      <c r="M11" s="239"/>
      <c r="N11" s="239"/>
      <c r="O11" s="632"/>
      <c r="P11" s="133"/>
      <c r="Q11" s="733"/>
      <c r="R11" s="733"/>
      <c r="S11" s="665"/>
      <c r="T11" s="632"/>
      <c r="U11" s="662"/>
      <c r="V11" s="632" t="s">
        <v>263</v>
      </c>
      <c r="W11" s="632"/>
      <c r="X11" s="632"/>
      <c r="Y11" s="632" t="s">
        <v>518</v>
      </c>
      <c r="Z11" s="632"/>
      <c r="AA11" s="632"/>
      <c r="AB11" s="255"/>
      <c r="AC11" s="255"/>
      <c r="AD11" s="255"/>
      <c r="AE11" s="255"/>
      <c r="AF11" s="255"/>
      <c r="AG11" s="255"/>
      <c r="AH11" s="255"/>
      <c r="AI11" s="255"/>
      <c r="AJ11" s="255"/>
      <c r="AK11" s="255"/>
      <c r="AL11" s="239"/>
      <c r="AM11" s="632"/>
      <c r="AN11" s="632"/>
      <c r="AO11" s="632"/>
      <c r="AP11" s="632"/>
      <c r="AQ11" s="632"/>
      <c r="AR11" s="632"/>
      <c r="AS11" s="632"/>
      <c r="AT11" s="632"/>
      <c r="AU11" s="632"/>
      <c r="AV11" s="632"/>
      <c r="AW11" s="632"/>
      <c r="AX11" s="632"/>
      <c r="AY11" s="632"/>
      <c r="AZ11" s="632"/>
      <c r="BA11" s="632"/>
      <c r="BB11" s="632"/>
      <c r="BC11" s="632"/>
      <c r="BD11" s="632"/>
      <c r="BE11" s="632"/>
      <c r="BF11" s="632"/>
      <c r="BG11" s="632"/>
    </row>
    <row r="12" spans="1:59" ht="12.75" customHeight="1" x14ac:dyDescent="0.2">
      <c r="A12" s="281" t="str">
        <f>IF(Stammblatt!$L$4=1,V14,Y14)</f>
        <v>MG (Weltvertrieb)</v>
      </c>
      <c r="B12" s="135"/>
      <c r="C12" s="263"/>
      <c r="D12" s="734"/>
      <c r="E12" s="666"/>
      <c r="F12" s="1021"/>
      <c r="G12" s="1022"/>
      <c r="H12" s="235"/>
      <c r="I12" s="238"/>
      <c r="J12" s="239"/>
      <c r="K12" s="238"/>
      <c r="L12" s="239"/>
      <c r="M12" s="239"/>
      <c r="N12" s="239"/>
      <c r="O12" s="632"/>
      <c r="P12" s="133"/>
      <c r="Q12" s="734"/>
      <c r="R12" s="734"/>
      <c r="S12" s="666"/>
      <c r="T12" s="632"/>
      <c r="U12" s="662"/>
      <c r="V12" s="632" t="s">
        <v>670</v>
      </c>
      <c r="W12" s="632"/>
      <c r="X12" s="632"/>
      <c r="Y12" s="632" t="s">
        <v>671</v>
      </c>
      <c r="Z12" s="632"/>
      <c r="AA12" s="632"/>
      <c r="AB12" s="255"/>
      <c r="AC12" s="255"/>
      <c r="AD12" s="255"/>
      <c r="AE12" s="255"/>
      <c r="AF12" s="255"/>
      <c r="AG12" s="255"/>
      <c r="AH12" s="255"/>
      <c r="AI12" s="255"/>
      <c r="AJ12" s="255"/>
      <c r="AK12" s="255"/>
      <c r="AL12" s="239"/>
      <c r="AM12" s="632"/>
      <c r="AN12" s="632"/>
      <c r="AO12" s="632"/>
      <c r="AP12" s="632"/>
      <c r="AQ12" s="632"/>
      <c r="AR12" s="632"/>
      <c r="AS12" s="632"/>
      <c r="AT12" s="632"/>
      <c r="AU12" s="632"/>
      <c r="AV12" s="632"/>
      <c r="AW12" s="632"/>
      <c r="AX12" s="632"/>
      <c r="AY12" s="632"/>
      <c r="AZ12" s="632"/>
      <c r="BA12" s="632"/>
      <c r="BB12" s="632"/>
      <c r="BC12" s="632"/>
      <c r="BD12" s="632"/>
      <c r="BE12" s="632"/>
      <c r="BF12" s="632"/>
      <c r="BG12" s="632"/>
    </row>
    <row r="13" spans="1:59" ht="21" customHeight="1" x14ac:dyDescent="0.2">
      <c r="A13" s="272" t="str">
        <f>IF(Stammblatt!$L$4=1,V15,Y15)</f>
        <v>Österreichisches Filminstitut</v>
      </c>
      <c r="B13" s="273"/>
      <c r="C13" s="289"/>
      <c r="D13" s="739"/>
      <c r="E13" s="290">
        <f ca="1">IF($D$4=0,0,D13/$D$4)</f>
        <v>0</v>
      </c>
      <c r="F13" s="240"/>
      <c r="G13" s="242"/>
      <c r="H13" s="235"/>
      <c r="I13" s="238">
        <f>D13</f>
        <v>0</v>
      </c>
      <c r="J13" s="239"/>
      <c r="K13" s="238"/>
      <c r="L13" s="239"/>
      <c r="M13" s="239"/>
      <c r="N13" s="239"/>
      <c r="O13" s="632"/>
      <c r="P13" s="632"/>
      <c r="Q13" s="667">
        <f>SUM(P14:P17)</f>
        <v>0</v>
      </c>
      <c r="R13" s="730">
        <f>Q13-D13</f>
        <v>0</v>
      </c>
      <c r="S13" s="290"/>
      <c r="T13" s="632"/>
      <c r="U13" s="662"/>
      <c r="V13" s="632" t="s">
        <v>672</v>
      </c>
      <c r="W13" s="632"/>
      <c r="X13" s="632"/>
      <c r="Y13" s="632" t="s">
        <v>675</v>
      </c>
      <c r="Z13" s="632"/>
      <c r="AA13" s="632"/>
      <c r="AB13" s="255"/>
      <c r="AC13" s="255"/>
      <c r="AD13" s="255"/>
      <c r="AE13" s="255"/>
      <c r="AF13" s="255"/>
      <c r="AG13" s="255"/>
      <c r="AH13" s="255"/>
      <c r="AI13" s="255"/>
      <c r="AJ13" s="255"/>
      <c r="AK13" s="255"/>
      <c r="AL13" s="239"/>
      <c r="AM13" s="632"/>
      <c r="AN13" s="632"/>
      <c r="AO13" s="632"/>
      <c r="AP13" s="632"/>
      <c r="AQ13" s="632"/>
      <c r="AR13" s="632"/>
      <c r="AS13" s="632"/>
      <c r="AT13" s="632"/>
      <c r="AU13" s="632"/>
      <c r="AV13" s="632"/>
      <c r="AW13" s="632"/>
      <c r="AX13" s="632"/>
      <c r="AY13" s="632"/>
      <c r="AZ13" s="632"/>
      <c r="BA13" s="632"/>
      <c r="BB13" s="632"/>
      <c r="BC13" s="632"/>
      <c r="BD13" s="632"/>
      <c r="BE13" s="632"/>
      <c r="BF13" s="632"/>
      <c r="BG13" s="632"/>
    </row>
    <row r="14" spans="1:59" ht="12.75" customHeight="1" x14ac:dyDescent="0.2">
      <c r="A14" s="274" t="str">
        <f>IF(Stammblatt!$L$4=1,V16,Y16)</f>
        <v>Buch-/Projektentwicklung (selektiv)</v>
      </c>
      <c r="B14" s="275"/>
      <c r="C14" s="133"/>
      <c r="D14" s="731"/>
      <c r="E14" s="291"/>
      <c r="F14" s="243"/>
      <c r="G14" s="242"/>
      <c r="H14" s="235"/>
      <c r="I14" s="244"/>
      <c r="J14" s="239"/>
      <c r="K14" s="244"/>
      <c r="L14" s="239"/>
      <c r="M14" s="239"/>
      <c r="N14" s="239"/>
      <c r="O14" s="632"/>
      <c r="P14" s="133"/>
      <c r="Q14" s="731"/>
      <c r="R14" s="731"/>
      <c r="S14" s="291"/>
      <c r="T14" s="632"/>
      <c r="U14" s="662"/>
      <c r="V14" s="632" t="s">
        <v>673</v>
      </c>
      <c r="W14" s="632"/>
      <c r="X14" s="632"/>
      <c r="Y14" s="632" t="s">
        <v>674</v>
      </c>
      <c r="Z14" s="632"/>
      <c r="AA14" s="632"/>
      <c r="AB14" s="255"/>
      <c r="AC14" s="255"/>
      <c r="AD14" s="255"/>
      <c r="AE14" s="255"/>
      <c r="AF14" s="255"/>
      <c r="AG14" s="255"/>
      <c r="AH14" s="255"/>
      <c r="AI14" s="255"/>
      <c r="AJ14" s="255"/>
      <c r="AK14" s="255"/>
      <c r="AL14" s="239"/>
      <c r="AM14" s="632"/>
      <c r="AN14" s="632"/>
      <c r="AO14" s="632"/>
      <c r="AP14" s="632"/>
      <c r="AQ14" s="632"/>
      <c r="AR14" s="632"/>
      <c r="AS14" s="632"/>
      <c r="AT14" s="632"/>
      <c r="AU14" s="632"/>
      <c r="AV14" s="632"/>
      <c r="AW14" s="632"/>
      <c r="AX14" s="632"/>
      <c r="AY14" s="632"/>
      <c r="AZ14" s="632"/>
      <c r="BA14" s="632"/>
      <c r="BB14" s="632"/>
      <c r="BC14" s="632"/>
      <c r="BD14" s="632"/>
      <c r="BE14" s="632"/>
      <c r="BF14" s="632"/>
      <c r="BG14" s="632"/>
    </row>
    <row r="15" spans="1:59" x14ac:dyDescent="0.2">
      <c r="A15" s="274" t="str">
        <f>IF(Stammblatt!$L$4=1,V17,Y17)</f>
        <v>Buch-/Projektentw. (Referenzmittel)</v>
      </c>
      <c r="B15" s="275"/>
      <c r="C15" s="133"/>
      <c r="D15" s="731"/>
      <c r="E15" s="270"/>
      <c r="F15" s="233"/>
      <c r="G15" s="245"/>
      <c r="H15" s="235"/>
      <c r="I15" s="246"/>
      <c r="J15" s="239"/>
      <c r="K15" s="246"/>
      <c r="L15" s="239"/>
      <c r="M15" s="239"/>
      <c r="N15" s="239"/>
      <c r="O15" s="632"/>
      <c r="P15" s="133"/>
      <c r="Q15" s="731"/>
      <c r="R15" s="731"/>
      <c r="S15" s="270"/>
      <c r="T15" s="632"/>
      <c r="U15" s="662"/>
      <c r="V15" s="632" t="s">
        <v>123</v>
      </c>
      <c r="W15" s="632"/>
      <c r="X15" s="632"/>
      <c r="Y15" s="632" t="s">
        <v>519</v>
      </c>
      <c r="Z15" s="632"/>
      <c r="AA15" s="632"/>
      <c r="AB15" s="255"/>
      <c r="AC15" s="255"/>
      <c r="AD15" s="255"/>
      <c r="AE15" s="255"/>
      <c r="AF15" s="255"/>
      <c r="AG15" s="255"/>
      <c r="AH15" s="255"/>
      <c r="AI15" s="255"/>
      <c r="AJ15" s="255"/>
      <c r="AK15" s="255"/>
      <c r="AL15" s="239"/>
      <c r="AM15" s="632"/>
      <c r="AN15" s="632"/>
      <c r="AO15" s="632"/>
      <c r="AP15" s="632"/>
      <c r="AQ15" s="632"/>
      <c r="AR15" s="632"/>
      <c r="AS15" s="632"/>
      <c r="AT15" s="632"/>
      <c r="AU15" s="632"/>
      <c r="AV15" s="632"/>
      <c r="AW15" s="632"/>
      <c r="AX15" s="632"/>
      <c r="AY15" s="632"/>
      <c r="AZ15" s="632"/>
      <c r="BA15" s="632"/>
      <c r="BB15" s="632"/>
      <c r="BC15" s="632"/>
      <c r="BD15" s="632"/>
      <c r="BE15" s="632"/>
      <c r="BF15" s="632"/>
      <c r="BG15" s="632"/>
    </row>
    <row r="16" spans="1:59" x14ac:dyDescent="0.2">
      <c r="A16" s="274" t="str">
        <f>IF(Stammblatt!$L$4=1,V18,Y18)</f>
        <v>Projektförderung</v>
      </c>
      <c r="B16" s="275"/>
      <c r="C16" s="285">
        <f>D13-C14-C15-C17</f>
        <v>0</v>
      </c>
      <c r="D16" s="731"/>
      <c r="E16" s="270"/>
      <c r="F16" s="233"/>
      <c r="G16" s="245"/>
      <c r="H16" s="235"/>
      <c r="I16" s="246"/>
      <c r="J16" s="239"/>
      <c r="K16" s="246"/>
      <c r="L16" s="239"/>
      <c r="M16" s="239"/>
      <c r="N16" s="239"/>
      <c r="O16" s="632"/>
      <c r="P16" s="133"/>
      <c r="Q16" s="731"/>
      <c r="R16" s="731"/>
      <c r="S16" s="270"/>
      <c r="T16" s="632"/>
      <c r="U16" s="662"/>
      <c r="V16" s="632" t="s">
        <v>552</v>
      </c>
      <c r="W16" s="632"/>
      <c r="X16" s="632"/>
      <c r="Y16" s="632" t="s">
        <v>553</v>
      </c>
      <c r="Z16" s="632"/>
      <c r="AA16" s="632"/>
      <c r="AB16" s="255"/>
      <c r="AC16" s="255"/>
      <c r="AD16" s="255"/>
      <c r="AE16" s="255"/>
      <c r="AF16" s="255"/>
      <c r="AG16" s="255"/>
      <c r="AH16" s="255"/>
      <c r="AI16" s="255"/>
      <c r="AJ16" s="255"/>
      <c r="AK16" s="255"/>
      <c r="AL16" s="239"/>
      <c r="AM16" s="632"/>
      <c r="AN16" s="632"/>
      <c r="AO16" s="632"/>
      <c r="AP16" s="632"/>
      <c r="AQ16" s="632"/>
      <c r="AR16" s="632"/>
      <c r="AS16" s="632"/>
      <c r="AT16" s="632"/>
      <c r="AU16" s="632"/>
      <c r="AV16" s="632"/>
      <c r="AW16" s="632"/>
      <c r="AX16" s="632"/>
      <c r="AY16" s="632"/>
      <c r="AZ16" s="632"/>
      <c r="BA16" s="632"/>
      <c r="BB16" s="632"/>
      <c r="BC16" s="632"/>
      <c r="BD16" s="632"/>
      <c r="BE16" s="632"/>
      <c r="BF16" s="632"/>
      <c r="BG16" s="632"/>
    </row>
    <row r="17" spans="1:59" x14ac:dyDescent="0.2">
      <c r="A17" s="276" t="str">
        <f>IF(Stammblatt!$L$4=1,V19,Y19)</f>
        <v>Referenzfilmförderung</v>
      </c>
      <c r="B17" s="277"/>
      <c r="C17" s="133"/>
      <c r="D17" s="731"/>
      <c r="E17" s="267" t="s">
        <v>150</v>
      </c>
      <c r="F17" s="247"/>
      <c r="G17" s="248"/>
      <c r="H17" s="235"/>
      <c r="I17" s="249"/>
      <c r="J17" s="239"/>
      <c r="K17" s="249"/>
      <c r="L17" s="239"/>
      <c r="M17" s="239"/>
      <c r="N17" s="239"/>
      <c r="O17" s="632"/>
      <c r="P17" s="133"/>
      <c r="Q17" s="731"/>
      <c r="R17" s="731"/>
      <c r="S17" s="267"/>
      <c r="T17" s="632"/>
      <c r="U17" s="662"/>
      <c r="V17" s="632" t="s">
        <v>555</v>
      </c>
      <c r="W17" s="632"/>
      <c r="X17" s="632"/>
      <c r="Y17" s="632" t="s">
        <v>554</v>
      </c>
      <c r="Z17" s="632"/>
      <c r="AA17" s="632"/>
      <c r="AB17" s="255"/>
      <c r="AC17" s="255"/>
      <c r="AD17" s="255"/>
      <c r="AE17" s="255"/>
      <c r="AF17" s="255"/>
      <c r="AG17" s="255"/>
      <c r="AH17" s="255"/>
      <c r="AI17" s="255"/>
      <c r="AJ17" s="255"/>
      <c r="AK17" s="255"/>
      <c r="AL17" s="239"/>
      <c r="AM17" s="632"/>
      <c r="AN17" s="632"/>
      <c r="AO17" s="632"/>
      <c r="AP17" s="632"/>
      <c r="AQ17" s="632"/>
      <c r="AR17" s="632"/>
      <c r="AS17" s="632"/>
      <c r="AT17" s="632"/>
      <c r="AU17" s="632"/>
      <c r="AV17" s="632"/>
      <c r="AW17" s="632"/>
      <c r="AX17" s="632"/>
      <c r="AY17" s="632"/>
      <c r="AZ17" s="632"/>
      <c r="BA17" s="632"/>
      <c r="BB17" s="632"/>
      <c r="BC17" s="632"/>
      <c r="BD17" s="632"/>
      <c r="BE17" s="632"/>
      <c r="BF17" s="632"/>
      <c r="BG17" s="632"/>
    </row>
    <row r="18" spans="1:59" ht="21" customHeight="1" x14ac:dyDescent="0.2">
      <c r="A18" s="272" t="s">
        <v>811</v>
      </c>
      <c r="B18" s="273"/>
      <c r="C18" s="289"/>
      <c r="D18" s="735">
        <f>SUM(C19:C21)</f>
        <v>0</v>
      </c>
      <c r="E18" s="268">
        <f ca="1">IF($D$4=0,0,D18/$D$4)</f>
        <v>0</v>
      </c>
      <c r="F18" s="1023"/>
      <c r="G18" s="1024"/>
      <c r="H18" s="235"/>
      <c r="I18" s="249">
        <f>D18</f>
        <v>0</v>
      </c>
      <c r="J18" s="239"/>
      <c r="K18" s="249"/>
      <c r="L18" s="239"/>
      <c r="M18" s="239"/>
      <c r="N18" s="239"/>
      <c r="O18" s="632"/>
      <c r="P18" s="632"/>
      <c r="Q18" s="735">
        <f ca="1">SUM(P19:P21)</f>
        <v>0</v>
      </c>
      <c r="R18" s="730">
        <f ca="1">Q18-D18</f>
        <v>0</v>
      </c>
      <c r="S18" s="268"/>
      <c r="T18" s="632"/>
      <c r="U18" s="662"/>
      <c r="V18" s="632" t="s">
        <v>932</v>
      </c>
      <c r="W18" s="632"/>
      <c r="X18" s="632"/>
      <c r="Y18" s="632" t="s">
        <v>520</v>
      </c>
      <c r="Z18" s="632"/>
      <c r="AA18" s="632"/>
      <c r="AB18" s="255"/>
      <c r="AC18" s="255"/>
      <c r="AD18" s="255"/>
      <c r="AE18" s="255"/>
      <c r="AF18" s="255"/>
      <c r="AG18" s="255"/>
      <c r="AH18" s="255"/>
      <c r="AI18" s="255"/>
      <c r="AJ18" s="255"/>
      <c r="AK18" s="255"/>
      <c r="AL18" s="239"/>
      <c r="AM18" s="632"/>
      <c r="AN18" s="632"/>
      <c r="AO18" s="632"/>
      <c r="AP18" s="632"/>
      <c r="AQ18" s="632"/>
      <c r="AR18" s="632"/>
      <c r="AS18" s="632"/>
      <c r="AT18" s="632"/>
      <c r="AU18" s="632"/>
      <c r="AV18" s="632"/>
      <c r="AW18" s="632"/>
      <c r="AX18" s="632"/>
      <c r="AY18" s="632"/>
      <c r="AZ18" s="632"/>
      <c r="BA18" s="632"/>
      <c r="BB18" s="632"/>
      <c r="BC18" s="632"/>
      <c r="BD18" s="632"/>
      <c r="BE18" s="632"/>
      <c r="BF18" s="632"/>
      <c r="BG18" s="632"/>
    </row>
    <row r="19" spans="1:59" ht="12.75" customHeight="1" x14ac:dyDescent="0.2">
      <c r="A19" s="274" t="str">
        <f>IF(Stammblatt!$L$4=1,V21,Y21)</f>
        <v>Basisfinanzierung (30%)</v>
      </c>
      <c r="B19" s="273"/>
      <c r="C19" s="621">
        <f>IF(Stammblatt!I10=TRUE,ROUNDDOWN(Zusammenfassung!H24*30%,-2),0)</f>
        <v>0</v>
      </c>
      <c r="D19" s="731"/>
      <c r="E19" s="268"/>
      <c r="F19" s="243"/>
      <c r="G19" s="242"/>
      <c r="H19" s="235"/>
      <c r="I19" s="249"/>
      <c r="J19" s="239"/>
      <c r="K19" s="249"/>
      <c r="L19" s="239"/>
      <c r="M19" s="239"/>
      <c r="N19" s="239"/>
      <c r="O19" s="632" t="str">
        <f>IF(Stammblatt!$L$4=1,"Basis","Basic")</f>
        <v>Basis</v>
      </c>
      <c r="P19" s="621">
        <f ca="1">ROUNDDOWN(Zusammenfassung!Q24*30%,-2)</f>
        <v>0</v>
      </c>
      <c r="Q19" s="731"/>
      <c r="R19" s="731"/>
      <c r="S19" s="268"/>
      <c r="T19" s="632"/>
      <c r="U19" s="662"/>
      <c r="V19" s="632" t="s">
        <v>130</v>
      </c>
      <c r="W19" s="632"/>
      <c r="X19" s="632"/>
      <c r="Y19" s="632" t="s">
        <v>521</v>
      </c>
      <c r="Z19" s="632"/>
      <c r="AA19" s="632"/>
      <c r="AB19" s="255"/>
      <c r="AC19" s="255"/>
      <c r="AD19" s="255"/>
      <c r="AE19" s="255"/>
      <c r="AF19" s="255"/>
      <c r="AG19" s="255"/>
      <c r="AH19" s="255"/>
      <c r="AI19" s="255"/>
      <c r="AJ19" s="255"/>
      <c r="AK19" s="255"/>
      <c r="AL19" s="239"/>
      <c r="AM19" s="632"/>
      <c r="AN19" s="632"/>
      <c r="AO19" s="632"/>
      <c r="AP19" s="632"/>
      <c r="AQ19" s="632"/>
      <c r="AR19" s="632"/>
      <c r="AS19" s="632"/>
      <c r="AT19" s="632"/>
      <c r="AU19" s="632"/>
      <c r="AV19" s="632"/>
      <c r="AW19" s="632"/>
      <c r="AX19" s="632"/>
      <c r="AY19" s="632"/>
      <c r="AZ19" s="632"/>
      <c r="BA19" s="632"/>
      <c r="BB19" s="632"/>
      <c r="BC19" s="632"/>
      <c r="BD19" s="632"/>
      <c r="BE19" s="632"/>
      <c r="BF19" s="632"/>
      <c r="BG19" s="632"/>
    </row>
    <row r="20" spans="1:59" ht="12.75" customHeight="1" x14ac:dyDescent="0.2">
      <c r="A20" s="274" t="s">
        <v>813</v>
      </c>
      <c r="B20" s="273"/>
      <c r="C20" s="621">
        <f>IF(AND(Stammblatt!I10=TRUE,Y22=TRUE),ROUNDDOWN(Zusammenfassung!H24*5%,-2),0)</f>
        <v>0</v>
      </c>
      <c r="D20" s="731"/>
      <c r="E20" s="268"/>
      <c r="F20" s="233"/>
      <c r="G20" s="245"/>
      <c r="H20" s="235"/>
      <c r="I20" s="249"/>
      <c r="J20" s="239"/>
      <c r="K20" s="249"/>
      <c r="L20" s="239"/>
      <c r="M20" s="239"/>
      <c r="N20" s="239"/>
      <c r="O20" s="632" t="s">
        <v>1062</v>
      </c>
      <c r="P20" s="621" t="str">
        <f>IF(AA22=TRUE,ROUNDDOWN(Zusammenfassung!Q24*5%,-2),"")</f>
        <v/>
      </c>
      <c r="Q20" s="730"/>
      <c r="R20" s="731"/>
      <c r="S20" s="268"/>
      <c r="T20" s="632"/>
      <c r="U20" s="662"/>
      <c r="V20" s="632"/>
      <c r="W20" s="632"/>
      <c r="X20" s="632"/>
      <c r="Y20" s="632"/>
      <c r="Z20" s="632"/>
      <c r="AA20" s="632"/>
      <c r="AB20" s="255"/>
      <c r="AC20" s="255"/>
      <c r="AD20" s="255"/>
      <c r="AE20" s="255"/>
      <c r="AF20" s="255"/>
      <c r="AG20" s="255"/>
      <c r="AH20" s="255"/>
      <c r="AI20" s="255"/>
      <c r="AJ20" s="255"/>
      <c r="AK20" s="255"/>
      <c r="AL20" s="239"/>
      <c r="AM20" s="632"/>
      <c r="AN20" s="632"/>
      <c r="AO20" s="632"/>
      <c r="AP20" s="632"/>
      <c r="AQ20" s="632"/>
      <c r="AR20" s="632"/>
      <c r="AS20" s="632"/>
      <c r="AT20" s="632"/>
      <c r="AU20" s="632"/>
      <c r="AV20" s="632"/>
      <c r="AW20" s="632"/>
      <c r="AX20" s="632"/>
      <c r="AY20" s="632"/>
      <c r="AZ20" s="632"/>
      <c r="BA20" s="632"/>
      <c r="BB20" s="632"/>
      <c r="BC20" s="632"/>
      <c r="BD20" s="632"/>
      <c r="BE20" s="632"/>
      <c r="BF20" s="632"/>
      <c r="BG20" s="632"/>
    </row>
    <row r="21" spans="1:59" ht="12.75" customHeight="1" x14ac:dyDescent="0.2">
      <c r="A21" s="276" t="s">
        <v>775</v>
      </c>
      <c r="B21" s="277"/>
      <c r="C21" s="621">
        <f>IF(AND(Stammblatt!I10=TRUE,Y23=TRUE),25000,0)</f>
        <v>0</v>
      </c>
      <c r="D21" s="731"/>
      <c r="E21" s="268"/>
      <c r="F21" s="233"/>
      <c r="G21" s="245"/>
      <c r="H21" s="235"/>
      <c r="I21" s="249"/>
      <c r="J21" s="239"/>
      <c r="K21" s="249"/>
      <c r="L21" s="239"/>
      <c r="M21" s="239"/>
      <c r="N21" s="239"/>
      <c r="O21" s="632" t="s">
        <v>1063</v>
      </c>
      <c r="P21" s="621" t="str">
        <f>IF(AA23=TRUE,25000,"")</f>
        <v/>
      </c>
      <c r="Q21" s="731"/>
      <c r="R21" s="731"/>
      <c r="S21" s="268"/>
      <c r="T21" s="632"/>
      <c r="U21" s="662"/>
      <c r="V21" s="632" t="s">
        <v>1037</v>
      </c>
      <c r="W21" s="632"/>
      <c r="X21" s="632"/>
      <c r="Y21" s="632" t="s">
        <v>1038</v>
      </c>
      <c r="Z21" s="632"/>
      <c r="AA21" s="632"/>
      <c r="AB21" s="255"/>
      <c r="AC21" s="255"/>
      <c r="AD21" s="255"/>
      <c r="AE21" s="255"/>
      <c r="AF21" s="255"/>
      <c r="AG21" s="255"/>
      <c r="AH21" s="255"/>
      <c r="AI21" s="255"/>
      <c r="AJ21" s="255"/>
      <c r="AK21" s="255"/>
      <c r="AL21" s="239"/>
      <c r="AM21" s="632"/>
      <c r="AN21" s="632"/>
      <c r="AO21" s="632"/>
      <c r="AP21" s="632"/>
      <c r="AQ21" s="632"/>
      <c r="AR21" s="632"/>
      <c r="AS21" s="632"/>
      <c r="AT21" s="632"/>
      <c r="AU21" s="632"/>
      <c r="AV21" s="632"/>
      <c r="AW21" s="632"/>
      <c r="AX21" s="632"/>
      <c r="AY21" s="632"/>
      <c r="AZ21" s="632"/>
      <c r="BA21" s="632"/>
      <c r="BB21" s="632"/>
      <c r="BC21" s="632"/>
      <c r="BD21" s="632"/>
      <c r="BE21" s="632"/>
      <c r="BF21" s="632"/>
      <c r="BG21" s="632"/>
    </row>
    <row r="22" spans="1:59" ht="21" customHeight="1" x14ac:dyDescent="0.2">
      <c r="A22" s="272" t="str">
        <f>IF(Stammblatt!$L$4=1,V25,Y25)</f>
        <v>BMKÖS</v>
      </c>
      <c r="B22" s="273"/>
      <c r="C22" s="289"/>
      <c r="D22" s="739"/>
      <c r="E22" s="268">
        <f ca="1">IF($D$4=0,0,D22/$D$4)</f>
        <v>0</v>
      </c>
      <c r="F22" s="1023"/>
      <c r="G22" s="1024"/>
      <c r="H22" s="235"/>
      <c r="I22" s="249">
        <f>D22</f>
        <v>0</v>
      </c>
      <c r="J22" s="239"/>
      <c r="K22" s="249"/>
      <c r="L22" s="239"/>
      <c r="M22" s="239"/>
      <c r="N22" s="239"/>
      <c r="O22" s="632"/>
      <c r="P22" s="632"/>
      <c r="Q22" s="735">
        <f>SUM(P23:P24)</f>
        <v>0</v>
      </c>
      <c r="R22" s="730">
        <f>Q22-D22</f>
        <v>0</v>
      </c>
      <c r="S22" s="268"/>
      <c r="T22" s="632"/>
      <c r="U22" s="662"/>
      <c r="V22" s="632" t="s">
        <v>813</v>
      </c>
      <c r="W22" s="632"/>
      <c r="X22" s="632"/>
      <c r="Y22" s="1294" t="b">
        <v>0</v>
      </c>
      <c r="Z22" s="729" t="s">
        <v>1061</v>
      </c>
      <c r="AA22" s="1294" t="b">
        <v>0</v>
      </c>
      <c r="AB22" s="255"/>
      <c r="AC22" s="255"/>
      <c r="AD22" s="255"/>
      <c r="AE22" s="255"/>
      <c r="AF22" s="255"/>
      <c r="AG22" s="255"/>
      <c r="AH22" s="255"/>
      <c r="AI22" s="255"/>
      <c r="AJ22" s="255"/>
      <c r="AK22" s="255"/>
      <c r="AL22" s="239"/>
      <c r="AM22" s="632"/>
      <c r="AN22" s="632"/>
      <c r="AO22" s="632"/>
      <c r="AP22" s="632"/>
      <c r="AQ22" s="632"/>
      <c r="AR22" s="632"/>
      <c r="AS22" s="632"/>
      <c r="AT22" s="632"/>
      <c r="AU22" s="632"/>
      <c r="AV22" s="632"/>
      <c r="AW22" s="632"/>
      <c r="AX22" s="632"/>
      <c r="AY22" s="632"/>
      <c r="AZ22" s="632"/>
      <c r="BA22" s="632"/>
      <c r="BB22" s="632"/>
      <c r="BC22" s="632"/>
      <c r="BD22" s="632"/>
      <c r="BE22" s="632"/>
      <c r="BF22" s="632"/>
      <c r="BG22" s="632"/>
    </row>
    <row r="23" spans="1:59" ht="12.75" customHeight="1" x14ac:dyDescent="0.2">
      <c r="A23" s="274" t="str">
        <f>IF(Stammblatt!$L$4=1,V26,Y26)</f>
        <v>Entwicklung</v>
      </c>
      <c r="B23" s="275"/>
      <c r="C23" s="133"/>
      <c r="D23" s="731"/>
      <c r="E23" s="267"/>
      <c r="F23" s="243"/>
      <c r="G23" s="242"/>
      <c r="H23" s="235"/>
      <c r="I23" s="249"/>
      <c r="J23" s="239"/>
      <c r="K23" s="249"/>
      <c r="L23" s="239"/>
      <c r="M23" s="239"/>
      <c r="N23" s="239"/>
      <c r="O23" s="632"/>
      <c r="P23" s="133"/>
      <c r="Q23" s="731"/>
      <c r="R23" s="731"/>
      <c r="S23" s="267"/>
      <c r="T23" s="632"/>
      <c r="U23" s="662"/>
      <c r="V23" s="632" t="s">
        <v>775</v>
      </c>
      <c r="W23" s="632"/>
      <c r="X23" s="632"/>
      <c r="Y23" s="1294" t="b">
        <v>0</v>
      </c>
      <c r="Z23" s="729" t="s">
        <v>1061</v>
      </c>
      <c r="AA23" s="1294" t="b">
        <v>0</v>
      </c>
      <c r="AB23" s="255"/>
      <c r="AC23" s="255"/>
      <c r="AD23" s="255"/>
      <c r="AE23" s="255"/>
      <c r="AF23" s="255"/>
      <c r="AG23" s="255"/>
      <c r="AH23" s="255"/>
      <c r="AI23" s="255"/>
      <c r="AJ23" s="255"/>
      <c r="AK23" s="255"/>
      <c r="AL23" s="239"/>
      <c r="AM23" s="632"/>
      <c r="AN23" s="632"/>
      <c r="AO23" s="632"/>
      <c r="AP23" s="632"/>
      <c r="AQ23" s="632"/>
      <c r="AR23" s="632"/>
      <c r="AS23" s="632"/>
      <c r="AT23" s="632"/>
      <c r="AU23" s="632"/>
      <c r="AV23" s="632"/>
      <c r="AW23" s="632"/>
      <c r="AX23" s="632"/>
      <c r="AY23" s="632"/>
      <c r="AZ23" s="632"/>
      <c r="BA23" s="632"/>
      <c r="BB23" s="632"/>
      <c r="BC23" s="632"/>
      <c r="BD23" s="632"/>
      <c r="BE23" s="632"/>
      <c r="BF23" s="632"/>
      <c r="BG23" s="632"/>
    </row>
    <row r="24" spans="1:59" ht="12.75" customHeight="1" x14ac:dyDescent="0.2">
      <c r="A24" s="276" t="str">
        <f>IF(Stammblatt!$L$4=1,V27,Y27)</f>
        <v>Herstellungsförderung</v>
      </c>
      <c r="B24" s="277"/>
      <c r="C24" s="621">
        <f>D22-C23</f>
        <v>0</v>
      </c>
      <c r="D24" s="731"/>
      <c r="E24" s="267"/>
      <c r="F24" s="233"/>
      <c r="G24" s="245"/>
      <c r="H24" s="235"/>
      <c r="I24" s="249"/>
      <c r="J24" s="239"/>
      <c r="K24" s="249"/>
      <c r="L24" s="239"/>
      <c r="M24" s="239"/>
      <c r="N24" s="239"/>
      <c r="O24" s="632"/>
      <c r="P24" s="133"/>
      <c r="Q24" s="731"/>
      <c r="R24" s="731"/>
      <c r="S24" s="267"/>
      <c r="T24" s="632"/>
      <c r="U24" s="662"/>
      <c r="V24" s="632" t="s">
        <v>928</v>
      </c>
      <c r="W24" s="632"/>
      <c r="X24" s="632"/>
      <c r="Y24" s="632" t="s">
        <v>927</v>
      </c>
      <c r="Z24" s="632"/>
      <c r="AA24" s="632"/>
      <c r="AB24" s="255"/>
      <c r="AC24" s="255"/>
      <c r="AD24" s="255"/>
      <c r="AE24" s="255"/>
      <c r="AF24" s="255"/>
      <c r="AG24" s="255"/>
      <c r="AH24" s="255"/>
      <c r="AI24" s="255"/>
      <c r="AJ24" s="255"/>
      <c r="AK24" s="255"/>
      <c r="AL24" s="239"/>
      <c r="AM24" s="632"/>
      <c r="AN24" s="632"/>
      <c r="AO24" s="632"/>
      <c r="AP24" s="632"/>
      <c r="AQ24" s="632"/>
      <c r="AR24" s="632"/>
      <c r="AS24" s="632"/>
      <c r="AT24" s="632"/>
      <c r="AU24" s="632"/>
      <c r="AV24" s="632"/>
      <c r="AW24" s="632"/>
      <c r="AX24" s="632"/>
      <c r="AY24" s="632"/>
      <c r="AZ24" s="632"/>
      <c r="BA24" s="632"/>
      <c r="BB24" s="632"/>
      <c r="BC24" s="632"/>
      <c r="BD24" s="632"/>
      <c r="BE24" s="632"/>
      <c r="BF24" s="632"/>
      <c r="BG24" s="632"/>
    </row>
    <row r="25" spans="1:59" ht="21" customHeight="1" x14ac:dyDescent="0.2">
      <c r="A25" s="272" t="str">
        <f>IF(Stammblatt!$L$4=1,V28,Y28)</f>
        <v>Filmfonds Wien</v>
      </c>
      <c r="B25" s="273"/>
      <c r="C25" s="289"/>
      <c r="D25" s="739"/>
      <c r="E25" s="268">
        <f ca="1">IF($D$4=0,0,D25/$D$4)</f>
        <v>0</v>
      </c>
      <c r="F25" s="240"/>
      <c r="G25" s="242"/>
      <c r="H25" s="235"/>
      <c r="I25" s="249">
        <f>D25</f>
        <v>0</v>
      </c>
      <c r="J25" s="239"/>
      <c r="K25" s="249"/>
      <c r="L25" s="239"/>
      <c r="M25" s="239"/>
      <c r="N25" s="239"/>
      <c r="O25" s="632"/>
      <c r="P25" s="632"/>
      <c r="Q25" s="735">
        <f>SUM(P26:P28)</f>
        <v>0</v>
      </c>
      <c r="R25" s="730">
        <f>Q25-D25</f>
        <v>0</v>
      </c>
      <c r="S25" s="268"/>
      <c r="T25" s="632"/>
      <c r="U25" s="662"/>
      <c r="V25" s="632" t="s">
        <v>890</v>
      </c>
      <c r="W25" s="632"/>
      <c r="X25" s="632"/>
      <c r="Y25" s="632" t="s">
        <v>891</v>
      </c>
      <c r="Z25" s="632"/>
      <c r="AA25" s="632"/>
      <c r="AB25" s="255"/>
      <c r="AC25" s="255"/>
      <c r="AD25" s="255"/>
      <c r="AE25" s="255"/>
      <c r="AF25" s="255"/>
      <c r="AG25" s="255"/>
      <c r="AH25" s="255"/>
      <c r="AI25" s="255"/>
      <c r="AJ25" s="255"/>
      <c r="AK25" s="255"/>
      <c r="AL25" s="239"/>
      <c r="AM25" s="632"/>
      <c r="AN25" s="632"/>
      <c r="AO25" s="632"/>
      <c r="AP25" s="632"/>
      <c r="AQ25" s="632"/>
      <c r="AR25" s="632"/>
      <c r="AS25" s="632"/>
      <c r="AT25" s="632"/>
      <c r="AU25" s="632"/>
      <c r="AV25" s="632"/>
      <c r="AW25" s="632"/>
      <c r="AX25" s="632"/>
      <c r="AY25" s="632"/>
      <c r="AZ25" s="632"/>
      <c r="BA25" s="632"/>
      <c r="BB25" s="632"/>
      <c r="BC25" s="632"/>
      <c r="BD25" s="632"/>
      <c r="BE25" s="632"/>
      <c r="BF25" s="632"/>
      <c r="BG25" s="632"/>
    </row>
    <row r="26" spans="1:59" ht="12.75" customHeight="1" x14ac:dyDescent="0.2">
      <c r="A26" s="274" t="str">
        <f>IF(Stammblatt!$L$4=1,V29,Y29)</f>
        <v>Projektentwicklung</v>
      </c>
      <c r="B26" s="275"/>
      <c r="C26" s="133"/>
      <c r="D26" s="731"/>
      <c r="E26" s="268"/>
      <c r="F26" s="243"/>
      <c r="G26" s="242"/>
      <c r="H26" s="235"/>
      <c r="I26" s="249"/>
      <c r="J26" s="239"/>
      <c r="K26" s="249"/>
      <c r="L26" s="239"/>
      <c r="M26" s="239"/>
      <c r="N26" s="239"/>
      <c r="O26" s="632"/>
      <c r="P26" s="133"/>
      <c r="Q26" s="731"/>
      <c r="R26" s="731"/>
      <c r="S26" s="268"/>
      <c r="T26" s="632"/>
      <c r="U26" s="662"/>
      <c r="V26" s="632" t="s">
        <v>892</v>
      </c>
      <c r="W26" s="632"/>
      <c r="X26" s="632"/>
      <c r="Y26" s="632" t="s">
        <v>893</v>
      </c>
      <c r="Z26" s="632"/>
      <c r="AA26" s="632"/>
      <c r="AB26" s="255"/>
      <c r="AC26" s="255"/>
      <c r="AD26" s="255"/>
      <c r="AE26" s="255"/>
      <c r="AF26" s="255"/>
      <c r="AG26" s="255"/>
      <c r="AH26" s="255"/>
      <c r="AI26" s="255"/>
      <c r="AJ26" s="255"/>
      <c r="AK26" s="255"/>
      <c r="AL26" s="239"/>
      <c r="AM26" s="632"/>
      <c r="AN26" s="632"/>
      <c r="AO26" s="632"/>
      <c r="AP26" s="632"/>
      <c r="AQ26" s="632"/>
      <c r="AR26" s="632"/>
      <c r="AS26" s="632"/>
      <c r="AT26" s="632"/>
      <c r="AU26" s="632"/>
      <c r="AV26" s="632"/>
      <c r="AW26" s="632"/>
      <c r="AX26" s="632"/>
      <c r="AY26" s="632"/>
      <c r="AZ26" s="632"/>
      <c r="BA26" s="632"/>
      <c r="BB26" s="632"/>
      <c r="BC26" s="632"/>
      <c r="BD26" s="632"/>
      <c r="BE26" s="632"/>
      <c r="BF26" s="632"/>
      <c r="BG26" s="632"/>
    </row>
    <row r="27" spans="1:59" ht="12.75" customHeight="1" x14ac:dyDescent="0.2">
      <c r="A27" s="274" t="str">
        <f>IF(Stammblatt!$L$4=1,V30,Y30)</f>
        <v>Herstellungsförderung</v>
      </c>
      <c r="B27" s="275"/>
      <c r="C27" s="621">
        <f>D25-C26-C28</f>
        <v>0</v>
      </c>
      <c r="D27" s="731"/>
      <c r="E27" s="268"/>
      <c r="F27" s="1021"/>
      <c r="G27" s="1022"/>
      <c r="H27" s="235"/>
      <c r="I27" s="249"/>
      <c r="J27" s="239"/>
      <c r="K27" s="249"/>
      <c r="L27" s="239"/>
      <c r="M27" s="239"/>
      <c r="N27" s="239"/>
      <c r="O27" s="632"/>
      <c r="P27" s="133"/>
      <c r="Q27" s="731"/>
      <c r="R27" s="731"/>
      <c r="S27" s="268"/>
      <c r="T27" s="632"/>
      <c r="U27" s="662"/>
      <c r="V27" s="632" t="s">
        <v>129</v>
      </c>
      <c r="W27" s="632"/>
      <c r="X27" s="632"/>
      <c r="Y27" s="632" t="s">
        <v>520</v>
      </c>
      <c r="Z27" s="632"/>
      <c r="AA27" s="632"/>
      <c r="AB27" s="255"/>
      <c r="AC27" s="255"/>
      <c r="AD27" s="255"/>
      <c r="AE27" s="255"/>
      <c r="AF27" s="255"/>
      <c r="AG27" s="255"/>
      <c r="AH27" s="255"/>
      <c r="AI27" s="255"/>
      <c r="AJ27" s="255"/>
      <c r="AK27" s="255"/>
      <c r="AL27" s="239"/>
      <c r="AM27" s="632"/>
      <c r="AN27" s="632"/>
      <c r="AO27" s="632"/>
      <c r="AP27" s="632"/>
      <c r="AQ27" s="632"/>
      <c r="AR27" s="632"/>
      <c r="AS27" s="632"/>
      <c r="AT27" s="632"/>
      <c r="AU27" s="632"/>
      <c r="AV27" s="632"/>
      <c r="AW27" s="632"/>
      <c r="AX27" s="632"/>
      <c r="AY27" s="632"/>
      <c r="AZ27" s="632"/>
      <c r="BA27" s="632"/>
      <c r="BB27" s="632"/>
      <c r="BC27" s="632"/>
      <c r="BD27" s="632"/>
      <c r="BE27" s="632"/>
      <c r="BF27" s="632"/>
      <c r="BG27" s="632"/>
    </row>
    <row r="28" spans="1:59" ht="12.75" customHeight="1" x14ac:dyDescent="0.2">
      <c r="A28" s="998" t="str">
        <f>IF(Stammblatt!$L$4=1,V31,Y31)</f>
        <v>Referenzfilmförderung</v>
      </c>
      <c r="B28" s="275"/>
      <c r="C28" s="133"/>
      <c r="D28" s="731"/>
      <c r="E28" s="268"/>
      <c r="F28" s="1021"/>
      <c r="G28" s="1022"/>
      <c r="H28" s="235"/>
      <c r="I28" s="249"/>
      <c r="J28" s="239"/>
      <c r="K28" s="249"/>
      <c r="L28" s="239"/>
      <c r="M28" s="239"/>
      <c r="N28" s="239"/>
      <c r="O28" s="632"/>
      <c r="P28" s="133"/>
      <c r="Q28" s="731"/>
      <c r="R28" s="731"/>
      <c r="S28" s="268"/>
      <c r="T28" s="632"/>
      <c r="U28" s="662"/>
      <c r="V28" s="632" t="s">
        <v>127</v>
      </c>
      <c r="W28" s="632"/>
      <c r="X28" s="632"/>
      <c r="Y28" s="632" t="s">
        <v>522</v>
      </c>
      <c r="Z28" s="632"/>
      <c r="AA28" s="632"/>
      <c r="AB28" s="255"/>
      <c r="AC28" s="255"/>
      <c r="AD28" s="255"/>
      <c r="AE28" s="255"/>
      <c r="AF28" s="255"/>
      <c r="AG28" s="255"/>
      <c r="AH28" s="255"/>
      <c r="AI28" s="255"/>
      <c r="AJ28" s="255"/>
      <c r="AK28" s="255"/>
      <c r="AL28" s="239"/>
      <c r="AM28" s="632"/>
      <c r="AN28" s="632"/>
      <c r="AO28" s="632"/>
      <c r="AP28" s="632"/>
      <c r="AQ28" s="632"/>
      <c r="AR28" s="632"/>
      <c r="AS28" s="632"/>
      <c r="AT28" s="632"/>
      <c r="AU28" s="632"/>
      <c r="AV28" s="632"/>
      <c r="AW28" s="632"/>
      <c r="AX28" s="632"/>
      <c r="AY28" s="632"/>
      <c r="AZ28" s="632"/>
      <c r="BA28" s="632"/>
      <c r="BB28" s="632"/>
      <c r="BC28" s="632"/>
      <c r="BD28" s="632"/>
      <c r="BE28" s="632"/>
      <c r="BF28" s="632"/>
      <c r="BG28" s="632"/>
    </row>
    <row r="29" spans="1:59" ht="21" customHeight="1" x14ac:dyDescent="0.2">
      <c r="A29" s="997" t="str">
        <f>IF(Stammblatt!$L$4=1,V32,Y32)</f>
        <v>Sonstige</v>
      </c>
      <c r="B29" s="279"/>
      <c r="C29" s="292"/>
      <c r="D29" s="1018"/>
      <c r="E29" s="268">
        <f ca="1">IF($D$4=0,0,D29/$D$4)</f>
        <v>0</v>
      </c>
      <c r="F29" s="1023"/>
      <c r="G29" s="1024"/>
      <c r="H29" s="235"/>
      <c r="I29" s="238">
        <f>D29-K29</f>
        <v>0</v>
      </c>
      <c r="J29" s="239"/>
      <c r="K29" s="1274"/>
      <c r="L29" s="239"/>
      <c r="M29" s="239"/>
      <c r="N29" s="239"/>
      <c r="O29" s="632"/>
      <c r="P29" s="632"/>
      <c r="Q29" s="736"/>
      <c r="R29" s="730">
        <f>Q29-D29</f>
        <v>0</v>
      </c>
      <c r="S29" s="268"/>
      <c r="T29" s="632"/>
      <c r="U29" s="662"/>
      <c r="V29" s="632" t="s">
        <v>128</v>
      </c>
      <c r="W29" s="632"/>
      <c r="X29" s="632"/>
      <c r="Y29" s="632" t="s">
        <v>523</v>
      </c>
      <c r="Z29" s="632"/>
      <c r="AA29" s="632"/>
      <c r="AB29" s="255"/>
      <c r="AC29" s="255"/>
      <c r="AD29" s="255"/>
      <c r="AE29" s="255"/>
      <c r="AF29" s="255"/>
      <c r="AG29" s="255"/>
      <c r="AH29" s="255"/>
      <c r="AI29" s="255"/>
      <c r="AJ29" s="255"/>
      <c r="AK29" s="255"/>
      <c r="AL29" s="239"/>
      <c r="AM29" s="632"/>
      <c r="AN29" s="632"/>
      <c r="AO29" s="632"/>
      <c r="AP29" s="632"/>
      <c r="AQ29" s="632"/>
      <c r="AR29" s="632"/>
      <c r="AS29" s="632"/>
      <c r="AT29" s="632"/>
      <c r="AU29" s="632"/>
      <c r="AV29" s="632"/>
      <c r="AW29" s="632"/>
      <c r="AX29" s="632"/>
      <c r="AY29" s="632"/>
      <c r="AZ29" s="632"/>
      <c r="BA29" s="632"/>
      <c r="BB29" s="632"/>
      <c r="BC29" s="632"/>
      <c r="BD29" s="632"/>
      <c r="BE29" s="632"/>
      <c r="BF29" s="632"/>
      <c r="BG29" s="632"/>
    </row>
    <row r="30" spans="1:59" ht="21" customHeight="1" x14ac:dyDescent="0.2">
      <c r="A30" s="997" t="s">
        <v>210</v>
      </c>
      <c r="B30" s="636"/>
      <c r="C30" s="292"/>
      <c r="D30" s="1018"/>
      <c r="E30" s="268">
        <f ca="1">IF($D$4=0,0,D30/$D$4)</f>
        <v>0</v>
      </c>
      <c r="F30" s="1023"/>
      <c r="G30" s="1024"/>
      <c r="H30" s="235"/>
      <c r="I30" s="238">
        <f>D30</f>
        <v>0</v>
      </c>
      <c r="J30" s="239"/>
      <c r="K30" s="238"/>
      <c r="L30" s="239"/>
      <c r="M30" s="239"/>
      <c r="N30" s="239"/>
      <c r="O30" s="632"/>
      <c r="P30" s="632"/>
      <c r="Q30" s="736"/>
      <c r="R30" s="730"/>
      <c r="S30" s="268"/>
      <c r="T30" s="632"/>
      <c r="U30" s="662"/>
      <c r="V30" s="632" t="s">
        <v>129</v>
      </c>
      <c r="W30" s="632"/>
      <c r="X30" s="632"/>
      <c r="Y30" s="632" t="s">
        <v>520</v>
      </c>
      <c r="Z30" s="632"/>
      <c r="AA30" s="632"/>
      <c r="AB30" s="255"/>
      <c r="AC30" s="255"/>
      <c r="AD30" s="255"/>
      <c r="AE30" s="255"/>
      <c r="AF30" s="255"/>
      <c r="AG30" s="255"/>
      <c r="AH30" s="255"/>
      <c r="AI30" s="255"/>
      <c r="AJ30" s="255"/>
      <c r="AK30" s="255"/>
      <c r="AL30" s="239"/>
      <c r="AM30" s="632"/>
      <c r="AN30" s="632"/>
      <c r="AO30" s="632"/>
      <c r="AP30" s="632"/>
      <c r="AQ30" s="632"/>
      <c r="AR30" s="632"/>
      <c r="AS30" s="632"/>
      <c r="AT30" s="632"/>
      <c r="AU30" s="632"/>
      <c r="AV30" s="632"/>
      <c r="AW30" s="632"/>
      <c r="AX30" s="632"/>
      <c r="AY30" s="632"/>
      <c r="AZ30" s="632"/>
      <c r="BA30" s="632"/>
      <c r="BB30" s="632"/>
      <c r="BC30" s="632"/>
      <c r="BD30" s="632"/>
      <c r="BE30" s="632"/>
      <c r="BF30" s="632"/>
      <c r="BG30" s="632"/>
    </row>
    <row r="31" spans="1:59" ht="21" customHeight="1" x14ac:dyDescent="0.2">
      <c r="A31" s="278" t="str">
        <f>IF(Stammblatt!$L$4=1,V33,Y33)</f>
        <v>ORF (Film/Fernseh-Abkommen)</v>
      </c>
      <c r="B31" s="636"/>
      <c r="C31" s="292"/>
      <c r="D31" s="1018"/>
      <c r="E31" s="268">
        <f ca="1">IF($D$4=0,0,D31/$D$4)</f>
        <v>0</v>
      </c>
      <c r="F31" s="1023"/>
      <c r="G31" s="1024"/>
      <c r="H31" s="235"/>
      <c r="I31" s="238">
        <f>D31</f>
        <v>0</v>
      </c>
      <c r="J31" s="239"/>
      <c r="K31" s="238"/>
      <c r="L31" s="239"/>
      <c r="M31" s="239"/>
      <c r="N31" s="239"/>
      <c r="O31" s="632"/>
      <c r="P31" s="632"/>
      <c r="Q31" s="736"/>
      <c r="R31" s="730">
        <f t="shared" ref="R31" si="0">Q31-D31</f>
        <v>0</v>
      </c>
      <c r="S31" s="268"/>
      <c r="T31" s="632"/>
      <c r="U31" s="662"/>
      <c r="V31" s="632" t="s">
        <v>130</v>
      </c>
      <c r="W31" s="632"/>
      <c r="X31" s="632"/>
      <c r="Y31" s="632" t="s">
        <v>521</v>
      </c>
      <c r="Z31" s="632"/>
      <c r="AA31" s="632"/>
      <c r="AB31" s="255"/>
      <c r="AC31" s="255"/>
      <c r="AD31" s="255"/>
      <c r="AE31" s="255"/>
      <c r="AF31" s="255"/>
      <c r="AG31" s="255"/>
      <c r="AH31" s="255"/>
      <c r="AI31" s="255"/>
      <c r="AJ31" s="255"/>
      <c r="AK31" s="255"/>
      <c r="AL31" s="239"/>
      <c r="AM31" s="632"/>
      <c r="AN31" s="632"/>
      <c r="AO31" s="632"/>
      <c r="AP31" s="632"/>
      <c r="AQ31" s="632"/>
      <c r="AR31" s="632"/>
      <c r="AS31" s="632"/>
      <c r="AT31" s="632"/>
      <c r="AU31" s="632"/>
      <c r="AV31" s="632"/>
      <c r="AW31" s="632"/>
      <c r="AX31" s="632"/>
      <c r="AY31" s="632"/>
      <c r="AZ31" s="632"/>
      <c r="BA31" s="632"/>
      <c r="BB31" s="632"/>
      <c r="BC31" s="632"/>
      <c r="BD31" s="632"/>
      <c r="BE31" s="632"/>
      <c r="BF31" s="632"/>
      <c r="BG31" s="632"/>
    </row>
    <row r="32" spans="1:59" ht="12.75" customHeight="1" x14ac:dyDescent="0.15">
      <c r="A32" s="230"/>
      <c r="B32" s="230"/>
      <c r="C32" s="1268" t="str">
        <f>IF(Stammblatt!$L$4=1,"Kontrollsumme","check sum")</f>
        <v>Kontrollsumme</v>
      </c>
      <c r="D32" s="1269">
        <f ca="1">SUM(D5:D31)</f>
        <v>0</v>
      </c>
      <c r="E32" s="1266">
        <f ca="1">SUM(E5:E31)</f>
        <v>0</v>
      </c>
      <c r="F32" s="250"/>
      <c r="G32" s="242"/>
      <c r="H32" s="235"/>
      <c r="I32" s="239"/>
      <c r="J32" s="239"/>
      <c r="K32" s="239"/>
      <c r="L32" s="239"/>
      <c r="M32" s="239"/>
      <c r="N32" s="239"/>
      <c r="O32" s="632"/>
      <c r="P32" s="1268" t="str">
        <f>IF(Stammblatt!$L$4=1,"Kontrollsumme","check sum")</f>
        <v>Kontrollsumme</v>
      </c>
      <c r="Q32" s="1269">
        <f ca="1">SUM(Q5:Q31)</f>
        <v>0</v>
      </c>
      <c r="R32" s="1267">
        <f ca="1">SUM(R5:R31)</f>
        <v>0</v>
      </c>
      <c r="S32" s="1266">
        <f>SUM(S5:S31)</f>
        <v>0</v>
      </c>
      <c r="T32" s="632"/>
      <c r="U32" s="662"/>
      <c r="V32" s="632" t="s">
        <v>194</v>
      </c>
      <c r="W32" s="632"/>
      <c r="X32" s="632"/>
      <c r="Y32" s="632" t="s">
        <v>356</v>
      </c>
      <c r="Z32" s="632"/>
      <c r="AA32" s="632"/>
      <c r="AB32" s="255"/>
      <c r="AC32" s="255"/>
      <c r="AD32" s="255"/>
      <c r="AE32" s="255"/>
      <c r="AF32" s="255"/>
      <c r="AG32" s="255"/>
      <c r="AH32" s="255"/>
      <c r="AI32" s="255"/>
      <c r="AJ32" s="255"/>
      <c r="AK32" s="255"/>
      <c r="AL32" s="239"/>
      <c r="AM32" s="632"/>
      <c r="AN32" s="632"/>
      <c r="AO32" s="632"/>
      <c r="AP32" s="632"/>
      <c r="AQ32" s="632"/>
      <c r="AR32" s="632"/>
      <c r="AS32" s="632"/>
      <c r="AT32" s="632"/>
      <c r="AU32" s="632"/>
      <c r="AV32" s="632"/>
      <c r="AW32" s="632"/>
      <c r="AX32" s="632"/>
      <c r="AY32" s="632"/>
      <c r="AZ32" s="632"/>
      <c r="BA32" s="632"/>
      <c r="BB32" s="632"/>
      <c r="BC32" s="632"/>
      <c r="BD32" s="632"/>
      <c r="BE32" s="632"/>
      <c r="BF32" s="632"/>
      <c r="BG32" s="632"/>
    </row>
    <row r="33" spans="1:59" outlineLevel="1" x14ac:dyDescent="0.2">
      <c r="A33" s="230"/>
      <c r="B33" s="230"/>
      <c r="C33" s="230"/>
      <c r="D33" s="740"/>
      <c r="E33" s="271"/>
      <c r="F33" s="250"/>
      <c r="G33" s="245"/>
      <c r="H33" s="235"/>
      <c r="I33" s="239"/>
      <c r="J33" s="239"/>
      <c r="K33" s="239"/>
      <c r="L33" s="239"/>
      <c r="M33" s="239"/>
      <c r="N33" s="239"/>
      <c r="O33" s="632"/>
      <c r="P33" s="632"/>
      <c r="Q33" s="632"/>
      <c r="R33" s="632"/>
      <c r="S33" s="632"/>
      <c r="T33" s="632"/>
      <c r="U33" s="662"/>
      <c r="V33" s="632" t="s">
        <v>884</v>
      </c>
      <c r="W33" s="632"/>
      <c r="X33" s="632"/>
      <c r="Y33" s="632" t="s">
        <v>885</v>
      </c>
      <c r="Z33" s="632"/>
      <c r="AA33" s="632"/>
      <c r="AB33" s="255"/>
      <c r="AC33" s="255"/>
      <c r="AD33" s="255"/>
      <c r="AE33" s="255"/>
      <c r="AF33" s="255"/>
      <c r="AG33" s="255"/>
      <c r="AH33" s="255"/>
      <c r="AI33" s="255"/>
      <c r="AJ33" s="255"/>
      <c r="AK33" s="255"/>
      <c r="AL33" s="239"/>
      <c r="AM33" s="632"/>
      <c r="AN33" s="632"/>
      <c r="AO33" s="632"/>
      <c r="AP33" s="632"/>
      <c r="AQ33" s="632"/>
      <c r="AR33" s="632"/>
      <c r="AS33" s="632"/>
      <c r="AT33" s="632"/>
      <c r="AU33" s="632"/>
      <c r="AV33" s="632"/>
      <c r="AW33" s="632"/>
      <c r="AX33" s="632"/>
      <c r="AY33" s="632"/>
      <c r="AZ33" s="632"/>
      <c r="BA33" s="632"/>
      <c r="BB33" s="632"/>
      <c r="BC33" s="632"/>
      <c r="BD33" s="632"/>
      <c r="BE33" s="632"/>
      <c r="BF33" s="632"/>
      <c r="BG33" s="632"/>
    </row>
    <row r="34" spans="1:59" ht="18" customHeight="1" outlineLevel="1" x14ac:dyDescent="0.2">
      <c r="A34" s="88" t="str">
        <f>IF(Stammblatt!L4=1,Finanzierungsplan!V4 &amp; Stammblatt!B33,Finanzierungsplan!Y4 &amp; Stammblatt!B33)</f>
        <v>Finanzierung A</v>
      </c>
      <c r="B34" s="88"/>
      <c r="C34" s="67"/>
      <c r="D34" s="114">
        <f>FIN_A</f>
        <v>0</v>
      </c>
      <c r="E34" s="85">
        <f>IF(D34=0,0,D34/$D$67)</f>
        <v>0</v>
      </c>
      <c r="F34" s="250"/>
      <c r="G34" s="245"/>
      <c r="H34" s="235"/>
      <c r="I34" s="1271">
        <f>SUM(I35:I42)</f>
        <v>0</v>
      </c>
      <c r="J34" s="1272">
        <f ca="1">IF($I$67=0,,I34/$I$67)</f>
        <v>0</v>
      </c>
      <c r="K34" s="1271">
        <f>SUM(K35:K42)</f>
        <v>0</v>
      </c>
      <c r="L34" s="1273">
        <f>IF($K$67=0,,K34/$K$67)</f>
        <v>0</v>
      </c>
      <c r="M34" s="239"/>
      <c r="N34" s="239"/>
      <c r="O34" s="632"/>
      <c r="P34" s="632"/>
      <c r="Q34" s="114">
        <f>SUM(Q35:Q42)</f>
        <v>0</v>
      </c>
      <c r="R34" s="114">
        <f>Q34-D34</f>
        <v>0</v>
      </c>
      <c r="S34" s="115">
        <f>IF(Q34=0,0,Q34/$Q$67)</f>
        <v>0</v>
      </c>
      <c r="T34" s="632"/>
      <c r="U34" s="662"/>
      <c r="V34" s="632"/>
      <c r="W34" s="632"/>
      <c r="X34" s="632"/>
      <c r="Y34" s="632"/>
      <c r="Z34" s="632"/>
      <c r="AA34" s="632"/>
      <c r="AB34" s="255"/>
      <c r="AC34" s="255"/>
      <c r="AD34" s="255"/>
      <c r="AE34" s="255"/>
      <c r="AF34" s="255"/>
      <c r="AG34" s="255"/>
      <c r="AH34" s="255"/>
      <c r="AI34" s="255"/>
      <c r="AJ34" s="255"/>
      <c r="AK34" s="255"/>
      <c r="AL34" s="239"/>
      <c r="AM34" s="632"/>
      <c r="AN34" s="632"/>
      <c r="AO34" s="632"/>
      <c r="AP34" s="632"/>
      <c r="AQ34" s="632"/>
      <c r="AR34" s="632"/>
      <c r="AS34" s="632"/>
      <c r="AT34" s="632"/>
      <c r="AU34" s="632"/>
      <c r="AV34" s="632"/>
      <c r="AW34" s="632"/>
      <c r="AX34" s="632"/>
      <c r="AY34" s="632"/>
      <c r="AZ34" s="632"/>
      <c r="BA34" s="632"/>
      <c r="BB34" s="632"/>
      <c r="BC34" s="632"/>
      <c r="BD34" s="632"/>
      <c r="BE34" s="632"/>
      <c r="BF34" s="632"/>
      <c r="BG34" s="632"/>
    </row>
    <row r="35" spans="1:59" ht="21" customHeight="1" outlineLevel="1" x14ac:dyDescent="0.2">
      <c r="A35" s="262" t="str">
        <f>IF(Stammblatt!$L$4=1,V36,Y36)</f>
        <v>Eigenanteil</v>
      </c>
      <c r="B35" s="262"/>
      <c r="C35" s="263"/>
      <c r="D35" s="737"/>
      <c r="E35" s="267">
        <f>IF($D$34=0,0,D35/$D$34)</f>
        <v>0</v>
      </c>
      <c r="F35" s="1025"/>
      <c r="G35" s="1022"/>
      <c r="H35" s="235"/>
      <c r="I35" s="238">
        <f>D35</f>
        <v>0</v>
      </c>
      <c r="J35" s="239"/>
      <c r="K35" s="238"/>
      <c r="L35" s="239"/>
      <c r="M35" s="239"/>
      <c r="N35" s="239"/>
      <c r="O35" s="632"/>
      <c r="P35" s="632"/>
      <c r="Q35" s="737"/>
      <c r="R35" s="730">
        <f t="shared" ref="R35:R42" si="1">Q35-D35</f>
        <v>0</v>
      </c>
      <c r="S35" s="267"/>
      <c r="T35" s="632"/>
      <c r="U35" s="662"/>
      <c r="V35" s="632" t="s">
        <v>258</v>
      </c>
      <c r="W35" s="632"/>
      <c r="X35" s="632"/>
      <c r="Y35" s="632"/>
      <c r="Z35" s="632"/>
      <c r="AA35" s="632"/>
      <c r="AB35" s="255"/>
      <c r="AC35" s="255"/>
      <c r="AD35" s="255"/>
      <c r="AE35" s="255"/>
      <c r="AF35" s="255"/>
      <c r="AG35" s="255"/>
      <c r="AH35" s="255"/>
      <c r="AI35" s="255"/>
      <c r="AJ35" s="255"/>
      <c r="AK35" s="255"/>
      <c r="AL35" s="239"/>
      <c r="AM35" s="632"/>
      <c r="AN35" s="632"/>
      <c r="AO35" s="632"/>
      <c r="AP35" s="632"/>
      <c r="AQ35" s="632"/>
      <c r="AR35" s="632"/>
      <c r="AS35" s="632"/>
      <c r="AT35" s="632"/>
      <c r="AU35" s="632"/>
      <c r="AV35" s="632"/>
      <c r="AW35" s="632"/>
      <c r="AX35" s="632"/>
      <c r="AY35" s="632"/>
      <c r="AZ35" s="632"/>
      <c r="BA35" s="632"/>
      <c r="BB35" s="632"/>
      <c r="BC35" s="632"/>
      <c r="BD35" s="632"/>
      <c r="BE35" s="632"/>
      <c r="BF35" s="632"/>
      <c r="BG35" s="632"/>
    </row>
    <row r="36" spans="1:59" outlineLevel="1" x14ac:dyDescent="0.2">
      <c r="A36" s="264" t="str">
        <f>IF(Stammblatt!$L$4=1,V37,Y37)</f>
        <v>Lizenzen, Garantien etc.</v>
      </c>
      <c r="B36" s="262"/>
      <c r="C36" s="263"/>
      <c r="D36" s="737">
        <f>D75*E34</f>
        <v>0</v>
      </c>
      <c r="E36" s="267">
        <f t="shared" ref="E36:E42" si="2">IF($D$34=0,0,D36/$D$34)</f>
        <v>0</v>
      </c>
      <c r="F36" s="1025"/>
      <c r="G36" s="1022"/>
      <c r="H36" s="235"/>
      <c r="I36" s="238"/>
      <c r="J36" s="239"/>
      <c r="K36" s="238">
        <f>D36</f>
        <v>0</v>
      </c>
      <c r="L36" s="239"/>
      <c r="M36" s="239"/>
      <c r="N36" s="239"/>
      <c r="O36" s="632"/>
      <c r="P36" s="632"/>
      <c r="Q36" s="737"/>
      <c r="R36" s="730">
        <f t="shared" si="1"/>
        <v>0</v>
      </c>
      <c r="S36" s="267"/>
      <c r="T36" s="632"/>
      <c r="U36" s="662"/>
      <c r="V36" s="632" t="s">
        <v>211</v>
      </c>
      <c r="W36" s="632"/>
      <c r="X36" s="632"/>
      <c r="Y36" s="632" t="s">
        <v>516</v>
      </c>
      <c r="Z36" s="632"/>
      <c r="AA36" s="632"/>
      <c r="AB36" s="255"/>
      <c r="AC36" s="255"/>
      <c r="AD36" s="255"/>
      <c r="AE36" s="255"/>
      <c r="AF36" s="255"/>
      <c r="AG36" s="255"/>
      <c r="AH36" s="255"/>
      <c r="AI36" s="255"/>
      <c r="AJ36" s="255"/>
      <c r="AK36" s="255"/>
      <c r="AL36" s="239"/>
      <c r="AM36" s="632"/>
      <c r="AN36" s="632"/>
      <c r="AO36" s="632"/>
      <c r="AP36" s="632"/>
      <c r="AQ36" s="632"/>
      <c r="AR36" s="632"/>
      <c r="AS36" s="632"/>
      <c r="AT36" s="632"/>
      <c r="AU36" s="632"/>
      <c r="AV36" s="632"/>
      <c r="AW36" s="632"/>
      <c r="AX36" s="632"/>
      <c r="AY36" s="632"/>
      <c r="AZ36" s="632"/>
      <c r="BA36" s="632"/>
      <c r="BB36" s="632"/>
      <c r="BC36" s="632"/>
      <c r="BD36" s="632"/>
      <c r="BE36" s="632"/>
      <c r="BF36" s="632"/>
      <c r="BG36" s="632"/>
    </row>
    <row r="37" spans="1:59" outlineLevel="1" x14ac:dyDescent="0.2">
      <c r="A37" s="262" t="str">
        <f>IF(Stammblatt!$L$4=1,V38,Y38)</f>
        <v>Förderung 1</v>
      </c>
      <c r="B37" s="262"/>
      <c r="C37" s="263"/>
      <c r="D37" s="737"/>
      <c r="E37" s="267">
        <f t="shared" si="2"/>
        <v>0</v>
      </c>
      <c r="F37" s="1025"/>
      <c r="G37" s="1022"/>
      <c r="H37" s="235"/>
      <c r="I37" s="238">
        <f>D37</f>
        <v>0</v>
      </c>
      <c r="J37" s="239"/>
      <c r="K37" s="238"/>
      <c r="L37" s="239"/>
      <c r="M37" s="239"/>
      <c r="N37" s="239"/>
      <c r="O37" s="632"/>
      <c r="P37" s="632"/>
      <c r="Q37" s="737"/>
      <c r="R37" s="730">
        <f t="shared" si="1"/>
        <v>0</v>
      </c>
      <c r="S37" s="267"/>
      <c r="T37" s="632"/>
      <c r="U37" s="662"/>
      <c r="V37" s="632" t="s">
        <v>263</v>
      </c>
      <c r="W37" s="632"/>
      <c r="X37" s="632"/>
      <c r="Y37" s="632" t="s">
        <v>518</v>
      </c>
      <c r="Z37" s="632"/>
      <c r="AA37" s="632"/>
      <c r="AB37" s="255"/>
      <c r="AC37" s="255"/>
      <c r="AD37" s="255"/>
      <c r="AE37" s="255"/>
      <c r="AF37" s="255"/>
      <c r="AG37" s="255"/>
      <c r="AH37" s="255"/>
      <c r="AI37" s="255"/>
      <c r="AJ37" s="255"/>
      <c r="AK37" s="255"/>
      <c r="AL37" s="239"/>
      <c r="AM37" s="632"/>
      <c r="AN37" s="632"/>
      <c r="AO37" s="632"/>
      <c r="AP37" s="632"/>
      <c r="AQ37" s="632"/>
      <c r="AR37" s="632"/>
      <c r="AS37" s="632"/>
      <c r="AT37" s="632"/>
      <c r="AU37" s="632"/>
      <c r="AV37" s="632"/>
      <c r="AW37" s="632"/>
      <c r="AX37" s="632"/>
      <c r="AY37" s="632"/>
      <c r="AZ37" s="632"/>
      <c r="BA37" s="632"/>
      <c r="BB37" s="632"/>
      <c r="BC37" s="632"/>
      <c r="BD37" s="632"/>
      <c r="BE37" s="632"/>
      <c r="BF37" s="632"/>
      <c r="BG37" s="632"/>
    </row>
    <row r="38" spans="1:59" outlineLevel="1" x14ac:dyDescent="0.2">
      <c r="A38" s="262" t="str">
        <f>IF(Stammblatt!$L$4=1,V39,Y39)</f>
        <v>Förderung 2</v>
      </c>
      <c r="B38" s="262"/>
      <c r="C38" s="263"/>
      <c r="D38" s="737"/>
      <c r="E38" s="267">
        <f t="shared" si="2"/>
        <v>0</v>
      </c>
      <c r="F38" s="1025"/>
      <c r="G38" s="1024"/>
      <c r="H38" s="235"/>
      <c r="I38" s="238">
        <f>D38</f>
        <v>0</v>
      </c>
      <c r="J38" s="239"/>
      <c r="K38" s="238"/>
      <c r="L38" s="239"/>
      <c r="M38" s="239"/>
      <c r="N38" s="239"/>
      <c r="O38" s="632"/>
      <c r="P38" s="632"/>
      <c r="Q38" s="737"/>
      <c r="R38" s="730">
        <f t="shared" si="1"/>
        <v>0</v>
      </c>
      <c r="S38" s="267"/>
      <c r="T38" s="632"/>
      <c r="U38" s="662"/>
      <c r="V38" s="632" t="s">
        <v>212</v>
      </c>
      <c r="W38" s="632"/>
      <c r="X38" s="632"/>
      <c r="Y38" s="632" t="s">
        <v>524</v>
      </c>
      <c r="Z38" s="632"/>
      <c r="AA38" s="632"/>
      <c r="AB38" s="255"/>
      <c r="AC38" s="255"/>
      <c r="AD38" s="255"/>
      <c r="AE38" s="255"/>
      <c r="AF38" s="255"/>
      <c r="AG38" s="255"/>
      <c r="AH38" s="255"/>
      <c r="AI38" s="255"/>
      <c r="AJ38" s="255"/>
      <c r="AK38" s="255"/>
      <c r="AL38" s="239"/>
      <c r="AM38" s="632"/>
      <c r="AN38" s="632"/>
      <c r="AO38" s="632"/>
      <c r="AP38" s="632"/>
      <c r="AQ38" s="632"/>
      <c r="AR38" s="632"/>
      <c r="AS38" s="632"/>
      <c r="AT38" s="632"/>
      <c r="AU38" s="632"/>
      <c r="AV38" s="632"/>
      <c r="AW38" s="632"/>
      <c r="AX38" s="632"/>
      <c r="AY38" s="632"/>
      <c r="AZ38" s="632"/>
      <c r="BA38" s="632"/>
      <c r="BB38" s="632"/>
      <c r="BC38" s="632"/>
      <c r="BD38" s="632"/>
      <c r="BE38" s="632"/>
      <c r="BF38" s="632"/>
      <c r="BG38" s="632"/>
    </row>
    <row r="39" spans="1:59" outlineLevel="1" x14ac:dyDescent="0.2">
      <c r="A39" s="262" t="str">
        <f>IF(Stammblatt!$L$4=1,V40,Y40)</f>
        <v>Förderung 3</v>
      </c>
      <c r="B39" s="262"/>
      <c r="C39" s="263"/>
      <c r="D39" s="737"/>
      <c r="E39" s="267">
        <f t="shared" si="2"/>
        <v>0</v>
      </c>
      <c r="F39" s="1025"/>
      <c r="G39" s="1024"/>
      <c r="H39" s="235"/>
      <c r="I39" s="238">
        <f>D39</f>
        <v>0</v>
      </c>
      <c r="J39" s="239"/>
      <c r="K39" s="238"/>
      <c r="L39" s="239"/>
      <c r="M39" s="239"/>
      <c r="N39" s="239"/>
      <c r="O39" s="632"/>
      <c r="P39" s="632"/>
      <c r="Q39" s="737"/>
      <c r="R39" s="730">
        <f t="shared" si="1"/>
        <v>0</v>
      </c>
      <c r="S39" s="267"/>
      <c r="T39" s="632"/>
      <c r="U39" s="662"/>
      <c r="V39" s="632" t="s">
        <v>213</v>
      </c>
      <c r="W39" s="632"/>
      <c r="X39" s="632"/>
      <c r="Y39" s="632" t="s">
        <v>525</v>
      </c>
      <c r="Z39" s="632"/>
      <c r="AA39" s="632"/>
      <c r="AB39" s="255"/>
      <c r="AC39" s="255"/>
      <c r="AD39" s="255"/>
      <c r="AE39" s="255"/>
      <c r="AF39" s="255"/>
      <c r="AG39" s="255"/>
      <c r="AH39" s="255"/>
      <c r="AI39" s="255"/>
      <c r="AJ39" s="255"/>
      <c r="AK39" s="255"/>
      <c r="AL39" s="239"/>
      <c r="AM39" s="632"/>
      <c r="AN39" s="632"/>
      <c r="AO39" s="632"/>
      <c r="AP39" s="632"/>
      <c r="AQ39" s="632"/>
      <c r="AR39" s="632"/>
      <c r="AS39" s="632"/>
      <c r="AT39" s="632"/>
      <c r="AU39" s="632"/>
      <c r="AV39" s="632"/>
      <c r="AW39" s="632"/>
      <c r="AX39" s="632"/>
      <c r="AY39" s="632"/>
      <c r="AZ39" s="632"/>
      <c r="BA39" s="632"/>
      <c r="BB39" s="632"/>
      <c r="BC39" s="632"/>
      <c r="BD39" s="632"/>
      <c r="BE39" s="632"/>
      <c r="BF39" s="632"/>
      <c r="BG39" s="632"/>
    </row>
    <row r="40" spans="1:59" outlineLevel="1" x14ac:dyDescent="0.2">
      <c r="A40" s="262" t="str">
        <f>IF(Stammblatt!$L$4=1,V41,Y41)</f>
        <v>Sonstige</v>
      </c>
      <c r="B40" s="262"/>
      <c r="C40" s="263"/>
      <c r="D40" s="737"/>
      <c r="E40" s="267">
        <f t="shared" si="2"/>
        <v>0</v>
      </c>
      <c r="F40" s="1025"/>
      <c r="G40" s="1024"/>
      <c r="H40" s="235"/>
      <c r="I40" s="238">
        <f>D40-K40</f>
        <v>0</v>
      </c>
      <c r="J40" s="239"/>
      <c r="K40" s="1274"/>
      <c r="L40" s="239"/>
      <c r="M40" s="239"/>
      <c r="N40" s="239"/>
      <c r="O40" s="632"/>
      <c r="P40" s="632"/>
      <c r="Q40" s="737"/>
      <c r="R40" s="730">
        <f t="shared" si="1"/>
        <v>0</v>
      </c>
      <c r="S40" s="267"/>
      <c r="T40" s="632"/>
      <c r="U40" s="662">
        <f>SUM(D37:D40)</f>
        <v>0</v>
      </c>
      <c r="V40" s="632" t="s">
        <v>253</v>
      </c>
      <c r="W40" s="632"/>
      <c r="X40" s="632"/>
      <c r="Y40" s="632" t="s">
        <v>526</v>
      </c>
      <c r="Z40" s="632"/>
      <c r="AA40" s="632"/>
      <c r="AB40" s="255"/>
      <c r="AC40" s="255"/>
      <c r="AD40" s="255"/>
      <c r="AE40" s="255"/>
      <c r="AF40" s="255"/>
      <c r="AG40" s="255"/>
      <c r="AH40" s="255"/>
      <c r="AI40" s="255"/>
      <c r="AJ40" s="255"/>
      <c r="AK40" s="255"/>
      <c r="AL40" s="239"/>
      <c r="AM40" s="632"/>
      <c r="AN40" s="632"/>
      <c r="AO40" s="632"/>
      <c r="AP40" s="632"/>
      <c r="AQ40" s="632"/>
      <c r="AR40" s="632"/>
      <c r="AS40" s="632"/>
      <c r="AT40" s="632"/>
      <c r="AU40" s="632"/>
      <c r="AV40" s="632"/>
      <c r="AW40" s="632"/>
      <c r="AX40" s="632"/>
      <c r="AY40" s="632"/>
      <c r="AZ40" s="632"/>
      <c r="BA40" s="632"/>
      <c r="BB40" s="632"/>
      <c r="BC40" s="632"/>
      <c r="BD40" s="632"/>
      <c r="BE40" s="632"/>
      <c r="BF40" s="632"/>
      <c r="BG40" s="632"/>
    </row>
    <row r="41" spans="1:59" outlineLevel="1" x14ac:dyDescent="0.2">
      <c r="A41" s="262" t="s">
        <v>210</v>
      </c>
      <c r="B41" s="262"/>
      <c r="C41" s="263"/>
      <c r="D41" s="737"/>
      <c r="E41" s="267">
        <f t="shared" si="2"/>
        <v>0</v>
      </c>
      <c r="F41" s="1025"/>
      <c r="G41" s="1024"/>
      <c r="H41" s="235"/>
      <c r="I41" s="238">
        <f>D41</f>
        <v>0</v>
      </c>
      <c r="J41" s="239"/>
      <c r="K41" s="238"/>
      <c r="L41" s="239"/>
      <c r="M41" s="239"/>
      <c r="N41" s="239"/>
      <c r="O41" s="632"/>
      <c r="P41" s="632"/>
      <c r="Q41" s="737"/>
      <c r="R41" s="730">
        <f t="shared" si="1"/>
        <v>0</v>
      </c>
      <c r="S41" s="267"/>
      <c r="T41" s="632"/>
      <c r="U41" s="662"/>
      <c r="V41" s="632" t="s">
        <v>194</v>
      </c>
      <c r="W41" s="632"/>
      <c r="X41" s="632"/>
      <c r="Y41" s="632" t="s">
        <v>356</v>
      </c>
      <c r="Z41" s="632"/>
      <c r="AA41" s="632"/>
      <c r="AB41" s="255"/>
      <c r="AC41" s="255"/>
      <c r="AD41" s="255"/>
      <c r="AE41" s="255"/>
      <c r="AF41" s="255"/>
      <c r="AG41" s="255"/>
      <c r="AH41" s="255"/>
      <c r="AI41" s="255"/>
      <c r="AJ41" s="255"/>
      <c r="AK41" s="255"/>
      <c r="AL41" s="239"/>
      <c r="AM41" s="632"/>
      <c r="AN41" s="632"/>
      <c r="AO41" s="632"/>
      <c r="AP41" s="632"/>
      <c r="AQ41" s="632"/>
      <c r="AR41" s="632"/>
      <c r="AS41" s="632"/>
      <c r="AT41" s="632"/>
      <c r="AU41" s="632"/>
      <c r="AV41" s="632"/>
      <c r="AW41" s="632"/>
      <c r="AX41" s="632"/>
      <c r="AY41" s="632"/>
      <c r="AZ41" s="632"/>
      <c r="BA41" s="632"/>
      <c r="BB41" s="632"/>
      <c r="BC41" s="632"/>
      <c r="BD41" s="632"/>
      <c r="BE41" s="632"/>
      <c r="BF41" s="632"/>
      <c r="BG41" s="632"/>
    </row>
    <row r="42" spans="1:59" outlineLevel="1" x14ac:dyDescent="0.2">
      <c r="A42" s="262" t="str">
        <f>IF(Stammblatt!$L$4=1,V43,Y43)</f>
        <v>TV-Anstalt</v>
      </c>
      <c r="B42" s="262"/>
      <c r="C42" s="263"/>
      <c r="D42" s="737"/>
      <c r="E42" s="267">
        <f t="shared" si="2"/>
        <v>0</v>
      </c>
      <c r="F42" s="1025"/>
      <c r="G42" s="1026"/>
      <c r="H42" s="235"/>
      <c r="I42" s="238">
        <f>D42-K42</f>
        <v>0</v>
      </c>
      <c r="J42" s="246"/>
      <c r="K42" s="1274"/>
      <c r="L42" s="239"/>
      <c r="M42" s="239"/>
      <c r="N42" s="239"/>
      <c r="O42" s="632"/>
      <c r="P42" s="632"/>
      <c r="Q42" s="737"/>
      <c r="R42" s="730">
        <f t="shared" si="1"/>
        <v>0</v>
      </c>
      <c r="S42" s="267"/>
      <c r="T42" s="632"/>
      <c r="U42" s="662"/>
      <c r="V42" s="632" t="s">
        <v>210</v>
      </c>
      <c r="W42" s="632"/>
      <c r="X42" s="632"/>
      <c r="Y42" s="632"/>
      <c r="Z42" s="632"/>
      <c r="AA42" s="632"/>
      <c r="AB42" s="255"/>
      <c r="AC42" s="255"/>
      <c r="AD42" s="255"/>
      <c r="AE42" s="255"/>
      <c r="AF42" s="255"/>
      <c r="AG42" s="255"/>
      <c r="AH42" s="255"/>
      <c r="AI42" s="255"/>
      <c r="AJ42" s="255"/>
      <c r="AK42" s="255"/>
      <c r="AL42" s="239"/>
      <c r="AM42" s="632"/>
      <c r="AN42" s="632"/>
      <c r="AO42" s="632"/>
      <c r="AP42" s="632"/>
      <c r="AQ42" s="632"/>
      <c r="AR42" s="632"/>
      <c r="AS42" s="632"/>
      <c r="AT42" s="632"/>
      <c r="AU42" s="632"/>
      <c r="AV42" s="632"/>
      <c r="AW42" s="632"/>
      <c r="AX42" s="632"/>
      <c r="AY42" s="632"/>
      <c r="AZ42" s="632"/>
      <c r="BA42" s="632"/>
      <c r="BB42" s="632"/>
      <c r="BC42" s="632"/>
      <c r="BD42" s="632"/>
      <c r="BE42" s="632"/>
      <c r="BF42" s="632"/>
      <c r="BG42" s="632"/>
    </row>
    <row r="43" spans="1:59" outlineLevel="1" x14ac:dyDescent="0.15">
      <c r="A43" s="230"/>
      <c r="B43" s="230"/>
      <c r="C43" s="1268" t="str">
        <f>IF(Stammblatt!$L$4=1,"Kontrollsumme","check sum")</f>
        <v>Kontrollsumme</v>
      </c>
      <c r="D43" s="1269">
        <f>SUM(D35:D42)</f>
        <v>0</v>
      </c>
      <c r="E43" s="717">
        <f>SUM(E35:E42)</f>
        <v>0</v>
      </c>
      <c r="F43" s="250"/>
      <c r="G43" s="245"/>
      <c r="H43" s="235"/>
      <c r="I43" s="239"/>
      <c r="J43" s="239"/>
      <c r="K43" s="239"/>
      <c r="L43" s="239"/>
      <c r="M43" s="239"/>
      <c r="N43" s="239"/>
      <c r="O43" s="632"/>
      <c r="P43" s="1268" t="str">
        <f>IF(Stammblatt!$L$4=1,"Kontrollsumme","check sum")</f>
        <v>Kontrollsumme</v>
      </c>
      <c r="Q43" s="1269">
        <f>SUM(Q35:Q42)</f>
        <v>0</v>
      </c>
      <c r="R43" s="1269">
        <f t="shared" ref="R43:S43" si="3">SUM(R35:R42)</f>
        <v>0</v>
      </c>
      <c r="S43" s="717">
        <f t="shared" si="3"/>
        <v>0</v>
      </c>
      <c r="T43" s="632"/>
      <c r="U43" s="662"/>
      <c r="V43" s="632" t="s">
        <v>252</v>
      </c>
      <c r="W43" s="632"/>
      <c r="X43" s="632"/>
      <c r="Y43" s="632" t="s">
        <v>527</v>
      </c>
      <c r="Z43" s="632"/>
      <c r="AA43" s="632"/>
      <c r="AB43" s="255"/>
      <c r="AC43" s="255"/>
      <c r="AD43" s="255"/>
      <c r="AE43" s="255"/>
      <c r="AF43" s="255"/>
      <c r="AG43" s="255"/>
      <c r="AH43" s="255"/>
      <c r="AI43" s="255"/>
      <c r="AJ43" s="255"/>
      <c r="AK43" s="255"/>
      <c r="AL43" s="239"/>
      <c r="AM43" s="632"/>
      <c r="AN43" s="632"/>
      <c r="AO43" s="632"/>
      <c r="AP43" s="632"/>
      <c r="AQ43" s="632"/>
      <c r="AR43" s="632"/>
      <c r="AS43" s="632"/>
      <c r="AT43" s="632"/>
      <c r="AU43" s="632"/>
      <c r="AV43" s="632"/>
      <c r="AW43" s="632"/>
      <c r="AX43" s="632"/>
      <c r="AY43" s="632"/>
      <c r="AZ43" s="632"/>
      <c r="BA43" s="632"/>
      <c r="BB43" s="632"/>
      <c r="BC43" s="632"/>
      <c r="BD43" s="632"/>
      <c r="BE43" s="632"/>
      <c r="BF43" s="632"/>
      <c r="BG43" s="632"/>
    </row>
    <row r="44" spans="1:59" ht="12.75" customHeight="1" x14ac:dyDescent="0.2">
      <c r="A44" s="230"/>
      <c r="B44" s="230"/>
      <c r="C44" s="256"/>
      <c r="D44" s="741"/>
      <c r="E44" s="270"/>
      <c r="F44" s="250"/>
      <c r="G44" s="245"/>
      <c r="H44" s="235"/>
      <c r="I44" s="239"/>
      <c r="J44" s="239"/>
      <c r="K44" s="239"/>
      <c r="L44" s="239"/>
      <c r="M44" s="239"/>
      <c r="N44" s="239"/>
      <c r="O44" s="632"/>
      <c r="P44" s="632"/>
      <c r="Q44" s="668"/>
      <c r="R44" s="632"/>
      <c r="S44" s="632"/>
      <c r="T44" s="632"/>
      <c r="U44" s="662"/>
      <c r="V44" s="632"/>
      <c r="W44" s="632"/>
      <c r="X44" s="632"/>
      <c r="Y44" s="632"/>
      <c r="Z44" s="632"/>
      <c r="AA44" s="632"/>
      <c r="AB44" s="255"/>
      <c r="AC44" s="255"/>
      <c r="AD44" s="255"/>
      <c r="AE44" s="255"/>
      <c r="AF44" s="255"/>
      <c r="AG44" s="255"/>
      <c r="AH44" s="255"/>
      <c r="AI44" s="255"/>
      <c r="AJ44" s="255"/>
      <c r="AK44" s="255"/>
      <c r="AL44" s="239"/>
      <c r="AM44" s="632"/>
      <c r="AN44" s="632"/>
      <c r="AO44" s="632"/>
      <c r="AP44" s="632"/>
      <c r="AQ44" s="632"/>
      <c r="AR44" s="632"/>
      <c r="AS44" s="632"/>
      <c r="AT44" s="632"/>
      <c r="AU44" s="632"/>
      <c r="AV44" s="632"/>
      <c r="AW44" s="632"/>
      <c r="AX44" s="632"/>
      <c r="AY44" s="632"/>
      <c r="AZ44" s="632"/>
      <c r="BA44" s="632"/>
      <c r="BB44" s="632"/>
      <c r="BC44" s="632"/>
      <c r="BD44" s="632"/>
      <c r="BE44" s="632"/>
      <c r="BF44" s="632"/>
      <c r="BG44" s="632"/>
    </row>
    <row r="45" spans="1:59" ht="18" customHeight="1" outlineLevel="1" x14ac:dyDescent="0.2">
      <c r="A45" s="88" t="str">
        <f>IF(Stammblatt!L4=1,Finanzierungsplan!V4 &amp; Stammblatt!B34,Finanzierungsplan!Y4 &amp; Stammblatt!B34)</f>
        <v>Finanzierung B</v>
      </c>
      <c r="B45" s="88"/>
      <c r="C45" s="67"/>
      <c r="D45" s="114">
        <f>FIN_B</f>
        <v>0</v>
      </c>
      <c r="E45" s="85">
        <f>IF(D45=0,0,D45/$D$67)</f>
        <v>0</v>
      </c>
      <c r="F45" s="250"/>
      <c r="G45" s="245"/>
      <c r="H45" s="235"/>
      <c r="I45" s="1271">
        <f>SUM(I46:I53)</f>
        <v>0</v>
      </c>
      <c r="J45" s="1272">
        <f ca="1">IF($I$67=0,,I45/$I$67)</f>
        <v>0</v>
      </c>
      <c r="K45" s="1271">
        <f>SUM(K46:K53)</f>
        <v>0</v>
      </c>
      <c r="L45" s="1273">
        <f>IF($K$67=0,,K45/$K$67)</f>
        <v>0</v>
      </c>
      <c r="M45" s="239"/>
      <c r="N45" s="239"/>
      <c r="O45" s="632"/>
      <c r="P45" s="632"/>
      <c r="Q45" s="114">
        <f>SUM(Q46:Q53)</f>
        <v>0</v>
      </c>
      <c r="R45" s="114">
        <f>Q45-D45</f>
        <v>0</v>
      </c>
      <c r="S45" s="115">
        <f>IF(Q45=0,0,Q45/$Q$67)</f>
        <v>0</v>
      </c>
      <c r="T45" s="632"/>
      <c r="U45" s="662"/>
      <c r="V45" s="632"/>
      <c r="W45" s="632"/>
      <c r="X45" s="632"/>
      <c r="Y45" s="632"/>
      <c r="Z45" s="632"/>
      <c r="AA45" s="632"/>
      <c r="AB45" s="255"/>
      <c r="AC45" s="255"/>
      <c r="AD45" s="255"/>
      <c r="AE45" s="255"/>
      <c r="AF45" s="255"/>
      <c r="AG45" s="255"/>
      <c r="AH45" s="255"/>
      <c r="AI45" s="255"/>
      <c r="AJ45" s="255"/>
      <c r="AK45" s="255"/>
      <c r="AL45" s="239"/>
      <c r="AM45" s="632"/>
      <c r="AN45" s="632"/>
      <c r="AO45" s="632"/>
      <c r="AP45" s="632"/>
      <c r="AQ45" s="632"/>
      <c r="AR45" s="632"/>
      <c r="AS45" s="632"/>
      <c r="AT45" s="632"/>
      <c r="AU45" s="632"/>
      <c r="AV45" s="632"/>
      <c r="AW45" s="632"/>
      <c r="AX45" s="632"/>
      <c r="AY45" s="632"/>
      <c r="AZ45" s="632"/>
      <c r="BA45" s="632"/>
      <c r="BB45" s="632"/>
      <c r="BC45" s="632"/>
      <c r="BD45" s="632"/>
      <c r="BE45" s="632"/>
      <c r="BF45" s="632"/>
      <c r="BG45" s="632"/>
    </row>
    <row r="46" spans="1:59" ht="21" customHeight="1" outlineLevel="1" x14ac:dyDescent="0.2">
      <c r="A46" s="262" t="str">
        <f>IF(Stammblatt!$L$4=1,V47,Y47)</f>
        <v>Eigenanteil</v>
      </c>
      <c r="B46" s="262"/>
      <c r="C46" s="263"/>
      <c r="D46" s="737"/>
      <c r="E46" s="267">
        <f>IF($D$45=0,0,D46/$D$45)</f>
        <v>0</v>
      </c>
      <c r="F46" s="1025"/>
      <c r="G46" s="1022"/>
      <c r="H46" s="235"/>
      <c r="I46" s="238">
        <f>D46</f>
        <v>0</v>
      </c>
      <c r="J46" s="239"/>
      <c r="K46" s="238"/>
      <c r="L46" s="239"/>
      <c r="M46" s="239"/>
      <c r="N46" s="239"/>
      <c r="O46" s="632"/>
      <c r="P46" s="632"/>
      <c r="Q46" s="737"/>
      <c r="R46" s="730">
        <f t="shared" ref="R46:R53" si="4">Q46-D46</f>
        <v>0</v>
      </c>
      <c r="S46" s="267"/>
      <c r="T46" s="632"/>
      <c r="U46" s="662"/>
      <c r="V46" s="632" t="s">
        <v>259</v>
      </c>
      <c r="W46" s="632"/>
      <c r="X46" s="632"/>
      <c r="Y46" s="632"/>
      <c r="Z46" s="632"/>
      <c r="AA46" s="632"/>
      <c r="AB46" s="255"/>
      <c r="AC46" s="255"/>
      <c r="AD46" s="255"/>
      <c r="AE46" s="255"/>
      <c r="AF46" s="255"/>
      <c r="AG46" s="255"/>
      <c r="AH46" s="255"/>
      <c r="AI46" s="255"/>
      <c r="AJ46" s="255"/>
      <c r="AK46" s="255"/>
      <c r="AL46" s="239"/>
      <c r="AM46" s="632"/>
      <c r="AN46" s="632"/>
      <c r="AO46" s="632"/>
      <c r="AP46" s="632"/>
      <c r="AQ46" s="632"/>
      <c r="AR46" s="632"/>
      <c r="AS46" s="632"/>
      <c r="AT46" s="632"/>
      <c r="AU46" s="632"/>
      <c r="AV46" s="632"/>
      <c r="AW46" s="632"/>
      <c r="AX46" s="632"/>
      <c r="AY46" s="632"/>
      <c r="AZ46" s="632"/>
      <c r="BA46" s="632"/>
      <c r="BB46" s="632"/>
      <c r="BC46" s="632"/>
      <c r="BD46" s="632"/>
      <c r="BE46" s="632"/>
      <c r="BF46" s="632"/>
      <c r="BG46" s="632"/>
    </row>
    <row r="47" spans="1:59" outlineLevel="1" x14ac:dyDescent="0.2">
      <c r="A47" s="264" t="str">
        <f>IF(Stammblatt!$L$4=1,V48,Y48)</f>
        <v>Lizenzen, Garantien etc.</v>
      </c>
      <c r="B47" s="262"/>
      <c r="C47" s="263"/>
      <c r="D47" s="737">
        <f>D75*E45</f>
        <v>0</v>
      </c>
      <c r="E47" s="267">
        <f t="shared" ref="E47:E53" si="5">IF($D$45=0,0,D47/$D$45)</f>
        <v>0</v>
      </c>
      <c r="F47" s="1025"/>
      <c r="G47" s="1022"/>
      <c r="H47" s="235"/>
      <c r="I47" s="238"/>
      <c r="J47" s="239"/>
      <c r="K47" s="238">
        <f>D47</f>
        <v>0</v>
      </c>
      <c r="L47" s="239"/>
      <c r="M47" s="239"/>
      <c r="N47" s="239"/>
      <c r="O47" s="632"/>
      <c r="P47" s="632"/>
      <c r="Q47" s="737"/>
      <c r="R47" s="730">
        <f t="shared" si="4"/>
        <v>0</v>
      </c>
      <c r="S47" s="267"/>
      <c r="T47" s="632"/>
      <c r="U47" s="662"/>
      <c r="V47" s="632" t="s">
        <v>211</v>
      </c>
      <c r="W47" s="632"/>
      <c r="X47" s="632"/>
      <c r="Y47" s="632" t="s">
        <v>516</v>
      </c>
      <c r="Z47" s="632"/>
      <c r="AA47" s="632"/>
      <c r="AB47" s="255"/>
      <c r="AC47" s="255"/>
      <c r="AD47" s="255"/>
      <c r="AE47" s="255"/>
      <c r="AF47" s="255"/>
      <c r="AG47" s="255"/>
      <c r="AH47" s="255"/>
      <c r="AI47" s="255"/>
      <c r="AJ47" s="255"/>
      <c r="AK47" s="255"/>
      <c r="AL47" s="239"/>
      <c r="AM47" s="632"/>
      <c r="AN47" s="632"/>
      <c r="AO47" s="632"/>
      <c r="AP47" s="632"/>
      <c r="AQ47" s="632"/>
      <c r="AR47" s="632"/>
      <c r="AS47" s="632"/>
      <c r="AT47" s="632"/>
      <c r="AU47" s="632"/>
      <c r="AV47" s="632"/>
      <c r="AW47" s="632"/>
      <c r="AX47" s="632"/>
      <c r="AY47" s="632"/>
      <c r="AZ47" s="632"/>
      <c r="BA47" s="632"/>
      <c r="BB47" s="632"/>
      <c r="BC47" s="632"/>
      <c r="BD47" s="632"/>
      <c r="BE47" s="632"/>
      <c r="BF47" s="632"/>
      <c r="BG47" s="632"/>
    </row>
    <row r="48" spans="1:59" outlineLevel="1" x14ac:dyDescent="0.2">
      <c r="A48" s="262" t="str">
        <f>IF(Stammblatt!$L$4=1,V49,Y49)</f>
        <v>Förderung 1</v>
      </c>
      <c r="B48" s="262"/>
      <c r="C48" s="263"/>
      <c r="D48" s="737"/>
      <c r="E48" s="267">
        <f t="shared" si="5"/>
        <v>0</v>
      </c>
      <c r="F48" s="1025"/>
      <c r="G48" s="1022"/>
      <c r="H48" s="235"/>
      <c r="I48" s="238">
        <f>D48</f>
        <v>0</v>
      </c>
      <c r="J48" s="239"/>
      <c r="K48" s="238"/>
      <c r="L48" s="239"/>
      <c r="M48" s="239"/>
      <c r="N48" s="239"/>
      <c r="O48" s="632"/>
      <c r="P48" s="632"/>
      <c r="Q48" s="737"/>
      <c r="R48" s="730">
        <f t="shared" si="4"/>
        <v>0</v>
      </c>
      <c r="S48" s="267"/>
      <c r="T48" s="632"/>
      <c r="U48" s="662"/>
      <c r="V48" s="632" t="s">
        <v>263</v>
      </c>
      <c r="W48" s="632"/>
      <c r="X48" s="632"/>
      <c r="Y48" s="632" t="s">
        <v>518</v>
      </c>
      <c r="Z48" s="632"/>
      <c r="AA48" s="632"/>
      <c r="AB48" s="255"/>
      <c r="AC48" s="255"/>
      <c r="AD48" s="255"/>
      <c r="AE48" s="255"/>
      <c r="AF48" s="255"/>
      <c r="AG48" s="255"/>
      <c r="AH48" s="255"/>
      <c r="AI48" s="255"/>
      <c r="AJ48" s="255"/>
      <c r="AK48" s="255"/>
      <c r="AL48" s="239"/>
      <c r="AM48" s="632"/>
      <c r="AN48" s="632"/>
      <c r="AO48" s="632"/>
      <c r="AP48" s="632"/>
      <c r="AQ48" s="632"/>
      <c r="AR48" s="632"/>
      <c r="AS48" s="632"/>
      <c r="AT48" s="632"/>
      <c r="AU48" s="632"/>
      <c r="AV48" s="632"/>
      <c r="AW48" s="632"/>
      <c r="AX48" s="632"/>
      <c r="AY48" s="632"/>
      <c r="AZ48" s="632"/>
      <c r="BA48" s="632"/>
      <c r="BB48" s="632"/>
      <c r="BC48" s="632"/>
      <c r="BD48" s="632"/>
      <c r="BE48" s="632"/>
      <c r="BF48" s="632"/>
      <c r="BG48" s="632"/>
    </row>
    <row r="49" spans="1:59" outlineLevel="1" x14ac:dyDescent="0.2">
      <c r="A49" s="262" t="str">
        <f>IF(Stammblatt!$L$4=1,V50,Y50)</f>
        <v>Förderung 2</v>
      </c>
      <c r="B49" s="262"/>
      <c r="C49" s="263"/>
      <c r="D49" s="737"/>
      <c r="E49" s="267">
        <f t="shared" si="5"/>
        <v>0</v>
      </c>
      <c r="F49" s="1025"/>
      <c r="G49" s="1024"/>
      <c r="H49" s="235"/>
      <c r="I49" s="238">
        <f>D49</f>
        <v>0</v>
      </c>
      <c r="J49" s="239"/>
      <c r="K49" s="238"/>
      <c r="L49" s="239"/>
      <c r="M49" s="239"/>
      <c r="N49" s="239"/>
      <c r="O49" s="632"/>
      <c r="P49" s="632"/>
      <c r="Q49" s="737"/>
      <c r="R49" s="730">
        <f t="shared" si="4"/>
        <v>0</v>
      </c>
      <c r="S49" s="267"/>
      <c r="T49" s="632"/>
      <c r="U49" s="662"/>
      <c r="V49" s="632" t="s">
        <v>212</v>
      </c>
      <c r="W49" s="632"/>
      <c r="X49" s="632"/>
      <c r="Y49" s="632" t="s">
        <v>524</v>
      </c>
      <c r="Z49" s="632"/>
      <c r="AA49" s="632"/>
      <c r="AB49" s="255"/>
      <c r="AC49" s="255"/>
      <c r="AD49" s="255"/>
      <c r="AE49" s="255"/>
      <c r="AF49" s="255"/>
      <c r="AG49" s="255"/>
      <c r="AH49" s="255"/>
      <c r="AI49" s="255"/>
      <c r="AJ49" s="255"/>
      <c r="AK49" s="255"/>
      <c r="AL49" s="239"/>
      <c r="AM49" s="632"/>
      <c r="AN49" s="632"/>
      <c r="AO49" s="632"/>
      <c r="AP49" s="632"/>
      <c r="AQ49" s="632"/>
      <c r="AR49" s="632"/>
      <c r="AS49" s="632"/>
      <c r="AT49" s="632"/>
      <c r="AU49" s="632"/>
      <c r="AV49" s="632"/>
      <c r="AW49" s="632"/>
      <c r="AX49" s="632"/>
      <c r="AY49" s="632"/>
      <c r="AZ49" s="632"/>
      <c r="BA49" s="632"/>
      <c r="BB49" s="632"/>
      <c r="BC49" s="632"/>
      <c r="BD49" s="632"/>
      <c r="BE49" s="632"/>
      <c r="BF49" s="632"/>
      <c r="BG49" s="632"/>
    </row>
    <row r="50" spans="1:59" outlineLevel="1" x14ac:dyDescent="0.2">
      <c r="A50" s="262" t="str">
        <f>IF(Stammblatt!$L$4=1,V51,Y51)</f>
        <v>Förderung 3</v>
      </c>
      <c r="B50" s="262"/>
      <c r="C50" s="263"/>
      <c r="D50" s="737"/>
      <c r="E50" s="267">
        <f t="shared" si="5"/>
        <v>0</v>
      </c>
      <c r="F50" s="1025"/>
      <c r="G50" s="1024"/>
      <c r="H50" s="235"/>
      <c r="I50" s="238">
        <f>D50</f>
        <v>0</v>
      </c>
      <c r="J50" s="239"/>
      <c r="K50" s="238"/>
      <c r="L50" s="239"/>
      <c r="M50" s="239"/>
      <c r="N50" s="239"/>
      <c r="O50" s="632"/>
      <c r="P50" s="632"/>
      <c r="Q50" s="737"/>
      <c r="R50" s="730">
        <f t="shared" si="4"/>
        <v>0</v>
      </c>
      <c r="S50" s="267"/>
      <c r="T50" s="632"/>
      <c r="U50" s="662"/>
      <c r="V50" s="632" t="s">
        <v>213</v>
      </c>
      <c r="W50" s="632"/>
      <c r="X50" s="632"/>
      <c r="Y50" s="632" t="s">
        <v>525</v>
      </c>
      <c r="Z50" s="632"/>
      <c r="AA50" s="632"/>
      <c r="AB50" s="255"/>
      <c r="AC50" s="255"/>
      <c r="AD50" s="255"/>
      <c r="AE50" s="255"/>
      <c r="AF50" s="255"/>
      <c r="AG50" s="255"/>
      <c r="AH50" s="255"/>
      <c r="AI50" s="255"/>
      <c r="AJ50" s="255"/>
      <c r="AK50" s="255"/>
      <c r="AL50" s="239"/>
      <c r="AM50" s="632"/>
      <c r="AN50" s="632"/>
      <c r="AO50" s="632"/>
      <c r="AP50" s="632"/>
      <c r="AQ50" s="632"/>
      <c r="AR50" s="632"/>
      <c r="AS50" s="632"/>
      <c r="AT50" s="632"/>
      <c r="AU50" s="632"/>
      <c r="AV50" s="632"/>
      <c r="AW50" s="632"/>
      <c r="AX50" s="632"/>
      <c r="AY50" s="632"/>
      <c r="AZ50" s="632"/>
      <c r="BA50" s="632"/>
      <c r="BB50" s="632"/>
      <c r="BC50" s="632"/>
      <c r="BD50" s="632"/>
      <c r="BE50" s="632"/>
      <c r="BF50" s="632"/>
      <c r="BG50" s="632"/>
    </row>
    <row r="51" spans="1:59" outlineLevel="1" x14ac:dyDescent="0.2">
      <c r="A51" s="262" t="str">
        <f>IF(Stammblatt!$L$4=1,V52,Y52)</f>
        <v>Sonstige</v>
      </c>
      <c r="B51" s="262"/>
      <c r="C51" s="263"/>
      <c r="D51" s="737"/>
      <c r="E51" s="267">
        <f t="shared" si="5"/>
        <v>0</v>
      </c>
      <c r="F51" s="1025"/>
      <c r="G51" s="1024"/>
      <c r="H51" s="235"/>
      <c r="I51" s="238">
        <f>D51-K51</f>
        <v>0</v>
      </c>
      <c r="J51" s="239"/>
      <c r="K51" s="1274"/>
      <c r="L51" s="239"/>
      <c r="M51" s="239"/>
      <c r="N51" s="239"/>
      <c r="O51" s="632"/>
      <c r="P51" s="632"/>
      <c r="Q51" s="737"/>
      <c r="R51" s="730">
        <f t="shared" si="4"/>
        <v>0</v>
      </c>
      <c r="S51" s="267"/>
      <c r="T51" s="632"/>
      <c r="U51" s="662">
        <f>SUM(D48:D51)</f>
        <v>0</v>
      </c>
      <c r="V51" s="632" t="s">
        <v>253</v>
      </c>
      <c r="W51" s="632"/>
      <c r="X51" s="632"/>
      <c r="Y51" s="632" t="s">
        <v>526</v>
      </c>
      <c r="Z51" s="632"/>
      <c r="AA51" s="632"/>
      <c r="AB51" s="255"/>
      <c r="AC51" s="255"/>
      <c r="AD51" s="255"/>
      <c r="AE51" s="255"/>
      <c r="AF51" s="255"/>
      <c r="AG51" s="255"/>
      <c r="AH51" s="255"/>
      <c r="AI51" s="255"/>
      <c r="AJ51" s="255"/>
      <c r="AK51" s="255"/>
      <c r="AL51" s="239"/>
      <c r="AM51" s="632"/>
      <c r="AN51" s="632"/>
      <c r="AO51" s="632"/>
      <c r="AP51" s="632"/>
      <c r="AQ51" s="632"/>
      <c r="AR51" s="632"/>
      <c r="AS51" s="632"/>
      <c r="AT51" s="632"/>
      <c r="AU51" s="632"/>
      <c r="AV51" s="632"/>
      <c r="AW51" s="632"/>
      <c r="AX51" s="632"/>
      <c r="AY51" s="632"/>
      <c r="AZ51" s="632"/>
      <c r="BA51" s="632"/>
      <c r="BB51" s="632"/>
      <c r="BC51" s="632"/>
      <c r="BD51" s="632"/>
      <c r="BE51" s="632"/>
      <c r="BF51" s="632"/>
      <c r="BG51" s="632"/>
    </row>
    <row r="52" spans="1:59" outlineLevel="1" x14ac:dyDescent="0.2">
      <c r="A52" s="262" t="s">
        <v>210</v>
      </c>
      <c r="B52" s="262"/>
      <c r="C52" s="263"/>
      <c r="D52" s="737"/>
      <c r="E52" s="267">
        <f t="shared" si="5"/>
        <v>0</v>
      </c>
      <c r="F52" s="1025"/>
      <c r="G52" s="1024"/>
      <c r="H52" s="235"/>
      <c r="I52" s="238">
        <f>D52</f>
        <v>0</v>
      </c>
      <c r="J52" s="239"/>
      <c r="K52" s="238"/>
      <c r="L52" s="239"/>
      <c r="M52" s="239"/>
      <c r="N52" s="239"/>
      <c r="O52" s="632"/>
      <c r="P52" s="632"/>
      <c r="Q52" s="737"/>
      <c r="R52" s="730">
        <f t="shared" si="4"/>
        <v>0</v>
      </c>
      <c r="S52" s="267"/>
      <c r="T52" s="632"/>
      <c r="U52" s="662"/>
      <c r="V52" s="632" t="s">
        <v>194</v>
      </c>
      <c r="W52" s="632"/>
      <c r="X52" s="632"/>
      <c r="Y52" s="632" t="s">
        <v>356</v>
      </c>
      <c r="Z52" s="632"/>
      <c r="AA52" s="632"/>
      <c r="AB52" s="255"/>
      <c r="AC52" s="255"/>
      <c r="AD52" s="255"/>
      <c r="AE52" s="255"/>
      <c r="AF52" s="255"/>
      <c r="AG52" s="255"/>
      <c r="AH52" s="255"/>
      <c r="AI52" s="255"/>
      <c r="AJ52" s="255"/>
      <c r="AK52" s="255"/>
      <c r="AL52" s="239"/>
      <c r="AM52" s="632"/>
      <c r="AN52" s="632"/>
      <c r="AO52" s="632"/>
      <c r="AP52" s="632"/>
      <c r="AQ52" s="632"/>
      <c r="AR52" s="632"/>
      <c r="AS52" s="632"/>
      <c r="AT52" s="632"/>
      <c r="AU52" s="632"/>
      <c r="AV52" s="632"/>
      <c r="AW52" s="632"/>
      <c r="AX52" s="632"/>
      <c r="AY52" s="632"/>
      <c r="AZ52" s="632"/>
      <c r="BA52" s="632"/>
      <c r="BB52" s="632"/>
      <c r="BC52" s="632"/>
      <c r="BD52" s="632"/>
      <c r="BE52" s="632"/>
      <c r="BF52" s="632"/>
      <c r="BG52" s="632"/>
    </row>
    <row r="53" spans="1:59" outlineLevel="1" x14ac:dyDescent="0.2">
      <c r="A53" s="262" t="str">
        <f>IF(Stammblatt!$L$4=1,V54,Y54)</f>
        <v>TV-Anstalt</v>
      </c>
      <c r="B53" s="262"/>
      <c r="C53" s="263"/>
      <c r="D53" s="737"/>
      <c r="E53" s="267">
        <f t="shared" si="5"/>
        <v>0</v>
      </c>
      <c r="F53" s="1025"/>
      <c r="G53" s="1026"/>
      <c r="H53" s="235"/>
      <c r="I53" s="238">
        <f>D53-K53</f>
        <v>0</v>
      </c>
      <c r="J53" s="246"/>
      <c r="K53" s="1274"/>
      <c r="L53" s="239"/>
      <c r="M53" s="239"/>
      <c r="N53" s="239"/>
      <c r="O53" s="632"/>
      <c r="P53" s="632"/>
      <c r="Q53" s="737"/>
      <c r="R53" s="730">
        <f t="shared" si="4"/>
        <v>0</v>
      </c>
      <c r="S53" s="267"/>
      <c r="T53" s="632"/>
      <c r="U53" s="662"/>
      <c r="V53" s="632" t="s">
        <v>210</v>
      </c>
      <c r="W53" s="632"/>
      <c r="X53" s="632"/>
      <c r="Y53" s="632"/>
      <c r="Z53" s="632"/>
      <c r="AA53" s="632"/>
      <c r="AB53" s="255"/>
      <c r="AC53" s="255"/>
      <c r="AD53" s="255"/>
      <c r="AE53" s="255"/>
      <c r="AF53" s="255"/>
      <c r="AG53" s="255"/>
      <c r="AH53" s="255"/>
      <c r="AI53" s="255"/>
      <c r="AJ53" s="255"/>
      <c r="AK53" s="255"/>
      <c r="AL53" s="239"/>
      <c r="AM53" s="632"/>
      <c r="AN53" s="632"/>
      <c r="AO53" s="632"/>
      <c r="AP53" s="632"/>
      <c r="AQ53" s="632"/>
      <c r="AR53" s="632"/>
      <c r="AS53" s="632"/>
      <c r="AT53" s="632"/>
      <c r="AU53" s="632"/>
      <c r="AV53" s="632"/>
      <c r="AW53" s="632"/>
      <c r="AX53" s="632"/>
      <c r="AY53" s="632"/>
      <c r="AZ53" s="632"/>
      <c r="BA53" s="632"/>
      <c r="BB53" s="632"/>
      <c r="BC53" s="632"/>
      <c r="BD53" s="632"/>
      <c r="BE53" s="632"/>
      <c r="BF53" s="632"/>
      <c r="BG53" s="632"/>
    </row>
    <row r="54" spans="1:59" outlineLevel="1" x14ac:dyDescent="0.15">
      <c r="A54" s="230"/>
      <c r="B54" s="230"/>
      <c r="C54" s="1268" t="str">
        <f>IF(Stammblatt!$L$4=1,"Kontrollsumme","check sum")</f>
        <v>Kontrollsumme</v>
      </c>
      <c r="D54" s="1269">
        <f>SUM(D46:D53)</f>
        <v>0</v>
      </c>
      <c r="E54" s="717">
        <f>SUM(E46:E53)</f>
        <v>0</v>
      </c>
      <c r="F54" s="250"/>
      <c r="G54" s="245"/>
      <c r="H54" s="235"/>
      <c r="I54" s="239"/>
      <c r="J54" s="239"/>
      <c r="K54" s="239"/>
      <c r="L54" s="239"/>
      <c r="M54" s="239"/>
      <c r="N54" s="239"/>
      <c r="O54" s="632"/>
      <c r="P54" s="1268" t="str">
        <f>IF(Stammblatt!$L$4=1,"Kontrollsumme","check sum")</f>
        <v>Kontrollsumme</v>
      </c>
      <c r="Q54" s="1269">
        <f>SUM(Q46:Q53)</f>
        <v>0</v>
      </c>
      <c r="R54" s="1269">
        <f t="shared" ref="R54" si="6">SUM(R46:R53)</f>
        <v>0</v>
      </c>
      <c r="S54" s="717">
        <f t="shared" ref="S54" si="7">SUM(S46:S53)</f>
        <v>0</v>
      </c>
      <c r="T54" s="632"/>
      <c r="U54" s="662"/>
      <c r="V54" s="632" t="s">
        <v>252</v>
      </c>
      <c r="W54" s="632"/>
      <c r="X54" s="632"/>
      <c r="Y54" s="632" t="s">
        <v>527</v>
      </c>
      <c r="Z54" s="632"/>
      <c r="AA54" s="632"/>
      <c r="AB54" s="255"/>
      <c r="AC54" s="255"/>
      <c r="AD54" s="255"/>
      <c r="AE54" s="255"/>
      <c r="AF54" s="255"/>
      <c r="AG54" s="255"/>
      <c r="AH54" s="255"/>
      <c r="AI54" s="255"/>
      <c r="AJ54" s="255"/>
      <c r="AK54" s="255"/>
      <c r="AL54" s="239"/>
      <c r="AM54" s="632"/>
      <c r="AN54" s="632"/>
      <c r="AO54" s="632"/>
      <c r="AP54" s="632"/>
      <c r="AQ54" s="632"/>
      <c r="AR54" s="632"/>
      <c r="AS54" s="632"/>
      <c r="AT54" s="632"/>
      <c r="AU54" s="632"/>
      <c r="AV54" s="632"/>
      <c r="AW54" s="632"/>
      <c r="AX54" s="632"/>
      <c r="AY54" s="632"/>
      <c r="AZ54" s="632"/>
      <c r="BA54" s="632"/>
      <c r="BB54" s="632"/>
      <c r="BC54" s="632"/>
      <c r="BD54" s="632"/>
      <c r="BE54" s="632"/>
      <c r="BF54" s="632"/>
      <c r="BG54" s="632"/>
    </row>
    <row r="55" spans="1:59" ht="12.75" customHeight="1" x14ac:dyDescent="0.2">
      <c r="A55" s="230"/>
      <c r="B55" s="230"/>
      <c r="C55" s="230"/>
      <c r="D55" s="740"/>
      <c r="E55" s="230"/>
      <c r="F55" s="250"/>
      <c r="G55" s="245"/>
      <c r="H55" s="235"/>
      <c r="I55" s="239"/>
      <c r="J55" s="239"/>
      <c r="K55" s="239"/>
      <c r="L55" s="239"/>
      <c r="M55" s="239"/>
      <c r="N55" s="239"/>
      <c r="O55" s="632"/>
      <c r="P55" s="632"/>
      <c r="Q55" s="668"/>
      <c r="R55" s="632"/>
      <c r="S55" s="632"/>
      <c r="T55" s="632"/>
      <c r="U55" s="662"/>
      <c r="V55" s="632"/>
      <c r="W55" s="632"/>
      <c r="X55" s="632"/>
      <c r="Y55" s="632"/>
      <c r="Z55" s="632"/>
      <c r="AA55" s="632"/>
      <c r="AB55" s="255"/>
      <c r="AC55" s="255"/>
      <c r="AD55" s="255"/>
      <c r="AE55" s="255"/>
      <c r="AF55" s="255"/>
      <c r="AG55" s="255"/>
      <c r="AH55" s="255"/>
      <c r="AI55" s="255"/>
      <c r="AJ55" s="255"/>
      <c r="AK55" s="255"/>
      <c r="AL55" s="239"/>
      <c r="AM55" s="632"/>
      <c r="AN55" s="632"/>
      <c r="AO55" s="632"/>
      <c r="AP55" s="632"/>
      <c r="AQ55" s="632"/>
      <c r="AR55" s="632"/>
      <c r="AS55" s="632"/>
      <c r="AT55" s="632"/>
      <c r="AU55" s="632"/>
      <c r="AV55" s="632"/>
      <c r="AW55" s="632"/>
      <c r="AX55" s="632"/>
      <c r="AY55" s="632"/>
      <c r="AZ55" s="632"/>
      <c r="BA55" s="632"/>
      <c r="BB55" s="632"/>
      <c r="BC55" s="632"/>
      <c r="BD55" s="632"/>
      <c r="BE55" s="632"/>
      <c r="BF55" s="632"/>
      <c r="BG55" s="632"/>
    </row>
    <row r="56" spans="1:59" ht="18" customHeight="1" outlineLevel="1" x14ac:dyDescent="0.2">
      <c r="A56" s="88" t="str">
        <f>IF(Stammblatt!L4=1,Finanzierungsplan!V4 &amp; Stammblatt!B35,Finanzierungsplan!Y4 &amp; Stammblatt!B35)</f>
        <v>Finanzierung C</v>
      </c>
      <c r="B56" s="88"/>
      <c r="C56" s="67"/>
      <c r="D56" s="114">
        <f>FIN_C</f>
        <v>0</v>
      </c>
      <c r="E56" s="85">
        <f>IF(D56=0,0,D56/$D$67)</f>
        <v>0</v>
      </c>
      <c r="F56" s="250"/>
      <c r="G56" s="245"/>
      <c r="H56" s="235"/>
      <c r="I56" s="1271">
        <f>SUM(I57:I64)</f>
        <v>0</v>
      </c>
      <c r="J56" s="1272">
        <f ca="1">IF($I$67=0,,I56/$I$67)</f>
        <v>0</v>
      </c>
      <c r="K56" s="1271">
        <f>SUM(K57:K64)</f>
        <v>0</v>
      </c>
      <c r="L56" s="1273">
        <f>IF($K$67=0,,K56/$K$67)</f>
        <v>0</v>
      </c>
      <c r="M56" s="239"/>
      <c r="N56" s="239"/>
      <c r="O56" s="632"/>
      <c r="P56" s="632"/>
      <c r="Q56" s="114">
        <f>SUM(Q57:Q64)</f>
        <v>0</v>
      </c>
      <c r="R56" s="114">
        <f>Q56-D56</f>
        <v>0</v>
      </c>
      <c r="S56" s="115">
        <f>IF(Q56=0,0,Q56/$Q$67)</f>
        <v>0</v>
      </c>
      <c r="T56" s="632"/>
      <c r="U56" s="662"/>
      <c r="V56" s="632"/>
      <c r="W56" s="632"/>
      <c r="X56" s="632"/>
      <c r="Y56" s="632"/>
      <c r="Z56" s="632"/>
      <c r="AA56" s="632"/>
      <c r="AB56" s="255"/>
      <c r="AC56" s="255"/>
      <c r="AD56" s="255"/>
      <c r="AE56" s="255"/>
      <c r="AF56" s="255"/>
      <c r="AG56" s="255"/>
      <c r="AH56" s="255"/>
      <c r="AI56" s="255"/>
      <c r="AJ56" s="255"/>
      <c r="AK56" s="255"/>
      <c r="AL56" s="239"/>
      <c r="AM56" s="632"/>
      <c r="AN56" s="632"/>
      <c r="AO56" s="632"/>
      <c r="AP56" s="632"/>
      <c r="AQ56" s="632"/>
      <c r="AR56" s="632"/>
      <c r="AS56" s="632"/>
      <c r="AT56" s="632"/>
      <c r="AU56" s="632"/>
      <c r="AV56" s="632"/>
      <c r="AW56" s="632"/>
      <c r="AX56" s="632"/>
      <c r="AY56" s="632"/>
      <c r="AZ56" s="632"/>
      <c r="BA56" s="632"/>
      <c r="BB56" s="632"/>
      <c r="BC56" s="632"/>
      <c r="BD56" s="632"/>
      <c r="BE56" s="632"/>
      <c r="BF56" s="632"/>
      <c r="BG56" s="632"/>
    </row>
    <row r="57" spans="1:59" ht="21" customHeight="1" outlineLevel="1" x14ac:dyDescent="0.2">
      <c r="A57" s="262" t="str">
        <f>IF(Stammblatt!$L$4=1,V58,Y58)</f>
        <v>Eigenanteil</v>
      </c>
      <c r="B57" s="262"/>
      <c r="C57" s="263"/>
      <c r="D57" s="737"/>
      <c r="E57" s="267">
        <f>IF($D$56=0,0,D57/$D$56)</f>
        <v>0</v>
      </c>
      <c r="F57" s="1025"/>
      <c r="G57" s="1022"/>
      <c r="H57" s="235"/>
      <c r="I57" s="238">
        <f>D57</f>
        <v>0</v>
      </c>
      <c r="J57" s="239"/>
      <c r="K57" s="238"/>
      <c r="L57" s="239"/>
      <c r="M57" s="239"/>
      <c r="N57" s="239"/>
      <c r="O57" s="632"/>
      <c r="P57" s="632"/>
      <c r="Q57" s="737"/>
      <c r="R57" s="730">
        <f t="shared" ref="R57:R64" si="8">Q57-D57</f>
        <v>0</v>
      </c>
      <c r="S57" s="267"/>
      <c r="T57" s="632"/>
      <c r="U57" s="662"/>
      <c r="V57" s="632" t="s">
        <v>260</v>
      </c>
      <c r="W57" s="632"/>
      <c r="X57" s="632"/>
      <c r="Y57" s="632"/>
      <c r="Z57" s="632"/>
      <c r="AA57" s="632"/>
      <c r="AB57" s="255"/>
      <c r="AC57" s="255"/>
      <c r="AD57" s="255"/>
      <c r="AE57" s="255"/>
      <c r="AF57" s="255"/>
      <c r="AG57" s="255"/>
      <c r="AH57" s="255"/>
      <c r="AI57" s="255"/>
      <c r="AJ57" s="255"/>
      <c r="AK57" s="255"/>
      <c r="AL57" s="239"/>
      <c r="AM57" s="632"/>
      <c r="AN57" s="632"/>
      <c r="AO57" s="632"/>
      <c r="AP57" s="632"/>
      <c r="AQ57" s="632"/>
      <c r="AR57" s="632"/>
      <c r="AS57" s="632"/>
      <c r="AT57" s="632"/>
      <c r="AU57" s="632"/>
      <c r="AV57" s="632"/>
      <c r="AW57" s="632"/>
      <c r="AX57" s="632"/>
      <c r="AY57" s="632"/>
      <c r="AZ57" s="632"/>
      <c r="BA57" s="632"/>
      <c r="BB57" s="632"/>
      <c r="BC57" s="632"/>
      <c r="BD57" s="632"/>
      <c r="BE57" s="632"/>
      <c r="BF57" s="632"/>
      <c r="BG57" s="632"/>
    </row>
    <row r="58" spans="1:59" outlineLevel="1" x14ac:dyDescent="0.2">
      <c r="A58" s="264" t="str">
        <f>IF(Stammblatt!$L$4=1,V59,Y59)</f>
        <v>Lizenzen, Garantien etc.</v>
      </c>
      <c r="B58" s="262"/>
      <c r="C58" s="263"/>
      <c r="D58" s="737">
        <f>D75*E56</f>
        <v>0</v>
      </c>
      <c r="E58" s="267">
        <f t="shared" ref="E58:E64" si="9">IF($D$56=0,0,D58/$D$56)</f>
        <v>0</v>
      </c>
      <c r="F58" s="1025"/>
      <c r="G58" s="1022"/>
      <c r="H58" s="235"/>
      <c r="I58" s="238"/>
      <c r="J58" s="239"/>
      <c r="K58" s="238">
        <f>D58</f>
        <v>0</v>
      </c>
      <c r="L58" s="239"/>
      <c r="M58" s="239"/>
      <c r="N58" s="239"/>
      <c r="O58" s="632"/>
      <c r="P58" s="632"/>
      <c r="Q58" s="737"/>
      <c r="R58" s="730">
        <f t="shared" si="8"/>
        <v>0</v>
      </c>
      <c r="S58" s="267"/>
      <c r="T58" s="632"/>
      <c r="U58" s="662"/>
      <c r="V58" s="632" t="s">
        <v>211</v>
      </c>
      <c r="W58" s="632"/>
      <c r="X58" s="632"/>
      <c r="Y58" s="632" t="s">
        <v>516</v>
      </c>
      <c r="Z58" s="632"/>
      <c r="AA58" s="632"/>
      <c r="AB58" s="255"/>
      <c r="AC58" s="255"/>
      <c r="AD58" s="255"/>
      <c r="AE58" s="255"/>
      <c r="AF58" s="255"/>
      <c r="AG58" s="255"/>
      <c r="AH58" s="255"/>
      <c r="AI58" s="255"/>
      <c r="AJ58" s="255"/>
      <c r="AK58" s="255"/>
      <c r="AL58" s="239"/>
      <c r="AM58" s="632"/>
      <c r="AN58" s="632"/>
      <c r="AO58" s="632"/>
      <c r="AP58" s="632"/>
      <c r="AQ58" s="632"/>
      <c r="AR58" s="632"/>
      <c r="AS58" s="632"/>
      <c r="AT58" s="632"/>
      <c r="AU58" s="632"/>
      <c r="AV58" s="632"/>
      <c r="AW58" s="632"/>
      <c r="AX58" s="632"/>
      <c r="AY58" s="632"/>
      <c r="AZ58" s="632"/>
      <c r="BA58" s="632"/>
      <c r="BB58" s="632"/>
      <c r="BC58" s="632"/>
      <c r="BD58" s="632"/>
      <c r="BE58" s="632"/>
      <c r="BF58" s="632"/>
      <c r="BG58" s="632"/>
    </row>
    <row r="59" spans="1:59" outlineLevel="1" x14ac:dyDescent="0.2">
      <c r="A59" s="262" t="str">
        <f>IF(Stammblatt!$L$4=1,V60,Y60)</f>
        <v>Förderung 1</v>
      </c>
      <c r="B59" s="262"/>
      <c r="C59" s="263"/>
      <c r="D59" s="737"/>
      <c r="E59" s="267">
        <f t="shared" si="9"/>
        <v>0</v>
      </c>
      <c r="F59" s="1025"/>
      <c r="G59" s="1022"/>
      <c r="H59" s="235"/>
      <c r="I59" s="238">
        <f>D59</f>
        <v>0</v>
      </c>
      <c r="J59" s="239"/>
      <c r="K59" s="238"/>
      <c r="L59" s="239"/>
      <c r="M59" s="239"/>
      <c r="N59" s="239"/>
      <c r="O59" s="632"/>
      <c r="P59" s="632"/>
      <c r="Q59" s="737"/>
      <c r="R59" s="730">
        <f t="shared" si="8"/>
        <v>0</v>
      </c>
      <c r="S59" s="267"/>
      <c r="T59" s="632"/>
      <c r="U59" s="662"/>
      <c r="V59" s="632" t="s">
        <v>263</v>
      </c>
      <c r="W59" s="632"/>
      <c r="X59" s="632"/>
      <c r="Y59" s="632" t="s">
        <v>518</v>
      </c>
      <c r="Z59" s="632"/>
      <c r="AA59" s="632"/>
      <c r="AB59" s="255"/>
      <c r="AC59" s="255"/>
      <c r="AD59" s="255"/>
      <c r="AE59" s="255"/>
      <c r="AF59" s="255"/>
      <c r="AG59" s="255"/>
      <c r="AH59" s="255"/>
      <c r="AI59" s="255"/>
      <c r="AJ59" s="255"/>
      <c r="AK59" s="255"/>
      <c r="AL59" s="239"/>
      <c r="AM59" s="632"/>
      <c r="AN59" s="632"/>
      <c r="AO59" s="632"/>
      <c r="AP59" s="632"/>
      <c r="AQ59" s="632"/>
      <c r="AR59" s="632"/>
      <c r="AS59" s="632"/>
      <c r="AT59" s="632"/>
      <c r="AU59" s="632"/>
      <c r="AV59" s="632"/>
      <c r="AW59" s="632"/>
      <c r="AX59" s="632"/>
      <c r="AY59" s="632"/>
      <c r="AZ59" s="632"/>
      <c r="BA59" s="632"/>
      <c r="BB59" s="632"/>
      <c r="BC59" s="632"/>
      <c r="BD59" s="632"/>
      <c r="BE59" s="632"/>
      <c r="BF59" s="632"/>
      <c r="BG59" s="632"/>
    </row>
    <row r="60" spans="1:59" outlineLevel="1" x14ac:dyDescent="0.2">
      <c r="A60" s="262" t="str">
        <f>IF(Stammblatt!$L$4=1,V61,Y61)</f>
        <v>Förderung 2</v>
      </c>
      <c r="B60" s="262"/>
      <c r="C60" s="263"/>
      <c r="D60" s="737"/>
      <c r="E60" s="267">
        <f t="shared" si="9"/>
        <v>0</v>
      </c>
      <c r="F60" s="1025"/>
      <c r="G60" s="1024"/>
      <c r="H60" s="235"/>
      <c r="I60" s="238">
        <f>D60</f>
        <v>0</v>
      </c>
      <c r="J60" s="239"/>
      <c r="K60" s="238"/>
      <c r="L60" s="239"/>
      <c r="M60" s="239"/>
      <c r="N60" s="239"/>
      <c r="O60" s="632"/>
      <c r="P60" s="632"/>
      <c r="Q60" s="737"/>
      <c r="R60" s="730">
        <f t="shared" si="8"/>
        <v>0</v>
      </c>
      <c r="S60" s="267"/>
      <c r="T60" s="632"/>
      <c r="U60" s="662"/>
      <c r="V60" s="632" t="s">
        <v>212</v>
      </c>
      <c r="W60" s="632"/>
      <c r="X60" s="632"/>
      <c r="Y60" s="632" t="s">
        <v>524</v>
      </c>
      <c r="Z60" s="632"/>
      <c r="AA60" s="632"/>
      <c r="AB60" s="255"/>
      <c r="AC60" s="255"/>
      <c r="AD60" s="255"/>
      <c r="AE60" s="255"/>
      <c r="AF60" s="255"/>
      <c r="AG60" s="255"/>
      <c r="AH60" s="255"/>
      <c r="AI60" s="255"/>
      <c r="AJ60" s="255"/>
      <c r="AK60" s="255"/>
      <c r="AL60" s="239"/>
      <c r="AM60" s="632"/>
      <c r="AN60" s="632"/>
      <c r="AO60" s="632"/>
      <c r="AP60" s="632"/>
      <c r="AQ60" s="632"/>
      <c r="AR60" s="632"/>
      <c r="AS60" s="632"/>
      <c r="AT60" s="632"/>
      <c r="AU60" s="632"/>
      <c r="AV60" s="632"/>
      <c r="AW60" s="632"/>
      <c r="AX60" s="632"/>
      <c r="AY60" s="632"/>
      <c r="AZ60" s="632"/>
      <c r="BA60" s="632"/>
      <c r="BB60" s="632"/>
      <c r="BC60" s="632"/>
      <c r="BD60" s="632"/>
      <c r="BE60" s="632"/>
      <c r="BF60" s="632"/>
      <c r="BG60" s="632"/>
    </row>
    <row r="61" spans="1:59" outlineLevel="1" x14ac:dyDescent="0.2">
      <c r="A61" s="262" t="str">
        <f>IF(Stammblatt!$L$4=1,V62,Y62)</f>
        <v>Förderung 3</v>
      </c>
      <c r="B61" s="262"/>
      <c r="C61" s="263"/>
      <c r="D61" s="737"/>
      <c r="E61" s="267">
        <f t="shared" si="9"/>
        <v>0</v>
      </c>
      <c r="F61" s="1025"/>
      <c r="G61" s="1024"/>
      <c r="H61" s="235"/>
      <c r="I61" s="238">
        <f>D61</f>
        <v>0</v>
      </c>
      <c r="J61" s="239"/>
      <c r="K61" s="238"/>
      <c r="L61" s="239"/>
      <c r="M61" s="239"/>
      <c r="N61" s="239"/>
      <c r="O61" s="632"/>
      <c r="P61" s="632"/>
      <c r="Q61" s="737"/>
      <c r="R61" s="730">
        <f t="shared" si="8"/>
        <v>0</v>
      </c>
      <c r="S61" s="267"/>
      <c r="T61" s="632"/>
      <c r="U61" s="662"/>
      <c r="V61" s="632" t="s">
        <v>213</v>
      </c>
      <c r="W61" s="632"/>
      <c r="X61" s="632"/>
      <c r="Y61" s="632" t="s">
        <v>525</v>
      </c>
      <c r="Z61" s="632"/>
      <c r="AA61" s="632"/>
      <c r="AB61" s="255"/>
      <c r="AC61" s="255"/>
      <c r="AD61" s="255"/>
      <c r="AE61" s="255"/>
      <c r="AF61" s="255"/>
      <c r="AG61" s="255"/>
      <c r="AH61" s="255"/>
      <c r="AI61" s="255"/>
      <c r="AJ61" s="255"/>
      <c r="AK61" s="255"/>
      <c r="AL61" s="239"/>
      <c r="AM61" s="632"/>
      <c r="AN61" s="632"/>
      <c r="AO61" s="632"/>
      <c r="AP61" s="632"/>
      <c r="AQ61" s="632"/>
      <c r="AR61" s="632"/>
      <c r="AS61" s="632"/>
      <c r="AT61" s="632"/>
      <c r="AU61" s="632"/>
      <c r="AV61" s="632"/>
      <c r="AW61" s="632"/>
      <c r="AX61" s="632"/>
      <c r="AY61" s="632"/>
      <c r="AZ61" s="632"/>
      <c r="BA61" s="632"/>
      <c r="BB61" s="632"/>
      <c r="BC61" s="632"/>
      <c r="BD61" s="632"/>
      <c r="BE61" s="632"/>
      <c r="BF61" s="632"/>
      <c r="BG61" s="632"/>
    </row>
    <row r="62" spans="1:59" outlineLevel="1" x14ac:dyDescent="0.2">
      <c r="A62" s="262" t="str">
        <f>IF(Stammblatt!$L$4=1,V63,Y63)</f>
        <v>Sonstige</v>
      </c>
      <c r="B62" s="262"/>
      <c r="C62" s="263"/>
      <c r="D62" s="737"/>
      <c r="E62" s="267">
        <f t="shared" si="9"/>
        <v>0</v>
      </c>
      <c r="F62" s="1025"/>
      <c r="G62" s="1024"/>
      <c r="H62" s="235"/>
      <c r="I62" s="238">
        <f>D62-K62</f>
        <v>0</v>
      </c>
      <c r="J62" s="239"/>
      <c r="K62" s="1274"/>
      <c r="L62" s="239"/>
      <c r="M62" s="239"/>
      <c r="N62" s="239"/>
      <c r="O62" s="632"/>
      <c r="P62" s="632"/>
      <c r="Q62" s="737"/>
      <c r="R62" s="730">
        <f t="shared" si="8"/>
        <v>0</v>
      </c>
      <c r="S62" s="267"/>
      <c r="T62" s="632"/>
      <c r="U62" s="662">
        <f>SUM(D59:D62)</f>
        <v>0</v>
      </c>
      <c r="V62" s="632" t="s">
        <v>253</v>
      </c>
      <c r="W62" s="632"/>
      <c r="X62" s="632"/>
      <c r="Y62" s="632" t="s">
        <v>526</v>
      </c>
      <c r="Z62" s="632"/>
      <c r="AA62" s="632"/>
      <c r="AB62" s="255"/>
      <c r="AC62" s="255"/>
      <c r="AD62" s="255"/>
      <c r="AE62" s="255"/>
      <c r="AF62" s="255"/>
      <c r="AG62" s="255"/>
      <c r="AH62" s="255"/>
      <c r="AI62" s="255"/>
      <c r="AJ62" s="255"/>
      <c r="AK62" s="255"/>
      <c r="AL62" s="239"/>
      <c r="AM62" s="632"/>
      <c r="AN62" s="632"/>
      <c r="AO62" s="632"/>
      <c r="AP62" s="632"/>
      <c r="AQ62" s="632"/>
      <c r="AR62" s="632"/>
      <c r="AS62" s="632"/>
      <c r="AT62" s="632"/>
      <c r="AU62" s="632"/>
      <c r="AV62" s="632"/>
      <c r="AW62" s="632"/>
      <c r="AX62" s="632"/>
      <c r="AY62" s="632"/>
      <c r="AZ62" s="632"/>
      <c r="BA62" s="632"/>
      <c r="BB62" s="632"/>
      <c r="BC62" s="632"/>
      <c r="BD62" s="632"/>
      <c r="BE62" s="632"/>
      <c r="BF62" s="632"/>
      <c r="BG62" s="632"/>
    </row>
    <row r="63" spans="1:59" outlineLevel="1" x14ac:dyDescent="0.2">
      <c r="A63" s="262" t="s">
        <v>210</v>
      </c>
      <c r="B63" s="262"/>
      <c r="C63" s="263"/>
      <c r="D63" s="737"/>
      <c r="E63" s="267">
        <f t="shared" si="9"/>
        <v>0</v>
      </c>
      <c r="F63" s="1025"/>
      <c r="G63" s="1024"/>
      <c r="H63" s="235"/>
      <c r="I63" s="238">
        <f>D63</f>
        <v>0</v>
      </c>
      <c r="J63" s="239"/>
      <c r="K63" s="238"/>
      <c r="L63" s="239"/>
      <c r="M63" s="239"/>
      <c r="N63" s="239"/>
      <c r="O63" s="632"/>
      <c r="P63" s="632"/>
      <c r="Q63" s="737"/>
      <c r="R63" s="730">
        <f t="shared" si="8"/>
        <v>0</v>
      </c>
      <c r="S63" s="267"/>
      <c r="T63" s="632"/>
      <c r="U63" s="662"/>
      <c r="V63" s="632" t="s">
        <v>194</v>
      </c>
      <c r="W63" s="632"/>
      <c r="X63" s="632"/>
      <c r="Y63" s="632" t="s">
        <v>356</v>
      </c>
      <c r="Z63" s="632"/>
      <c r="AA63" s="632"/>
      <c r="AB63" s="255"/>
      <c r="AC63" s="255"/>
      <c r="AD63" s="255"/>
      <c r="AE63" s="255"/>
      <c r="AF63" s="255"/>
      <c r="AG63" s="255"/>
      <c r="AH63" s="255"/>
      <c r="AI63" s="255"/>
      <c r="AJ63" s="255"/>
      <c r="AK63" s="255"/>
      <c r="AL63" s="239"/>
      <c r="AM63" s="632"/>
      <c r="AN63" s="632"/>
      <c r="AO63" s="632"/>
      <c r="AP63" s="632"/>
      <c r="AQ63" s="632"/>
      <c r="AR63" s="632"/>
      <c r="AS63" s="632"/>
      <c r="AT63" s="632"/>
      <c r="AU63" s="632"/>
      <c r="AV63" s="632"/>
      <c r="AW63" s="632"/>
      <c r="AX63" s="632"/>
      <c r="AY63" s="632"/>
      <c r="AZ63" s="632"/>
      <c r="BA63" s="632"/>
      <c r="BB63" s="632"/>
      <c r="BC63" s="632"/>
      <c r="BD63" s="632"/>
      <c r="BE63" s="632"/>
      <c r="BF63" s="632"/>
      <c r="BG63" s="632"/>
    </row>
    <row r="64" spans="1:59" outlineLevel="1" x14ac:dyDescent="0.2">
      <c r="A64" s="262" t="str">
        <f>IF(Stammblatt!$L$4=1,V65,Y65)</f>
        <v>TV-Anstalt</v>
      </c>
      <c r="B64" s="262"/>
      <c r="C64" s="263"/>
      <c r="D64" s="737"/>
      <c r="E64" s="267">
        <f t="shared" si="9"/>
        <v>0</v>
      </c>
      <c r="F64" s="1025"/>
      <c r="G64" s="1026"/>
      <c r="H64" s="235"/>
      <c r="I64" s="238">
        <f>D64-K64</f>
        <v>0</v>
      </c>
      <c r="J64" s="246"/>
      <c r="K64" s="1274"/>
      <c r="L64" s="239"/>
      <c r="M64" s="239"/>
      <c r="N64" s="239"/>
      <c r="O64" s="632"/>
      <c r="P64" s="632"/>
      <c r="Q64" s="737"/>
      <c r="R64" s="730">
        <f t="shared" si="8"/>
        <v>0</v>
      </c>
      <c r="S64" s="267"/>
      <c r="T64" s="632"/>
      <c r="U64" s="662"/>
      <c r="V64" s="632" t="s">
        <v>210</v>
      </c>
      <c r="W64" s="632"/>
      <c r="X64" s="632"/>
      <c r="Y64" s="632"/>
      <c r="Z64" s="632"/>
      <c r="AA64" s="632"/>
      <c r="AB64" s="255"/>
      <c r="AC64" s="255"/>
      <c r="AD64" s="255"/>
      <c r="AE64" s="255"/>
      <c r="AF64" s="255"/>
      <c r="AG64" s="255"/>
      <c r="AH64" s="255"/>
      <c r="AI64" s="255"/>
      <c r="AJ64" s="255"/>
      <c r="AK64" s="255"/>
      <c r="AL64" s="239"/>
      <c r="AM64" s="632"/>
      <c r="AN64" s="632"/>
      <c r="AO64" s="632"/>
      <c r="AP64" s="632"/>
      <c r="AQ64" s="632"/>
      <c r="AR64" s="632"/>
      <c r="AS64" s="632"/>
      <c r="AT64" s="632"/>
      <c r="AU64" s="632"/>
      <c r="AV64" s="632"/>
      <c r="AW64" s="632"/>
      <c r="AX64" s="632"/>
      <c r="AY64" s="632"/>
      <c r="AZ64" s="632"/>
      <c r="BA64" s="632"/>
      <c r="BB64" s="632"/>
      <c r="BC64" s="632"/>
      <c r="BD64" s="632"/>
      <c r="BE64" s="632"/>
      <c r="BF64" s="632"/>
      <c r="BG64" s="632"/>
    </row>
    <row r="65" spans="1:59" outlineLevel="1" x14ac:dyDescent="0.15">
      <c r="A65" s="639"/>
      <c r="B65" s="639"/>
      <c r="C65" s="1268" t="str">
        <f>IF(Stammblatt!$L$4=1,"Kontrollsumme","check sum")</f>
        <v>Kontrollsumme</v>
      </c>
      <c r="D65" s="1268">
        <f>SUM(D57:D64)</f>
        <v>0</v>
      </c>
      <c r="E65" s="717">
        <f>SUM(E57:E64)</f>
        <v>0</v>
      </c>
      <c r="F65" s="250"/>
      <c r="G65" s="245"/>
      <c r="H65" s="235"/>
      <c r="I65" s="239"/>
      <c r="J65" s="239"/>
      <c r="K65" s="239"/>
      <c r="L65" s="239"/>
      <c r="M65" s="239"/>
      <c r="N65" s="239"/>
      <c r="O65" s="632"/>
      <c r="P65" s="1268" t="str">
        <f>IF(Stammblatt!$L$4=1,"Kontrollsumme","check sum")</f>
        <v>Kontrollsumme</v>
      </c>
      <c r="Q65" s="1269">
        <f>SUM(Q57:Q64)</f>
        <v>0</v>
      </c>
      <c r="R65" s="1269">
        <f t="shared" ref="R65" si="10">SUM(R57:R64)</f>
        <v>0</v>
      </c>
      <c r="S65" s="717">
        <f t="shared" ref="S65" si="11">SUM(S57:S64)</f>
        <v>0</v>
      </c>
      <c r="T65" s="632"/>
      <c r="U65" s="662"/>
      <c r="V65" s="632" t="s">
        <v>252</v>
      </c>
      <c r="W65" s="632"/>
      <c r="X65" s="632"/>
      <c r="Y65" s="632" t="s">
        <v>527</v>
      </c>
      <c r="Z65" s="632"/>
      <c r="AA65" s="632"/>
      <c r="AB65" s="255"/>
      <c r="AC65" s="255"/>
      <c r="AD65" s="255"/>
      <c r="AE65" s="255"/>
      <c r="AF65" s="255"/>
      <c r="AG65" s="255"/>
      <c r="AH65" s="255"/>
      <c r="AI65" s="255"/>
      <c r="AJ65" s="255"/>
      <c r="AK65" s="255"/>
      <c r="AL65" s="239"/>
      <c r="AM65" s="632"/>
      <c r="AN65" s="632"/>
      <c r="AO65" s="632"/>
      <c r="AP65" s="632"/>
      <c r="AQ65" s="632"/>
      <c r="AR65" s="632"/>
      <c r="AS65" s="632"/>
      <c r="AT65" s="632"/>
      <c r="AU65" s="632"/>
      <c r="AV65" s="632"/>
      <c r="AW65" s="632"/>
      <c r="AX65" s="632"/>
      <c r="AY65" s="632"/>
      <c r="AZ65" s="632"/>
      <c r="BA65" s="632"/>
      <c r="BB65" s="632"/>
      <c r="BC65" s="632"/>
      <c r="BD65" s="632"/>
      <c r="BE65" s="632"/>
      <c r="BF65" s="632"/>
      <c r="BG65" s="632"/>
    </row>
    <row r="66" spans="1:59" ht="13.5" outlineLevel="1" thickBot="1" x14ac:dyDescent="0.25">
      <c r="A66" s="230"/>
      <c r="B66" s="230"/>
      <c r="C66" s="265"/>
      <c r="D66" s="266"/>
      <c r="E66" s="269"/>
      <c r="F66" s="250"/>
      <c r="G66" s="245"/>
      <c r="H66" s="235"/>
      <c r="I66" s="239"/>
      <c r="J66" s="239"/>
      <c r="K66" s="239"/>
      <c r="L66" s="239"/>
      <c r="M66" s="239"/>
      <c r="N66" s="239"/>
      <c r="O66" s="632"/>
      <c r="P66" s="632"/>
      <c r="Q66" s="668"/>
      <c r="R66" s="632"/>
      <c r="S66" s="632"/>
      <c r="T66" s="632"/>
      <c r="U66" s="662"/>
      <c r="V66" s="632"/>
      <c r="W66" s="632"/>
      <c r="X66" s="632"/>
      <c r="Y66" s="632"/>
      <c r="Z66" s="632"/>
      <c r="AA66" s="632"/>
      <c r="AB66" s="255"/>
      <c r="AC66" s="255"/>
      <c r="AD66" s="255"/>
      <c r="AE66" s="255"/>
      <c r="AF66" s="255"/>
      <c r="AG66" s="255"/>
      <c r="AH66" s="255"/>
      <c r="AI66" s="255"/>
      <c r="AJ66" s="255"/>
      <c r="AK66" s="255"/>
      <c r="AL66" s="239"/>
      <c r="AM66" s="632"/>
      <c r="AN66" s="632"/>
      <c r="AO66" s="632"/>
      <c r="AP66" s="632"/>
      <c r="AQ66" s="632"/>
      <c r="AR66" s="632"/>
      <c r="AS66" s="632"/>
      <c r="AT66" s="632"/>
      <c r="AU66" s="632"/>
      <c r="AV66" s="632"/>
      <c r="AW66" s="632"/>
      <c r="AX66" s="632"/>
      <c r="AY66" s="632"/>
      <c r="AZ66" s="632"/>
      <c r="BA66" s="632"/>
      <c r="BB66" s="632"/>
      <c r="BC66" s="632"/>
      <c r="BD66" s="632"/>
      <c r="BE66" s="632"/>
      <c r="BF66" s="632"/>
      <c r="BG66" s="632"/>
    </row>
    <row r="67" spans="1:59" ht="13.5" thickBot="1" x14ac:dyDescent="0.25">
      <c r="A67" s="77" t="str">
        <f>IF(Stammblatt!$L$4=1,V68,Y68)</f>
        <v>GESAMTSUMME</v>
      </c>
      <c r="B67" s="109"/>
      <c r="C67" s="68"/>
      <c r="D67" s="638">
        <f ca="1">SUM(D56,D45,D34,D4)</f>
        <v>0</v>
      </c>
      <c r="E67" s="670">
        <f ca="1">SUM(E56,E45,E34,E4)</f>
        <v>0</v>
      </c>
      <c r="F67" s="251"/>
      <c r="G67" s="252"/>
      <c r="H67" s="235"/>
      <c r="I67" s="1275">
        <f ca="1">SUM(I56,I45,I34,I4)</f>
        <v>0</v>
      </c>
      <c r="J67" s="1272">
        <f ca="1">IF($I$67=0,,I67/$I$67)</f>
        <v>0</v>
      </c>
      <c r="K67" s="1276">
        <f>SUM(K56,K45,K34,K4)</f>
        <v>0</v>
      </c>
      <c r="L67" s="1277">
        <f>SUM(L56,L45,L34,L4)</f>
        <v>0</v>
      </c>
      <c r="M67" s="239"/>
      <c r="N67" s="239"/>
      <c r="O67" s="632"/>
      <c r="P67" s="632"/>
      <c r="Q67" s="738">
        <f>SUM(Q56,Q45,Q34,Q4)</f>
        <v>0</v>
      </c>
      <c r="R67" s="638">
        <f ca="1">SUM(R56,R45,R34,R4)</f>
        <v>0</v>
      </c>
      <c r="S67" s="670">
        <f>SUM(S56,S45,S34,S4)</f>
        <v>0</v>
      </c>
      <c r="T67" s="632"/>
      <c r="U67" s="662"/>
      <c r="V67" s="632"/>
      <c r="W67" s="632"/>
      <c r="X67" s="632"/>
      <c r="Y67" s="632"/>
      <c r="Z67" s="632"/>
      <c r="AA67" s="632"/>
      <c r="AB67" s="255"/>
      <c r="AC67" s="255"/>
      <c r="AD67" s="255"/>
      <c r="AE67" s="255"/>
      <c r="AF67" s="255"/>
      <c r="AG67" s="255"/>
      <c r="AH67" s="255"/>
      <c r="AI67" s="255"/>
      <c r="AJ67" s="255"/>
      <c r="AK67" s="255"/>
      <c r="AL67" s="239"/>
      <c r="AM67" s="632"/>
      <c r="AN67" s="632"/>
      <c r="AO67" s="632"/>
      <c r="AP67" s="632"/>
      <c r="AQ67" s="632"/>
      <c r="AR67" s="632"/>
      <c r="AS67" s="632"/>
      <c r="AT67" s="632"/>
      <c r="AU67" s="632"/>
      <c r="AV67" s="632"/>
      <c r="AW67" s="632"/>
      <c r="AX67" s="632"/>
      <c r="AY67" s="632"/>
      <c r="AZ67" s="632"/>
      <c r="BA67" s="632"/>
      <c r="BB67" s="632"/>
      <c r="BC67" s="632"/>
      <c r="BD67" s="632"/>
      <c r="BE67" s="632"/>
      <c r="BF67" s="632"/>
      <c r="BG67" s="632"/>
    </row>
    <row r="68" spans="1:59" ht="21" customHeight="1" x14ac:dyDescent="0.2">
      <c r="A68" s="235"/>
      <c r="B68" s="235"/>
      <c r="C68" s="1268" t="str">
        <f>IF(Stammblatt!$L$4=1,"Kontrollsumme","check sum")</f>
        <v>Kontrollsumme</v>
      </c>
      <c r="D68" s="1270">
        <f ca="1">SUM(D65,D54,D43,D32)</f>
        <v>0</v>
      </c>
      <c r="E68" s="717"/>
      <c r="F68" s="253"/>
      <c r="G68" s="254"/>
      <c r="H68" s="235"/>
      <c r="I68" s="255"/>
      <c r="J68" s="255"/>
      <c r="K68" s="1278">
        <f ca="1">SUM(I67,K67)</f>
        <v>0</v>
      </c>
      <c r="L68" s="255"/>
      <c r="M68" s="239"/>
      <c r="N68" s="239"/>
      <c r="O68" s="632"/>
      <c r="P68" s="1268" t="str">
        <f>IF(Stammblatt!$L$4=1,"Kontrollsumme","check sum")</f>
        <v>Kontrollsumme</v>
      </c>
      <c r="Q68" s="1270">
        <f ca="1">SUM(Q65,Q54,Q43,Q32)</f>
        <v>0</v>
      </c>
      <c r="R68" s="1270">
        <f ca="1">SUM(R65,R54,R43,R32)</f>
        <v>0</v>
      </c>
      <c r="S68" s="717">
        <f>SUM(S65,S54,S43,S32)</f>
        <v>0</v>
      </c>
      <c r="T68" s="632"/>
      <c r="U68" s="662"/>
      <c r="V68" s="632" t="s">
        <v>245</v>
      </c>
      <c r="W68" s="632"/>
      <c r="X68" s="632"/>
      <c r="Y68" s="632" t="s">
        <v>276</v>
      </c>
      <c r="Z68" s="632"/>
      <c r="AA68" s="632"/>
      <c r="AB68" s="255"/>
      <c r="AC68" s="255"/>
      <c r="AD68" s="255"/>
      <c r="AE68" s="255"/>
      <c r="AF68" s="255"/>
      <c r="AG68" s="255"/>
      <c r="AH68" s="255"/>
      <c r="AI68" s="255"/>
      <c r="AJ68" s="255"/>
      <c r="AK68" s="255"/>
      <c r="AL68" s="239"/>
      <c r="AM68" s="632"/>
      <c r="AN68" s="632"/>
      <c r="AO68" s="632"/>
      <c r="AP68" s="632"/>
      <c r="AQ68" s="632"/>
      <c r="AR68" s="632"/>
      <c r="AS68" s="632"/>
      <c r="AT68" s="632"/>
      <c r="AU68" s="632"/>
      <c r="AV68" s="632"/>
      <c r="AW68" s="632"/>
      <c r="AX68" s="632"/>
      <c r="AY68" s="632"/>
      <c r="AZ68" s="632"/>
      <c r="BA68" s="632"/>
      <c r="BB68" s="632"/>
      <c r="BC68" s="632"/>
      <c r="BD68" s="632"/>
      <c r="BE68" s="632"/>
      <c r="BF68" s="632"/>
      <c r="BG68" s="632"/>
    </row>
    <row r="69" spans="1:59" ht="12.75" customHeight="1" thickBot="1" x14ac:dyDescent="0.25">
      <c r="A69" s="235"/>
      <c r="B69" s="235"/>
      <c r="C69" s="235"/>
      <c r="D69" s="235"/>
      <c r="E69" s="235"/>
      <c r="F69" s="235"/>
      <c r="G69" s="235"/>
      <c r="H69" s="235"/>
      <c r="I69" s="255"/>
      <c r="J69" s="255"/>
      <c r="K69" s="255"/>
      <c r="L69" s="255"/>
      <c r="M69" s="239"/>
      <c r="N69" s="239"/>
      <c r="O69" s="632"/>
      <c r="P69" s="632"/>
      <c r="Q69" s="632"/>
      <c r="R69" s="632"/>
      <c r="S69" s="632"/>
      <c r="T69" s="632"/>
      <c r="U69" s="662"/>
      <c r="V69" s="632"/>
      <c r="W69" s="632"/>
      <c r="X69" s="632"/>
      <c r="Y69" s="632"/>
      <c r="Z69" s="632"/>
      <c r="AA69" s="632"/>
      <c r="AB69" s="255"/>
      <c r="AC69" s="255"/>
      <c r="AD69" s="255"/>
      <c r="AE69" s="255"/>
      <c r="AF69" s="255"/>
      <c r="AG69" s="255"/>
      <c r="AH69" s="255"/>
      <c r="AI69" s="255"/>
      <c r="AJ69" s="255"/>
      <c r="AK69" s="255"/>
      <c r="AL69" s="239"/>
      <c r="AM69" s="632"/>
      <c r="AN69" s="632"/>
      <c r="AO69" s="632"/>
      <c r="AP69" s="632"/>
      <c r="AQ69" s="632"/>
      <c r="AR69" s="632"/>
      <c r="AS69" s="632"/>
      <c r="AT69" s="632"/>
      <c r="AU69" s="632"/>
      <c r="AV69" s="632"/>
      <c r="AW69" s="632"/>
      <c r="AX69" s="632"/>
      <c r="AY69" s="632"/>
      <c r="AZ69" s="632"/>
      <c r="BA69" s="632"/>
      <c r="BB69" s="632"/>
      <c r="BC69" s="632"/>
      <c r="BD69" s="632"/>
      <c r="BE69" s="632"/>
      <c r="BF69" s="632"/>
      <c r="BG69" s="632"/>
    </row>
    <row r="70" spans="1:59" x14ac:dyDescent="0.2">
      <c r="A70" s="633" t="str">
        <f>IF(Stammblatt!$L$4=1,V71,Y71)</f>
        <v>Gemeinsame Rechtevorverkäufe</v>
      </c>
      <c r="B70" s="259"/>
      <c r="C70" s="260"/>
      <c r="D70" s="261"/>
      <c r="E70" s="235"/>
      <c r="F70" s="235"/>
      <c r="G70" s="235"/>
      <c r="H70" s="235"/>
      <c r="I70" s="255"/>
      <c r="J70" s="255"/>
      <c r="K70" s="255"/>
      <c r="L70" s="255"/>
      <c r="M70" s="239"/>
      <c r="N70" s="239"/>
      <c r="O70" s="632"/>
      <c r="P70" s="632"/>
      <c r="Q70" s="632"/>
      <c r="R70" s="632"/>
      <c r="S70" s="632"/>
      <c r="T70" s="632"/>
      <c r="U70" s="662"/>
      <c r="V70" s="632"/>
      <c r="W70" s="632"/>
      <c r="X70" s="632"/>
      <c r="Y70" s="632"/>
      <c r="Z70" s="632"/>
      <c r="AA70" s="632"/>
      <c r="AB70" s="255"/>
      <c r="AC70" s="255"/>
      <c r="AD70" s="255"/>
      <c r="AE70" s="255"/>
      <c r="AF70" s="255"/>
      <c r="AG70" s="255"/>
      <c r="AH70" s="255"/>
      <c r="AI70" s="255"/>
      <c r="AJ70" s="255"/>
      <c r="AK70" s="255"/>
      <c r="AL70" s="239"/>
      <c r="AM70" s="632"/>
      <c r="AN70" s="632"/>
      <c r="AO70" s="632"/>
      <c r="AP70" s="632"/>
      <c r="AQ70" s="632"/>
      <c r="AR70" s="632"/>
      <c r="AS70" s="632"/>
      <c r="AT70" s="632"/>
      <c r="AU70" s="632"/>
      <c r="AV70" s="632"/>
      <c r="AW70" s="632"/>
      <c r="AX70" s="632"/>
      <c r="AY70" s="632"/>
      <c r="AZ70" s="632"/>
      <c r="BA70" s="632"/>
      <c r="BB70" s="632"/>
      <c r="BC70" s="632"/>
      <c r="BD70" s="632"/>
      <c r="BE70" s="632"/>
      <c r="BF70" s="632"/>
      <c r="BG70" s="632"/>
    </row>
    <row r="71" spans="1:59" x14ac:dyDescent="0.2">
      <c r="A71" s="634"/>
      <c r="B71" s="679" t="str">
        <f>IF(Stammblatt!$L$4=1,V72,W72)</f>
        <v>Name</v>
      </c>
      <c r="C71" s="678"/>
      <c r="D71" s="680" t="str">
        <f>IF(Stammblatt!$L$4=1,Y72,Z72)</f>
        <v>Betrag</v>
      </c>
      <c r="E71" s="235"/>
      <c r="F71" s="235"/>
      <c r="G71" s="235"/>
      <c r="H71" s="235"/>
      <c r="I71" s="255"/>
      <c r="J71" s="255"/>
      <c r="K71" s="255"/>
      <c r="L71" s="255"/>
      <c r="M71" s="239"/>
      <c r="N71" s="239"/>
      <c r="O71" s="632"/>
      <c r="P71" s="632"/>
      <c r="Q71" s="632"/>
      <c r="R71" s="632"/>
      <c r="S71" s="632"/>
      <c r="T71" s="632"/>
      <c r="U71" s="662"/>
      <c r="V71" s="632" t="s">
        <v>692</v>
      </c>
      <c r="W71" s="632"/>
      <c r="X71" s="632"/>
      <c r="Y71" s="632" t="s">
        <v>693</v>
      </c>
      <c r="Z71" s="632"/>
      <c r="AA71" s="632"/>
      <c r="AB71" s="255"/>
      <c r="AC71" s="255"/>
      <c r="AD71" s="255"/>
      <c r="AE71" s="255"/>
      <c r="AF71" s="255"/>
      <c r="AG71" s="255"/>
      <c r="AH71" s="255"/>
      <c r="AI71" s="255"/>
      <c r="AJ71" s="255"/>
      <c r="AK71" s="255"/>
      <c r="AL71" s="239"/>
      <c r="AM71" s="632"/>
      <c r="AN71" s="632"/>
      <c r="AO71" s="632"/>
      <c r="AP71" s="632"/>
      <c r="AQ71" s="632"/>
      <c r="AR71" s="632"/>
      <c r="AS71" s="632"/>
      <c r="AT71" s="632"/>
      <c r="AU71" s="632"/>
      <c r="AV71" s="632"/>
      <c r="AW71" s="632"/>
      <c r="AX71" s="632"/>
      <c r="AY71" s="632"/>
      <c r="AZ71" s="632"/>
      <c r="BA71" s="632"/>
      <c r="BB71" s="632"/>
      <c r="BC71" s="632"/>
      <c r="BD71" s="632"/>
      <c r="BE71" s="632"/>
      <c r="BF71" s="632"/>
      <c r="BG71" s="632"/>
    </row>
    <row r="72" spans="1:59" x14ac:dyDescent="0.2">
      <c r="A72" s="634" t="str">
        <f>IF(Stammblatt!$L$4=1,V73,Y73)</f>
        <v>Lizenzen</v>
      </c>
      <c r="B72" s="137"/>
      <c r="C72" s="136"/>
      <c r="D72" s="138"/>
      <c r="E72" s="235"/>
      <c r="F72" s="235"/>
      <c r="G72" s="235"/>
      <c r="H72" s="235"/>
      <c r="I72" s="255"/>
      <c r="J72" s="255"/>
      <c r="K72" s="255"/>
      <c r="L72" s="255"/>
      <c r="M72" s="239"/>
      <c r="N72" s="239"/>
      <c r="O72" s="632"/>
      <c r="P72" s="632"/>
      <c r="Q72" s="632"/>
      <c r="R72" s="632"/>
      <c r="S72" s="632"/>
      <c r="T72" s="632"/>
      <c r="U72" s="662"/>
      <c r="V72" s="632" t="s">
        <v>933</v>
      </c>
      <c r="W72" s="632" t="s">
        <v>935</v>
      </c>
      <c r="X72" s="632"/>
      <c r="Y72" s="632" t="s">
        <v>934</v>
      </c>
      <c r="Z72" s="632" t="s">
        <v>936</v>
      </c>
      <c r="AA72" s="632"/>
      <c r="AB72" s="255"/>
      <c r="AC72" s="255"/>
      <c r="AD72" s="255"/>
      <c r="AE72" s="255"/>
      <c r="AF72" s="255"/>
      <c r="AG72" s="255"/>
      <c r="AH72" s="255"/>
      <c r="AI72" s="255"/>
      <c r="AJ72" s="255"/>
      <c r="AK72" s="255"/>
      <c r="AL72" s="239"/>
      <c r="AM72" s="632"/>
      <c r="AN72" s="632"/>
      <c r="AO72" s="632"/>
      <c r="AP72" s="632"/>
      <c r="AQ72" s="632"/>
      <c r="AR72" s="632"/>
      <c r="AS72" s="632"/>
      <c r="AT72" s="632"/>
      <c r="AU72" s="632"/>
      <c r="AV72" s="632"/>
      <c r="AW72" s="632"/>
      <c r="AX72" s="632"/>
      <c r="AY72" s="632"/>
      <c r="AZ72" s="632"/>
      <c r="BA72" s="632"/>
      <c r="BB72" s="632"/>
      <c r="BC72" s="632"/>
      <c r="BD72" s="632"/>
      <c r="BE72" s="632"/>
      <c r="BF72" s="632"/>
      <c r="BG72" s="632"/>
    </row>
    <row r="73" spans="1:59" x14ac:dyDescent="0.2">
      <c r="A73" s="634" t="str">
        <f>IF(Stammblatt!$L$4=1,V74,Y74)</f>
        <v>Garantien</v>
      </c>
      <c r="B73" s="137"/>
      <c r="C73" s="136"/>
      <c r="D73" s="138"/>
      <c r="E73" s="235"/>
      <c r="F73" s="235"/>
      <c r="G73" s="235"/>
      <c r="H73" s="235"/>
      <c r="I73" s="255"/>
      <c r="J73" s="255"/>
      <c r="K73" s="255"/>
      <c r="L73" s="255"/>
      <c r="M73" s="239"/>
      <c r="N73" s="239"/>
      <c r="O73" s="632"/>
      <c r="P73" s="632"/>
      <c r="Q73" s="632"/>
      <c r="R73" s="632"/>
      <c r="S73" s="632"/>
      <c r="T73" s="632"/>
      <c r="U73" s="662"/>
      <c r="V73" s="632" t="s">
        <v>694</v>
      </c>
      <c r="W73" s="632"/>
      <c r="X73" s="632"/>
      <c r="Y73" s="632" t="s">
        <v>696</v>
      </c>
      <c r="Z73" s="632"/>
      <c r="AA73" s="632"/>
      <c r="AB73" s="255"/>
      <c r="AC73" s="255"/>
      <c r="AD73" s="255"/>
      <c r="AE73" s="255"/>
      <c r="AF73" s="255"/>
      <c r="AG73" s="255"/>
      <c r="AH73" s="255"/>
      <c r="AI73" s="255"/>
      <c r="AJ73" s="255"/>
      <c r="AK73" s="255"/>
      <c r="AL73" s="239"/>
      <c r="AM73" s="632"/>
      <c r="AN73" s="632"/>
      <c r="AO73" s="632"/>
      <c r="AP73" s="632"/>
      <c r="AQ73" s="632"/>
      <c r="AR73" s="632"/>
      <c r="AS73" s="632"/>
      <c r="AT73" s="632"/>
      <c r="AU73" s="632"/>
      <c r="AV73" s="632"/>
      <c r="AW73" s="632"/>
      <c r="AX73" s="632"/>
      <c r="AY73" s="632"/>
      <c r="AZ73" s="632"/>
      <c r="BA73" s="632"/>
      <c r="BB73" s="632"/>
      <c r="BC73" s="632"/>
      <c r="BD73" s="632"/>
      <c r="BE73" s="632"/>
      <c r="BF73" s="632"/>
      <c r="BG73" s="632"/>
    </row>
    <row r="74" spans="1:59" x14ac:dyDescent="0.2">
      <c r="A74" s="1027" t="str">
        <f>IF(Stammblatt!$L$4=1,V75,Y75)</f>
        <v>Sonstiges</v>
      </c>
      <c r="B74" s="139"/>
      <c r="C74" s="140"/>
      <c r="D74" s="141"/>
      <c r="E74" s="235"/>
      <c r="F74" s="235"/>
      <c r="G74" s="235"/>
      <c r="H74" s="235"/>
      <c r="I74" s="255"/>
      <c r="J74" s="255"/>
      <c r="K74" s="255"/>
      <c r="L74" s="255"/>
      <c r="M74" s="239"/>
      <c r="N74" s="239"/>
      <c r="O74" s="632"/>
      <c r="P74" s="632"/>
      <c r="Q74" s="632"/>
      <c r="R74" s="632"/>
      <c r="S74" s="632"/>
      <c r="T74" s="632"/>
      <c r="U74" s="662"/>
      <c r="V74" s="632" t="s">
        <v>695</v>
      </c>
      <c r="W74" s="632"/>
      <c r="X74" s="632"/>
      <c r="Y74" s="632" t="s">
        <v>697</v>
      </c>
      <c r="Z74" s="632"/>
      <c r="AA74" s="632"/>
      <c r="AB74" s="255"/>
      <c r="AC74" s="255"/>
      <c r="AD74" s="255"/>
      <c r="AE74" s="255"/>
      <c r="AF74" s="255"/>
      <c r="AG74" s="255"/>
      <c r="AH74" s="255"/>
      <c r="AI74" s="255"/>
      <c r="AJ74" s="255"/>
      <c r="AK74" s="255"/>
      <c r="AL74" s="239"/>
      <c r="AM74" s="632"/>
      <c r="AN74" s="632"/>
      <c r="AO74" s="632"/>
      <c r="AP74" s="632"/>
      <c r="AQ74" s="632"/>
      <c r="AR74" s="632"/>
      <c r="AS74" s="632"/>
      <c r="AT74" s="632"/>
      <c r="AU74" s="632"/>
      <c r="AV74" s="632"/>
      <c r="AW74" s="632"/>
      <c r="AX74" s="632"/>
      <c r="AY74" s="632"/>
      <c r="AZ74" s="632"/>
      <c r="BA74" s="632"/>
      <c r="BB74" s="632"/>
      <c r="BC74" s="632"/>
      <c r="BD74" s="632"/>
      <c r="BE74" s="632"/>
      <c r="BF74" s="632"/>
      <c r="BG74" s="632"/>
    </row>
    <row r="75" spans="1:59" ht="13.5" thickBot="1" x14ac:dyDescent="0.25">
      <c r="A75" s="635" t="str">
        <f>IF(Stammblatt!$L$4=1,V76,Y76)</f>
        <v>GESAMTSUMME</v>
      </c>
      <c r="B75" s="257"/>
      <c r="C75" s="257"/>
      <c r="D75" s="258">
        <f>SUM(D72:D74)</f>
        <v>0</v>
      </c>
      <c r="E75" s="235"/>
      <c r="F75" s="235"/>
      <c r="G75" s="235"/>
      <c r="H75" s="235"/>
      <c r="I75" s="255"/>
      <c r="J75" s="255"/>
      <c r="K75" s="255"/>
      <c r="L75" s="255"/>
      <c r="M75" s="239"/>
      <c r="N75" s="239"/>
      <c r="O75" s="632"/>
      <c r="P75" s="632"/>
      <c r="Q75" s="632"/>
      <c r="R75" s="632"/>
      <c r="S75" s="632"/>
      <c r="T75" s="632"/>
      <c r="U75" s="662"/>
      <c r="V75" s="632" t="s">
        <v>639</v>
      </c>
      <c r="W75" s="632"/>
      <c r="X75" s="632"/>
      <c r="Y75" s="632" t="s">
        <v>356</v>
      </c>
      <c r="Z75" s="632"/>
      <c r="AA75" s="632"/>
      <c r="AB75" s="255"/>
      <c r="AC75" s="255"/>
      <c r="AD75" s="255"/>
      <c r="AE75" s="255"/>
      <c r="AF75" s="255"/>
      <c r="AG75" s="255"/>
      <c r="AH75" s="255"/>
      <c r="AI75" s="255"/>
      <c r="AJ75" s="255"/>
      <c r="AK75" s="255"/>
      <c r="AL75" s="239"/>
      <c r="AM75" s="632"/>
      <c r="AN75" s="632"/>
      <c r="AO75" s="632"/>
      <c r="AP75" s="632"/>
      <c r="AQ75" s="632"/>
      <c r="AR75" s="632"/>
      <c r="AS75" s="632"/>
      <c r="AT75" s="632"/>
      <c r="AU75" s="632"/>
      <c r="AV75" s="632"/>
      <c r="AW75" s="632"/>
      <c r="AX75" s="632"/>
      <c r="AY75" s="632"/>
      <c r="AZ75" s="632"/>
      <c r="BA75" s="632"/>
      <c r="BB75" s="632"/>
      <c r="BC75" s="632"/>
      <c r="BD75" s="632"/>
      <c r="BE75" s="632"/>
      <c r="BF75" s="632"/>
      <c r="BG75" s="632"/>
    </row>
    <row r="76" spans="1:59" x14ac:dyDescent="0.2">
      <c r="A76" s="235"/>
      <c r="B76" s="235"/>
      <c r="C76" s="235"/>
      <c r="D76" s="235"/>
      <c r="E76" s="235"/>
      <c r="F76" s="235"/>
      <c r="G76" s="235"/>
      <c r="H76" s="235"/>
      <c r="I76" s="255"/>
      <c r="J76" s="255"/>
      <c r="K76" s="255"/>
      <c r="L76" s="255"/>
      <c r="M76" s="239"/>
      <c r="N76" s="239"/>
      <c r="O76" s="632"/>
      <c r="P76" s="632"/>
      <c r="Q76" s="632"/>
      <c r="R76" s="632"/>
      <c r="S76" s="632"/>
      <c r="T76" s="632"/>
      <c r="U76" s="662"/>
      <c r="V76" s="632" t="s">
        <v>245</v>
      </c>
      <c r="W76" s="632"/>
      <c r="X76" s="632"/>
      <c r="Y76" s="632" t="s">
        <v>276</v>
      </c>
      <c r="Z76" s="632"/>
      <c r="AA76" s="632"/>
      <c r="AB76" s="255"/>
      <c r="AC76" s="255"/>
      <c r="AD76" s="255"/>
      <c r="AE76" s="255"/>
      <c r="AF76" s="255"/>
      <c r="AG76" s="255"/>
      <c r="AH76" s="255"/>
      <c r="AI76" s="255"/>
      <c r="AJ76" s="255"/>
      <c r="AK76" s="255"/>
      <c r="AL76" s="239"/>
      <c r="AM76" s="632"/>
      <c r="AN76" s="632"/>
      <c r="AO76" s="632"/>
      <c r="AP76" s="632"/>
      <c r="AQ76" s="632"/>
      <c r="AR76" s="632"/>
      <c r="AS76" s="632"/>
      <c r="AT76" s="632"/>
      <c r="AU76" s="632"/>
      <c r="AV76" s="632"/>
      <c r="AW76" s="632"/>
      <c r="AX76" s="632"/>
      <c r="AY76" s="632"/>
      <c r="AZ76" s="632"/>
      <c r="BA76" s="632"/>
      <c r="BB76" s="632"/>
      <c r="BC76" s="632"/>
      <c r="BD76" s="632"/>
      <c r="BE76" s="632"/>
      <c r="BF76" s="632"/>
      <c r="BG76" s="632"/>
    </row>
    <row r="77" spans="1:59" x14ac:dyDescent="0.2">
      <c r="A77" s="235"/>
      <c r="B77" s="235"/>
      <c r="C77" s="235"/>
      <c r="D77" s="681"/>
      <c r="E77" s="235"/>
      <c r="F77" s="235"/>
      <c r="G77" s="235"/>
      <c r="H77" s="235"/>
      <c r="I77" s="255"/>
      <c r="J77" s="255"/>
      <c r="K77" s="255"/>
      <c r="L77" s="255"/>
      <c r="M77" s="239"/>
      <c r="N77" s="239"/>
      <c r="O77" s="632"/>
      <c r="P77" s="632"/>
      <c r="Q77" s="632"/>
      <c r="R77" s="632"/>
      <c r="S77" s="632"/>
      <c r="T77" s="632"/>
      <c r="U77" s="662"/>
      <c r="V77" s="632"/>
      <c r="W77" s="632"/>
      <c r="X77" s="632"/>
      <c r="Y77" s="632"/>
      <c r="Z77" s="632"/>
      <c r="AA77" s="632"/>
      <c r="AB77" s="255"/>
      <c r="AC77" s="255"/>
      <c r="AD77" s="255"/>
      <c r="AE77" s="255"/>
      <c r="AF77" s="255"/>
      <c r="AG77" s="255"/>
      <c r="AH77" s="255"/>
      <c r="AI77" s="255"/>
      <c r="AJ77" s="255"/>
      <c r="AK77" s="255"/>
      <c r="AL77" s="239"/>
      <c r="AM77" s="632"/>
      <c r="AN77" s="632"/>
      <c r="AO77" s="632"/>
      <c r="AP77" s="632"/>
      <c r="AQ77" s="632"/>
      <c r="AR77" s="632"/>
      <c r="AS77" s="632"/>
      <c r="AT77" s="632"/>
      <c r="AU77" s="632"/>
      <c r="AV77" s="632"/>
      <c r="AW77" s="632"/>
      <c r="AX77" s="632"/>
      <c r="AY77" s="632"/>
      <c r="AZ77" s="632"/>
      <c r="BA77" s="632"/>
      <c r="BB77" s="632"/>
      <c r="BC77" s="632"/>
      <c r="BD77" s="632"/>
      <c r="BE77" s="632"/>
      <c r="BF77" s="632"/>
      <c r="BG77" s="632"/>
    </row>
    <row r="78" spans="1:59" x14ac:dyDescent="0.2">
      <c r="A78" s="235"/>
      <c r="B78" s="235"/>
      <c r="C78" s="235"/>
      <c r="D78" s="235"/>
      <c r="E78" s="235"/>
      <c r="F78" s="235"/>
      <c r="G78" s="235"/>
      <c r="H78" s="235"/>
      <c r="I78" s="255"/>
      <c r="J78" s="255"/>
      <c r="K78" s="255"/>
      <c r="L78" s="255"/>
      <c r="M78" s="239"/>
      <c r="N78" s="239"/>
      <c r="O78" s="632"/>
      <c r="P78" s="632"/>
      <c r="Q78" s="632"/>
      <c r="R78" s="632"/>
      <c r="S78" s="632"/>
      <c r="T78" s="632"/>
      <c r="U78" s="662"/>
      <c r="V78" s="632"/>
      <c r="W78" s="632"/>
      <c r="X78" s="632"/>
      <c r="Y78" s="632"/>
      <c r="Z78" s="632"/>
      <c r="AA78" s="632"/>
      <c r="AB78" s="255"/>
      <c r="AC78" s="255"/>
      <c r="AD78" s="255"/>
      <c r="AE78" s="255"/>
      <c r="AF78" s="255"/>
      <c r="AG78" s="255"/>
      <c r="AH78" s="255"/>
      <c r="AI78" s="255"/>
      <c r="AJ78" s="255"/>
      <c r="AK78" s="255"/>
      <c r="AL78" s="239"/>
      <c r="AM78" s="632"/>
      <c r="AN78" s="632"/>
      <c r="AO78" s="632"/>
      <c r="AP78" s="632"/>
      <c r="AQ78" s="632"/>
      <c r="AR78" s="632"/>
      <c r="AS78" s="632"/>
      <c r="AT78" s="632"/>
      <c r="AU78" s="632"/>
      <c r="AV78" s="632"/>
      <c r="AW78" s="632"/>
      <c r="AX78" s="632"/>
      <c r="AY78" s="632"/>
      <c r="AZ78" s="632"/>
      <c r="BA78" s="632"/>
      <c r="BB78" s="632"/>
      <c r="BC78" s="632"/>
      <c r="BD78" s="632"/>
      <c r="BE78" s="632"/>
      <c r="BF78" s="632"/>
      <c r="BG78" s="632"/>
    </row>
    <row r="79" spans="1:59" x14ac:dyDescent="0.2">
      <c r="A79" s="235"/>
      <c r="B79" s="235"/>
      <c r="C79" s="235"/>
      <c r="D79" s="235"/>
      <c r="E79" s="235"/>
      <c r="F79" s="235"/>
      <c r="G79" s="235"/>
      <c r="H79" s="235"/>
      <c r="I79" s="255"/>
      <c r="J79" s="255"/>
      <c r="K79" s="255"/>
      <c r="L79" s="255"/>
      <c r="M79" s="239"/>
      <c r="N79" s="239"/>
      <c r="O79" s="632"/>
      <c r="P79" s="632"/>
      <c r="Q79" s="632"/>
      <c r="R79" s="632"/>
      <c r="S79" s="632"/>
      <c r="T79" s="632"/>
      <c r="U79" s="662"/>
      <c r="V79" s="632"/>
      <c r="W79" s="632"/>
      <c r="X79" s="632"/>
      <c r="Y79" s="632"/>
      <c r="Z79" s="632"/>
      <c r="AA79" s="632"/>
      <c r="AB79" s="255"/>
      <c r="AC79" s="255"/>
      <c r="AD79" s="255"/>
      <c r="AE79" s="255"/>
      <c r="AF79" s="255"/>
      <c r="AG79" s="255"/>
      <c r="AH79" s="255"/>
      <c r="AI79" s="255"/>
      <c r="AJ79" s="255"/>
      <c r="AK79" s="255"/>
      <c r="AL79" s="239"/>
      <c r="AM79" s="632"/>
      <c r="AN79" s="632"/>
      <c r="AO79" s="632"/>
      <c r="AP79" s="632"/>
      <c r="AQ79" s="632"/>
      <c r="AR79" s="632"/>
      <c r="AS79" s="632"/>
      <c r="AT79" s="632"/>
      <c r="AU79" s="632"/>
      <c r="AV79" s="632"/>
      <c r="AW79" s="632"/>
      <c r="AX79" s="632"/>
      <c r="AY79" s="632"/>
      <c r="AZ79" s="632"/>
      <c r="BA79" s="632"/>
      <c r="BB79" s="632"/>
      <c r="BC79" s="632"/>
      <c r="BD79" s="632"/>
      <c r="BE79" s="632"/>
      <c r="BF79" s="632"/>
      <c r="BG79" s="632"/>
    </row>
    <row r="80" spans="1:59" x14ac:dyDescent="0.2">
      <c r="A80" s="235"/>
      <c r="B80" s="235"/>
      <c r="C80" s="235"/>
      <c r="D80" s="235"/>
      <c r="E80" s="235"/>
      <c r="F80" s="235"/>
      <c r="G80" s="235"/>
      <c r="H80" s="235"/>
      <c r="I80" s="255"/>
      <c r="J80" s="255"/>
      <c r="K80" s="255"/>
      <c r="L80" s="255"/>
      <c r="M80" s="239"/>
      <c r="N80" s="239"/>
      <c r="O80" s="632"/>
      <c r="P80" s="632"/>
      <c r="Q80" s="632"/>
      <c r="R80" s="632"/>
      <c r="S80" s="632"/>
      <c r="T80" s="632"/>
      <c r="U80" s="662"/>
      <c r="V80" s="632"/>
      <c r="W80" s="632"/>
      <c r="X80" s="632"/>
      <c r="Y80" s="632"/>
      <c r="Z80" s="632"/>
      <c r="AA80" s="632"/>
      <c r="AB80" s="255"/>
      <c r="AC80" s="255"/>
      <c r="AD80" s="255"/>
      <c r="AE80" s="255"/>
      <c r="AF80" s="255"/>
      <c r="AG80" s="255"/>
      <c r="AH80" s="255"/>
      <c r="AI80" s="255"/>
      <c r="AJ80" s="255"/>
      <c r="AK80" s="255"/>
      <c r="AL80" s="239"/>
      <c r="AM80" s="632"/>
      <c r="AN80" s="632"/>
      <c r="AO80" s="632"/>
      <c r="AP80" s="632"/>
      <c r="AQ80" s="632"/>
      <c r="AR80" s="632"/>
      <c r="AS80" s="632"/>
      <c r="AT80" s="632"/>
      <c r="AU80" s="632"/>
      <c r="AV80" s="632"/>
      <c r="AW80" s="632"/>
      <c r="AX80" s="632"/>
      <c r="AY80" s="632"/>
      <c r="AZ80" s="632"/>
      <c r="BA80" s="632"/>
      <c r="BB80" s="632"/>
      <c r="BC80" s="632"/>
      <c r="BD80" s="632"/>
      <c r="BE80" s="632"/>
      <c r="BF80" s="632"/>
      <c r="BG80" s="632"/>
    </row>
    <row r="81" spans="1:59" x14ac:dyDescent="0.2">
      <c r="A81" s="235"/>
      <c r="B81" s="235"/>
      <c r="C81" s="235"/>
      <c r="D81" s="235"/>
      <c r="E81" s="235"/>
      <c r="F81" s="235"/>
      <c r="G81" s="235"/>
      <c r="H81" s="235"/>
      <c r="I81" s="255"/>
      <c r="J81" s="255"/>
      <c r="K81" s="255"/>
      <c r="L81" s="255"/>
      <c r="M81" s="239"/>
      <c r="N81" s="239"/>
      <c r="O81" s="632"/>
      <c r="P81" s="632"/>
      <c r="Q81" s="632"/>
      <c r="R81" s="632"/>
      <c r="S81" s="632"/>
      <c r="T81" s="632"/>
      <c r="U81" s="662"/>
      <c r="V81" s="632"/>
      <c r="W81" s="632"/>
      <c r="X81" s="632"/>
      <c r="Y81" s="632"/>
      <c r="Z81" s="632"/>
      <c r="AA81" s="632"/>
      <c r="AB81" s="255"/>
      <c r="AC81" s="255"/>
      <c r="AD81" s="255"/>
      <c r="AE81" s="255"/>
      <c r="AF81" s="255"/>
      <c r="AG81" s="255"/>
      <c r="AH81" s="255"/>
      <c r="AI81" s="255"/>
      <c r="AJ81" s="255"/>
      <c r="AK81" s="255"/>
      <c r="AL81" s="239"/>
      <c r="AM81" s="632"/>
      <c r="AN81" s="632"/>
      <c r="AO81" s="632"/>
      <c r="AP81" s="632"/>
      <c r="AQ81" s="632"/>
      <c r="AR81" s="632"/>
      <c r="AS81" s="632"/>
      <c r="AT81" s="632"/>
      <c r="AU81" s="632"/>
      <c r="AV81" s="632"/>
      <c r="AW81" s="632"/>
      <c r="AX81" s="632"/>
      <c r="AY81" s="632"/>
      <c r="AZ81" s="632"/>
      <c r="BA81" s="632"/>
      <c r="BB81" s="632"/>
      <c r="BC81" s="632"/>
      <c r="BD81" s="632"/>
      <c r="BE81" s="632"/>
      <c r="BF81" s="632"/>
      <c r="BG81" s="632"/>
    </row>
    <row r="82" spans="1:59" x14ac:dyDescent="0.2">
      <c r="A82" s="235"/>
      <c r="B82" s="235"/>
      <c r="C82" s="235"/>
      <c r="D82" s="235"/>
      <c r="E82" s="235"/>
      <c r="F82" s="235"/>
      <c r="G82" s="235"/>
      <c r="H82" s="235"/>
      <c r="I82" s="255"/>
      <c r="J82" s="255"/>
      <c r="K82" s="255"/>
      <c r="L82" s="255"/>
      <c r="M82" s="239"/>
      <c r="N82" s="239"/>
      <c r="O82" s="632"/>
      <c r="P82" s="632"/>
      <c r="Q82" s="632"/>
      <c r="R82" s="632"/>
      <c r="S82" s="632"/>
      <c r="T82" s="632"/>
      <c r="U82" s="662"/>
      <c r="V82" s="632"/>
      <c r="W82" s="632"/>
      <c r="X82" s="632"/>
      <c r="Y82" s="632"/>
      <c r="Z82" s="632"/>
      <c r="AA82" s="632"/>
      <c r="AB82" s="255"/>
      <c r="AC82" s="255"/>
      <c r="AD82" s="255"/>
      <c r="AE82" s="255"/>
      <c r="AF82" s="255"/>
      <c r="AG82" s="255"/>
      <c r="AH82" s="255"/>
      <c r="AI82" s="255"/>
      <c r="AJ82" s="255"/>
      <c r="AK82" s="255"/>
      <c r="AL82" s="239"/>
      <c r="AM82" s="632"/>
      <c r="AN82" s="632"/>
      <c r="AO82" s="632"/>
      <c r="AP82" s="632"/>
      <c r="AQ82" s="632"/>
      <c r="AR82" s="632"/>
      <c r="AS82" s="632"/>
      <c r="AT82" s="632"/>
      <c r="AU82" s="632"/>
      <c r="AV82" s="632"/>
      <c r="AW82" s="632"/>
      <c r="AX82" s="632"/>
      <c r="AY82" s="632"/>
      <c r="AZ82" s="632"/>
      <c r="BA82" s="632"/>
      <c r="BB82" s="632"/>
      <c r="BC82" s="632"/>
      <c r="BD82" s="632"/>
      <c r="BE82" s="632"/>
      <c r="BF82" s="632"/>
      <c r="BG82" s="632"/>
    </row>
    <row r="83" spans="1:59" x14ac:dyDescent="0.2">
      <c r="A83" s="235"/>
      <c r="B83" s="235"/>
      <c r="C83" s="235"/>
      <c r="D83" s="235"/>
      <c r="E83" s="235"/>
      <c r="F83" s="235"/>
      <c r="G83" s="235"/>
      <c r="H83" s="235"/>
      <c r="I83" s="255"/>
      <c r="J83" s="255"/>
      <c r="K83" s="255"/>
      <c r="L83" s="255"/>
      <c r="M83" s="239"/>
      <c r="N83" s="239"/>
      <c r="O83" s="632"/>
      <c r="P83" s="632"/>
      <c r="Q83" s="632"/>
      <c r="R83" s="632"/>
      <c r="S83" s="632"/>
      <c r="T83" s="632"/>
      <c r="U83" s="662"/>
      <c r="V83" s="632"/>
      <c r="W83" s="632"/>
      <c r="X83" s="632"/>
      <c r="Y83" s="632"/>
      <c r="Z83" s="632"/>
      <c r="AA83" s="632"/>
      <c r="AB83" s="255"/>
      <c r="AC83" s="255"/>
      <c r="AD83" s="255"/>
      <c r="AE83" s="255"/>
      <c r="AF83" s="255"/>
      <c r="AG83" s="255"/>
      <c r="AH83" s="255"/>
      <c r="AI83" s="255"/>
      <c r="AJ83" s="255"/>
      <c r="AK83" s="255"/>
      <c r="AL83" s="239"/>
      <c r="AM83" s="632"/>
      <c r="AN83" s="632"/>
      <c r="AO83" s="632"/>
      <c r="AP83" s="632"/>
      <c r="AQ83" s="632"/>
      <c r="AR83" s="632"/>
      <c r="AS83" s="632"/>
      <c r="AT83" s="632"/>
      <c r="AU83" s="632"/>
      <c r="AV83" s="632"/>
      <c r="AW83" s="632"/>
      <c r="AX83" s="632"/>
      <c r="AY83" s="632"/>
      <c r="AZ83" s="632"/>
      <c r="BA83" s="632"/>
      <c r="BB83" s="632"/>
      <c r="BC83" s="632"/>
      <c r="BD83" s="632"/>
      <c r="BE83" s="632"/>
      <c r="BF83" s="632"/>
      <c r="BG83" s="632"/>
    </row>
    <row r="84" spans="1:59" x14ac:dyDescent="0.2">
      <c r="A84" s="235"/>
      <c r="B84" s="235"/>
      <c r="C84" s="235"/>
      <c r="D84" s="235"/>
      <c r="E84" s="235"/>
      <c r="F84" s="235"/>
      <c r="G84" s="235"/>
      <c r="H84" s="235"/>
      <c r="I84" s="255"/>
      <c r="J84" s="255"/>
      <c r="K84" s="255"/>
      <c r="L84" s="255"/>
      <c r="M84" s="239"/>
      <c r="N84" s="239"/>
      <c r="O84" s="632"/>
      <c r="P84" s="632"/>
      <c r="Q84" s="632"/>
      <c r="R84" s="632"/>
      <c r="S84" s="632"/>
      <c r="T84" s="632"/>
      <c r="U84" s="662"/>
      <c r="V84" s="632"/>
      <c r="W84" s="632"/>
      <c r="X84" s="632"/>
      <c r="Y84" s="632"/>
      <c r="Z84" s="632"/>
      <c r="AA84" s="632"/>
      <c r="AB84" s="255"/>
      <c r="AC84" s="255"/>
      <c r="AD84" s="255"/>
      <c r="AE84" s="255"/>
      <c r="AF84" s="255"/>
      <c r="AG84" s="255"/>
      <c r="AH84" s="255"/>
      <c r="AI84" s="255"/>
      <c r="AJ84" s="255"/>
      <c r="AK84" s="255"/>
      <c r="AL84" s="239"/>
      <c r="AM84" s="632"/>
      <c r="AN84" s="632"/>
      <c r="AO84" s="632"/>
      <c r="AP84" s="632"/>
      <c r="AQ84" s="632"/>
      <c r="AR84" s="632"/>
      <c r="AS84" s="632"/>
      <c r="AT84" s="632"/>
      <c r="AU84" s="632"/>
      <c r="AV84" s="632"/>
      <c r="AW84" s="632"/>
      <c r="AX84" s="632"/>
      <c r="AY84" s="632"/>
      <c r="AZ84" s="632"/>
      <c r="BA84" s="632"/>
      <c r="BB84" s="632"/>
      <c r="BC84" s="632"/>
      <c r="BD84" s="632"/>
      <c r="BE84" s="632"/>
      <c r="BF84" s="632"/>
      <c r="BG84" s="632"/>
    </row>
    <row r="85" spans="1:59" x14ac:dyDescent="0.2">
      <c r="A85" s="235"/>
      <c r="B85" s="235"/>
      <c r="C85" s="235"/>
      <c r="D85" s="235"/>
      <c r="E85" s="235"/>
      <c r="F85" s="235"/>
      <c r="G85" s="235"/>
      <c r="H85" s="235"/>
      <c r="I85" s="255"/>
      <c r="J85" s="255"/>
      <c r="K85" s="255"/>
      <c r="L85" s="255"/>
      <c r="M85" s="239"/>
      <c r="N85" s="239"/>
      <c r="O85" s="632"/>
      <c r="P85" s="632"/>
      <c r="Q85" s="632"/>
      <c r="R85" s="632"/>
      <c r="S85" s="632"/>
      <c r="T85" s="632"/>
      <c r="U85" s="662"/>
      <c r="V85" s="632"/>
      <c r="W85" s="632"/>
      <c r="X85" s="632"/>
      <c r="Y85" s="632"/>
      <c r="Z85" s="632"/>
      <c r="AA85" s="632"/>
      <c r="AB85" s="255"/>
      <c r="AC85" s="255"/>
      <c r="AD85" s="255"/>
      <c r="AE85" s="255"/>
      <c r="AF85" s="255"/>
      <c r="AG85" s="255"/>
      <c r="AH85" s="255"/>
      <c r="AI85" s="255"/>
      <c r="AJ85" s="255"/>
      <c r="AK85" s="255"/>
      <c r="AL85" s="239"/>
      <c r="AM85" s="632"/>
      <c r="AN85" s="632"/>
      <c r="AO85" s="632"/>
      <c r="AP85" s="632"/>
      <c r="AQ85" s="632"/>
      <c r="AR85" s="632"/>
      <c r="AS85" s="632"/>
      <c r="AT85" s="632"/>
      <c r="AU85" s="632"/>
      <c r="AV85" s="632"/>
      <c r="AW85" s="632"/>
      <c r="AX85" s="632"/>
      <c r="AY85" s="632"/>
      <c r="AZ85" s="632"/>
      <c r="BA85" s="632"/>
      <c r="BB85" s="632"/>
      <c r="BC85" s="632"/>
      <c r="BD85" s="632"/>
      <c r="BE85" s="632"/>
      <c r="BF85" s="632"/>
      <c r="BG85" s="632"/>
    </row>
    <row r="86" spans="1:59" x14ac:dyDescent="0.2">
      <c r="A86" s="235"/>
      <c r="B86" s="235"/>
      <c r="C86" s="235"/>
      <c r="D86" s="235"/>
      <c r="E86" s="235"/>
      <c r="F86" s="235"/>
      <c r="G86" s="235"/>
      <c r="H86" s="235"/>
      <c r="I86" s="255"/>
      <c r="J86" s="255"/>
      <c r="K86" s="255"/>
      <c r="L86" s="255"/>
      <c r="M86" s="239"/>
      <c r="N86" s="239"/>
      <c r="O86" s="632"/>
      <c r="P86" s="632"/>
      <c r="Q86" s="632"/>
      <c r="R86" s="632"/>
      <c r="S86" s="632"/>
      <c r="T86" s="632"/>
      <c r="U86" s="662"/>
      <c r="V86" s="632"/>
      <c r="W86" s="632"/>
      <c r="X86" s="632"/>
      <c r="Y86" s="632"/>
      <c r="Z86" s="632"/>
      <c r="AA86" s="632"/>
      <c r="AB86" s="255"/>
      <c r="AC86" s="255"/>
      <c r="AD86" s="255"/>
      <c r="AE86" s="255"/>
      <c r="AF86" s="255"/>
      <c r="AG86" s="255"/>
      <c r="AH86" s="255"/>
      <c r="AI86" s="255"/>
      <c r="AJ86" s="255"/>
      <c r="AK86" s="255"/>
      <c r="AL86" s="239"/>
      <c r="AM86" s="632"/>
      <c r="AN86" s="632"/>
      <c r="AO86" s="632"/>
      <c r="AP86" s="632"/>
      <c r="AQ86" s="632"/>
      <c r="AR86" s="632"/>
      <c r="AS86" s="632"/>
      <c r="AT86" s="632"/>
      <c r="AU86" s="632"/>
      <c r="AV86" s="632"/>
      <c r="AW86" s="632"/>
      <c r="AX86" s="632"/>
      <c r="AY86" s="632"/>
      <c r="AZ86" s="632"/>
      <c r="BA86" s="632"/>
      <c r="BB86" s="632"/>
      <c r="BC86" s="632"/>
      <c r="BD86" s="632"/>
      <c r="BE86" s="632"/>
      <c r="BF86" s="632"/>
      <c r="BG86" s="632"/>
    </row>
    <row r="87" spans="1:59" x14ac:dyDescent="0.2">
      <c r="A87" s="235"/>
      <c r="B87" s="235"/>
      <c r="C87" s="235"/>
      <c r="D87" s="235"/>
      <c r="E87" s="235"/>
      <c r="F87" s="235"/>
      <c r="G87" s="235"/>
      <c r="H87" s="235"/>
      <c r="I87" s="255"/>
      <c r="J87" s="255"/>
      <c r="K87" s="255"/>
      <c r="L87" s="255"/>
      <c r="M87" s="239"/>
      <c r="N87" s="239"/>
      <c r="O87" s="632"/>
      <c r="P87" s="632"/>
      <c r="Q87" s="632"/>
      <c r="R87" s="632"/>
      <c r="S87" s="632"/>
      <c r="T87" s="632"/>
      <c r="U87" s="662"/>
      <c r="V87" s="632"/>
      <c r="W87" s="632"/>
      <c r="X87" s="632"/>
      <c r="Y87" s="632"/>
      <c r="Z87" s="632"/>
      <c r="AA87" s="632"/>
      <c r="AB87" s="255"/>
      <c r="AC87" s="255"/>
      <c r="AD87" s="255"/>
      <c r="AE87" s="255"/>
      <c r="AF87" s="255"/>
      <c r="AG87" s="255"/>
      <c r="AH87" s="255"/>
      <c r="AI87" s="255"/>
      <c r="AJ87" s="255"/>
      <c r="AK87" s="255"/>
      <c r="AL87" s="239"/>
      <c r="AM87" s="632"/>
      <c r="AN87" s="632"/>
      <c r="AO87" s="632"/>
      <c r="AP87" s="632"/>
      <c r="AQ87" s="632"/>
      <c r="AR87" s="632"/>
      <c r="AS87" s="632"/>
      <c r="AT87" s="632"/>
      <c r="AU87" s="632"/>
      <c r="AV87" s="632"/>
      <c r="AW87" s="632"/>
      <c r="AX87" s="632"/>
      <c r="AY87" s="632"/>
      <c r="AZ87" s="632"/>
      <c r="BA87" s="632"/>
      <c r="BB87" s="632"/>
      <c r="BC87" s="632"/>
      <c r="BD87" s="632"/>
      <c r="BE87" s="632"/>
      <c r="BF87" s="632"/>
      <c r="BG87" s="632"/>
    </row>
    <row r="88" spans="1:59" x14ac:dyDescent="0.2">
      <c r="A88" s="235"/>
      <c r="B88" s="235"/>
      <c r="C88" s="235"/>
      <c r="D88" s="235"/>
      <c r="E88" s="235"/>
      <c r="F88" s="235"/>
      <c r="G88" s="235"/>
      <c r="H88" s="235"/>
      <c r="I88" s="255"/>
      <c r="J88" s="255"/>
      <c r="K88" s="255"/>
      <c r="L88" s="255"/>
      <c r="M88" s="239"/>
      <c r="N88" s="239"/>
      <c r="O88" s="632"/>
      <c r="P88" s="632"/>
      <c r="Q88" s="632"/>
      <c r="R88" s="632"/>
      <c r="S88" s="632"/>
      <c r="T88" s="632"/>
      <c r="U88" s="662"/>
      <c r="V88" s="632"/>
      <c r="W88" s="632"/>
      <c r="X88" s="632"/>
      <c r="Y88" s="632"/>
      <c r="Z88" s="632"/>
      <c r="AA88" s="632"/>
      <c r="AB88" s="255"/>
      <c r="AC88" s="255"/>
      <c r="AD88" s="255"/>
      <c r="AE88" s="255"/>
      <c r="AF88" s="255"/>
      <c r="AG88" s="255"/>
      <c r="AH88" s="255"/>
      <c r="AI88" s="255"/>
      <c r="AJ88" s="255"/>
      <c r="AK88" s="255"/>
      <c r="AL88" s="239"/>
      <c r="AM88" s="632"/>
      <c r="AN88" s="632"/>
      <c r="AO88" s="632"/>
      <c r="AP88" s="632"/>
      <c r="AQ88" s="632"/>
      <c r="AR88" s="632"/>
      <c r="AS88" s="632"/>
      <c r="AT88" s="632"/>
      <c r="AU88" s="632"/>
      <c r="AV88" s="632"/>
      <c r="AW88" s="632"/>
      <c r="AX88" s="632"/>
      <c r="AY88" s="632"/>
      <c r="AZ88" s="632"/>
      <c r="BA88" s="632"/>
      <c r="BB88" s="632"/>
      <c r="BC88" s="632"/>
      <c r="BD88" s="632"/>
      <c r="BE88" s="632"/>
      <c r="BF88" s="632"/>
      <c r="BG88" s="632"/>
    </row>
    <row r="89" spans="1:59" x14ac:dyDescent="0.2">
      <c r="A89" s="235"/>
      <c r="B89" s="235"/>
      <c r="C89" s="235"/>
      <c r="D89" s="235"/>
      <c r="E89" s="235"/>
      <c r="F89" s="235"/>
      <c r="G89" s="235"/>
      <c r="H89" s="235"/>
      <c r="I89" s="255"/>
      <c r="J89" s="255"/>
      <c r="K89" s="255"/>
      <c r="L89" s="255"/>
      <c r="M89" s="239"/>
      <c r="N89" s="239"/>
      <c r="O89" s="632"/>
      <c r="P89" s="632"/>
      <c r="Q89" s="632"/>
      <c r="R89" s="632"/>
      <c r="S89" s="632"/>
      <c r="T89" s="632"/>
      <c r="U89" s="662"/>
      <c r="V89" s="632"/>
      <c r="W89" s="632"/>
      <c r="X89" s="632"/>
      <c r="Y89" s="632"/>
      <c r="Z89" s="632"/>
      <c r="AA89" s="632"/>
      <c r="AB89" s="255"/>
      <c r="AC89" s="255"/>
      <c r="AD89" s="255"/>
      <c r="AE89" s="255"/>
      <c r="AF89" s="255"/>
      <c r="AG89" s="255"/>
      <c r="AH89" s="255"/>
      <c r="AI89" s="255"/>
      <c r="AJ89" s="255"/>
      <c r="AK89" s="255"/>
      <c r="AL89" s="239"/>
      <c r="AM89" s="632"/>
      <c r="AN89" s="632"/>
      <c r="AO89" s="632"/>
      <c r="AP89" s="632"/>
      <c r="AQ89" s="632"/>
      <c r="AR89" s="632"/>
      <c r="AS89" s="632"/>
      <c r="AT89" s="632"/>
      <c r="AU89" s="632"/>
      <c r="AV89" s="632"/>
      <c r="AW89" s="632"/>
      <c r="AX89" s="632"/>
      <c r="AY89" s="632"/>
      <c r="AZ89" s="632"/>
      <c r="BA89" s="632"/>
      <c r="BB89" s="632"/>
      <c r="BC89" s="632"/>
      <c r="BD89" s="632"/>
      <c r="BE89" s="632"/>
      <c r="BF89" s="632"/>
      <c r="BG89" s="632"/>
    </row>
    <row r="90" spans="1:59" x14ac:dyDescent="0.2">
      <c r="A90" s="235"/>
      <c r="B90" s="235"/>
      <c r="C90" s="235"/>
      <c r="D90" s="235"/>
      <c r="E90" s="235"/>
      <c r="F90" s="235"/>
      <c r="G90" s="235"/>
      <c r="H90" s="235"/>
      <c r="I90" s="255"/>
      <c r="J90" s="255"/>
      <c r="K90" s="255"/>
      <c r="L90" s="255"/>
      <c r="M90" s="239"/>
      <c r="N90" s="239"/>
      <c r="O90" s="632"/>
      <c r="P90" s="632"/>
      <c r="Q90" s="632"/>
      <c r="R90" s="632"/>
      <c r="S90" s="632"/>
      <c r="T90" s="632"/>
      <c r="U90" s="662"/>
      <c r="V90" s="632"/>
      <c r="W90" s="632"/>
      <c r="X90" s="632"/>
      <c r="Y90" s="632"/>
      <c r="Z90" s="632"/>
      <c r="AA90" s="632"/>
      <c r="AB90" s="255"/>
      <c r="AC90" s="255"/>
      <c r="AD90" s="255"/>
      <c r="AE90" s="255"/>
      <c r="AF90" s="255"/>
      <c r="AG90" s="255"/>
      <c r="AH90" s="255"/>
      <c r="AI90" s="255"/>
      <c r="AJ90" s="255"/>
      <c r="AK90" s="255"/>
      <c r="AL90" s="239"/>
      <c r="AM90" s="632"/>
      <c r="AN90" s="632"/>
      <c r="AO90" s="632"/>
      <c r="AP90" s="632"/>
      <c r="AQ90" s="632"/>
      <c r="AR90" s="632"/>
      <c r="AS90" s="632"/>
      <c r="AT90" s="632"/>
      <c r="AU90" s="632"/>
      <c r="AV90" s="632"/>
      <c r="AW90" s="632"/>
      <c r="AX90" s="632"/>
      <c r="AY90" s="632"/>
      <c r="AZ90" s="632"/>
      <c r="BA90" s="632"/>
      <c r="BB90" s="632"/>
      <c r="BC90" s="632"/>
      <c r="BD90" s="632"/>
      <c r="BE90" s="632"/>
      <c r="BF90" s="632"/>
      <c r="BG90" s="632"/>
    </row>
    <row r="91" spans="1:59" x14ac:dyDescent="0.2">
      <c r="A91" s="235"/>
      <c r="B91" s="235"/>
      <c r="C91" s="235"/>
      <c r="D91" s="235"/>
      <c r="E91" s="235"/>
      <c r="F91" s="235"/>
      <c r="G91" s="235"/>
      <c r="H91" s="235"/>
      <c r="I91" s="255"/>
      <c r="J91" s="255"/>
      <c r="K91" s="255"/>
      <c r="L91" s="255"/>
      <c r="M91" s="239"/>
      <c r="N91" s="239"/>
      <c r="O91" s="632"/>
      <c r="P91" s="632"/>
      <c r="Q91" s="632"/>
      <c r="R91" s="632"/>
      <c r="S91" s="632"/>
      <c r="T91" s="632"/>
      <c r="U91" s="662"/>
      <c r="V91" s="632"/>
      <c r="W91" s="632"/>
      <c r="X91" s="632"/>
      <c r="Y91" s="632"/>
      <c r="Z91" s="632"/>
      <c r="AA91" s="632"/>
      <c r="AB91" s="255"/>
      <c r="AC91" s="255"/>
      <c r="AD91" s="255"/>
      <c r="AE91" s="255"/>
      <c r="AF91" s="255"/>
      <c r="AG91" s="255"/>
      <c r="AH91" s="255"/>
      <c r="AI91" s="255"/>
      <c r="AJ91" s="255"/>
      <c r="AK91" s="255"/>
      <c r="AL91" s="239"/>
      <c r="AM91" s="632"/>
      <c r="AN91" s="632"/>
      <c r="AO91" s="632"/>
      <c r="AP91" s="632"/>
      <c r="AQ91" s="632"/>
      <c r="AR91" s="632"/>
      <c r="AS91" s="632"/>
      <c r="AT91" s="632"/>
      <c r="AU91" s="632"/>
      <c r="AV91" s="632"/>
      <c r="AW91" s="632"/>
      <c r="AX91" s="632"/>
      <c r="AY91" s="632"/>
      <c r="AZ91" s="632"/>
      <c r="BA91" s="632"/>
      <c r="BB91" s="632"/>
      <c r="BC91" s="632"/>
      <c r="BD91" s="632"/>
      <c r="BE91" s="632"/>
      <c r="BF91" s="632"/>
      <c r="BG91" s="632"/>
    </row>
    <row r="92" spans="1:59" x14ac:dyDescent="0.2">
      <c r="A92" s="235"/>
      <c r="B92" s="235"/>
      <c r="C92" s="235"/>
      <c r="D92" s="235"/>
      <c r="E92" s="235"/>
      <c r="F92" s="235"/>
      <c r="G92" s="235"/>
      <c r="H92" s="235"/>
      <c r="I92" s="255"/>
      <c r="J92" s="255"/>
      <c r="K92" s="255"/>
      <c r="L92" s="255"/>
      <c r="M92" s="239"/>
      <c r="N92" s="239"/>
      <c r="O92" s="632"/>
      <c r="P92" s="632"/>
      <c r="Q92" s="632"/>
      <c r="R92" s="632"/>
      <c r="S92" s="632"/>
      <c r="T92" s="632"/>
      <c r="U92" s="662"/>
      <c r="V92" s="632"/>
      <c r="W92" s="632"/>
      <c r="X92" s="632"/>
      <c r="Y92" s="632"/>
      <c r="Z92" s="632"/>
      <c r="AA92" s="632"/>
      <c r="AB92" s="255"/>
      <c r="AC92" s="255"/>
      <c r="AD92" s="255"/>
      <c r="AE92" s="255"/>
      <c r="AF92" s="255"/>
      <c r="AG92" s="255"/>
      <c r="AH92" s="255"/>
      <c r="AI92" s="255"/>
      <c r="AJ92" s="255"/>
      <c r="AK92" s="255"/>
      <c r="AL92" s="239"/>
      <c r="AM92" s="632"/>
      <c r="AN92" s="632"/>
      <c r="AO92" s="632"/>
      <c r="AP92" s="632"/>
      <c r="AQ92" s="632"/>
      <c r="AR92" s="632"/>
      <c r="AS92" s="632"/>
      <c r="AT92" s="632"/>
      <c r="AU92" s="632"/>
      <c r="AV92" s="632"/>
      <c r="AW92" s="632"/>
      <c r="AX92" s="632"/>
      <c r="AY92" s="632"/>
      <c r="AZ92" s="632"/>
      <c r="BA92" s="632"/>
      <c r="BB92" s="632"/>
      <c r="BC92" s="632"/>
      <c r="BD92" s="632"/>
      <c r="BE92" s="632"/>
      <c r="BF92" s="632"/>
      <c r="BG92" s="632"/>
    </row>
    <row r="93" spans="1:59" x14ac:dyDescent="0.2">
      <c r="A93" s="235"/>
      <c r="B93" s="235"/>
      <c r="C93" s="235"/>
      <c r="D93" s="235"/>
      <c r="E93" s="235"/>
      <c r="F93" s="235"/>
      <c r="G93" s="235"/>
      <c r="H93" s="235"/>
      <c r="I93" s="255"/>
      <c r="J93" s="255"/>
      <c r="K93" s="255"/>
      <c r="L93" s="255"/>
      <c r="M93" s="239"/>
      <c r="N93" s="239"/>
      <c r="O93" s="632"/>
      <c r="P93" s="632"/>
      <c r="Q93" s="632"/>
      <c r="R93" s="632"/>
      <c r="S93" s="632"/>
      <c r="T93" s="632"/>
      <c r="U93" s="662"/>
      <c r="V93" s="632"/>
      <c r="W93" s="632"/>
      <c r="X93" s="632"/>
      <c r="Y93" s="632"/>
      <c r="Z93" s="632"/>
      <c r="AA93" s="632"/>
      <c r="AB93" s="255"/>
      <c r="AC93" s="255"/>
      <c r="AD93" s="255"/>
      <c r="AE93" s="255"/>
      <c r="AF93" s="255"/>
      <c r="AG93" s="255"/>
      <c r="AH93" s="255"/>
      <c r="AI93" s="255"/>
      <c r="AJ93" s="255"/>
      <c r="AK93" s="255"/>
      <c r="AL93" s="239"/>
      <c r="AM93" s="632"/>
      <c r="AN93" s="632"/>
      <c r="AO93" s="632"/>
      <c r="AP93" s="632"/>
      <c r="AQ93" s="632"/>
      <c r="AR93" s="632"/>
      <c r="AS93" s="632"/>
      <c r="AT93" s="632"/>
      <c r="AU93" s="632"/>
      <c r="AV93" s="632"/>
      <c r="AW93" s="632"/>
      <c r="AX93" s="632"/>
      <c r="AY93" s="632"/>
      <c r="AZ93" s="632"/>
      <c r="BA93" s="632"/>
      <c r="BB93" s="632"/>
      <c r="BC93" s="632"/>
      <c r="BD93" s="632"/>
      <c r="BE93" s="632"/>
      <c r="BF93" s="632"/>
      <c r="BG93" s="632"/>
    </row>
    <row r="94" spans="1:59" x14ac:dyDescent="0.2">
      <c r="A94" s="235"/>
      <c r="B94" s="235"/>
      <c r="C94" s="235"/>
      <c r="D94" s="235"/>
      <c r="E94" s="235"/>
      <c r="F94" s="235"/>
      <c r="G94" s="235"/>
      <c r="H94" s="235"/>
      <c r="I94" s="255"/>
      <c r="J94" s="255"/>
      <c r="K94" s="255"/>
      <c r="L94" s="255"/>
      <c r="M94" s="239"/>
      <c r="N94" s="239"/>
      <c r="O94" s="632"/>
      <c r="P94" s="632"/>
      <c r="Q94" s="632"/>
      <c r="R94" s="632"/>
      <c r="S94" s="632"/>
      <c r="T94" s="632"/>
      <c r="U94" s="662"/>
      <c r="V94" s="632"/>
      <c r="W94" s="632"/>
      <c r="X94" s="632"/>
      <c r="Y94" s="632"/>
      <c r="Z94" s="632"/>
      <c r="AA94" s="632"/>
      <c r="AB94" s="255"/>
      <c r="AC94" s="255"/>
      <c r="AD94" s="255"/>
      <c r="AE94" s="255"/>
      <c r="AF94" s="255"/>
      <c r="AG94" s="255"/>
      <c r="AH94" s="255"/>
      <c r="AI94" s="255"/>
      <c r="AJ94" s="255"/>
      <c r="AK94" s="255"/>
      <c r="AL94" s="239"/>
      <c r="AM94" s="632"/>
      <c r="AN94" s="632"/>
      <c r="AO94" s="632"/>
      <c r="AP94" s="632"/>
      <c r="AQ94" s="632"/>
      <c r="AR94" s="632"/>
      <c r="AS94" s="632"/>
      <c r="AT94" s="632"/>
      <c r="AU94" s="632"/>
      <c r="AV94" s="632"/>
      <c r="AW94" s="632"/>
      <c r="AX94" s="632"/>
      <c r="AY94" s="632"/>
      <c r="AZ94" s="632"/>
      <c r="BA94" s="632"/>
      <c r="BB94" s="632"/>
      <c r="BC94" s="632"/>
      <c r="BD94" s="632"/>
      <c r="BE94" s="632"/>
      <c r="BF94" s="632"/>
      <c r="BG94" s="632"/>
    </row>
    <row r="95" spans="1:59" x14ac:dyDescent="0.2">
      <c r="A95" s="235"/>
      <c r="B95" s="235"/>
      <c r="C95" s="235"/>
      <c r="D95" s="235"/>
      <c r="E95" s="235"/>
      <c r="F95" s="235"/>
      <c r="G95" s="235"/>
      <c r="H95" s="235"/>
      <c r="I95" s="255"/>
      <c r="J95" s="255"/>
      <c r="K95" s="255"/>
      <c r="L95" s="255"/>
      <c r="M95" s="239"/>
      <c r="N95" s="239"/>
      <c r="O95" s="632"/>
      <c r="P95" s="632"/>
      <c r="Q95" s="632"/>
      <c r="R95" s="632"/>
      <c r="S95" s="632"/>
      <c r="T95" s="632"/>
      <c r="U95" s="662"/>
      <c r="V95" s="632"/>
      <c r="W95" s="632"/>
      <c r="X95" s="632"/>
      <c r="Y95" s="632"/>
      <c r="Z95" s="632"/>
      <c r="AA95" s="632"/>
      <c r="AB95" s="255"/>
      <c r="AC95" s="255"/>
      <c r="AD95" s="255"/>
      <c r="AE95" s="255"/>
      <c r="AF95" s="255"/>
      <c r="AG95" s="255"/>
      <c r="AH95" s="255"/>
      <c r="AI95" s="255"/>
      <c r="AJ95" s="255"/>
      <c r="AK95" s="255"/>
      <c r="AL95" s="239"/>
      <c r="AM95" s="632"/>
      <c r="AN95" s="632"/>
      <c r="AO95" s="632"/>
      <c r="AP95" s="632"/>
      <c r="AQ95" s="632"/>
      <c r="AR95" s="632"/>
      <c r="AS95" s="632"/>
      <c r="AT95" s="632"/>
      <c r="AU95" s="632"/>
      <c r="AV95" s="632"/>
      <c r="AW95" s="632"/>
      <c r="AX95" s="632"/>
      <c r="AY95" s="632"/>
      <c r="AZ95" s="632"/>
      <c r="BA95" s="632"/>
      <c r="BB95" s="632"/>
      <c r="BC95" s="632"/>
      <c r="BD95" s="632"/>
      <c r="BE95" s="632"/>
      <c r="BF95" s="632"/>
      <c r="BG95" s="632"/>
    </row>
    <row r="96" spans="1:59" x14ac:dyDescent="0.2">
      <c r="A96" s="235"/>
      <c r="B96" s="235"/>
      <c r="C96" s="235"/>
      <c r="D96" s="235"/>
      <c r="E96" s="235"/>
      <c r="F96" s="235"/>
      <c r="G96" s="235"/>
      <c r="H96" s="235"/>
      <c r="I96" s="255"/>
      <c r="J96" s="255"/>
      <c r="K96" s="255"/>
      <c r="L96" s="255"/>
      <c r="M96" s="239"/>
      <c r="N96" s="239"/>
      <c r="O96" s="632"/>
      <c r="P96" s="632"/>
      <c r="Q96" s="632"/>
      <c r="R96" s="632"/>
      <c r="S96" s="632"/>
      <c r="T96" s="632"/>
      <c r="U96" s="662"/>
      <c r="V96" s="632"/>
      <c r="W96" s="632"/>
      <c r="X96" s="632"/>
      <c r="Y96" s="632"/>
      <c r="Z96" s="632"/>
      <c r="AA96" s="632"/>
      <c r="AB96" s="255"/>
      <c r="AC96" s="255"/>
      <c r="AD96" s="255"/>
      <c r="AE96" s="255"/>
      <c r="AF96" s="255"/>
      <c r="AG96" s="255"/>
      <c r="AH96" s="255"/>
      <c r="AI96" s="255"/>
      <c r="AJ96" s="255"/>
      <c r="AK96" s="255"/>
      <c r="AL96" s="239"/>
      <c r="AM96" s="632"/>
      <c r="AN96" s="632"/>
      <c r="AO96" s="632"/>
      <c r="AP96" s="632"/>
      <c r="AQ96" s="632"/>
      <c r="AR96" s="632"/>
      <c r="AS96" s="632"/>
      <c r="AT96" s="632"/>
      <c r="AU96" s="632"/>
      <c r="AV96" s="632"/>
      <c r="AW96" s="632"/>
      <c r="AX96" s="632"/>
      <c r="AY96" s="632"/>
      <c r="AZ96" s="632"/>
      <c r="BA96" s="632"/>
      <c r="BB96" s="632"/>
      <c r="BC96" s="632"/>
      <c r="BD96" s="632"/>
      <c r="BE96" s="632"/>
      <c r="BF96" s="632"/>
      <c r="BG96" s="632"/>
    </row>
    <row r="97" spans="1:59" x14ac:dyDescent="0.2">
      <c r="A97" s="235"/>
      <c r="B97" s="235"/>
      <c r="C97" s="235"/>
      <c r="D97" s="235"/>
      <c r="E97" s="235"/>
      <c r="F97" s="235"/>
      <c r="G97" s="235"/>
      <c r="H97" s="235"/>
      <c r="I97" s="255"/>
      <c r="J97" s="255"/>
      <c r="K97" s="255"/>
      <c r="L97" s="255"/>
      <c r="M97" s="239"/>
      <c r="N97" s="239"/>
      <c r="O97" s="632"/>
      <c r="P97" s="632"/>
      <c r="Q97" s="632"/>
      <c r="R97" s="632"/>
      <c r="S97" s="632"/>
      <c r="T97" s="632"/>
      <c r="U97" s="662"/>
      <c r="V97" s="632"/>
      <c r="W97" s="632"/>
      <c r="X97" s="632"/>
      <c r="Y97" s="632"/>
      <c r="Z97" s="632"/>
      <c r="AA97" s="632"/>
      <c r="AB97" s="255"/>
      <c r="AC97" s="255"/>
      <c r="AD97" s="255"/>
      <c r="AE97" s="255"/>
      <c r="AF97" s="255"/>
      <c r="AG97" s="255"/>
      <c r="AH97" s="255"/>
      <c r="AI97" s="255"/>
      <c r="AJ97" s="255"/>
      <c r="AK97" s="255"/>
      <c r="AL97" s="239"/>
      <c r="AM97" s="632"/>
      <c r="AN97" s="632"/>
      <c r="AO97" s="632"/>
      <c r="AP97" s="632"/>
      <c r="AQ97" s="632"/>
      <c r="AR97" s="632"/>
      <c r="AS97" s="632"/>
      <c r="AT97" s="632"/>
      <c r="AU97" s="632"/>
      <c r="AV97" s="632"/>
      <c r="AW97" s="632"/>
      <c r="AX97" s="632"/>
      <c r="AY97" s="632"/>
      <c r="AZ97" s="632"/>
      <c r="BA97" s="632"/>
      <c r="BB97" s="632"/>
      <c r="BC97" s="632"/>
      <c r="BD97" s="632"/>
      <c r="BE97" s="632"/>
      <c r="BF97" s="632"/>
      <c r="BG97" s="632"/>
    </row>
    <row r="98" spans="1:59" x14ac:dyDescent="0.2">
      <c r="A98" s="235"/>
      <c r="B98" s="235"/>
      <c r="C98" s="235"/>
      <c r="D98" s="235"/>
      <c r="E98" s="235"/>
      <c r="F98" s="235"/>
      <c r="G98" s="235"/>
      <c r="H98" s="235"/>
      <c r="I98" s="255"/>
      <c r="J98" s="255"/>
      <c r="K98" s="255"/>
      <c r="L98" s="255"/>
      <c r="M98" s="239"/>
      <c r="N98" s="239"/>
      <c r="O98" s="632"/>
      <c r="P98" s="632"/>
      <c r="Q98" s="632"/>
      <c r="R98" s="632"/>
      <c r="S98" s="632"/>
      <c r="T98" s="632"/>
      <c r="U98" s="662"/>
      <c r="V98" s="632"/>
      <c r="W98" s="632"/>
      <c r="X98" s="632"/>
      <c r="Y98" s="632"/>
      <c r="Z98" s="632"/>
      <c r="AA98" s="632"/>
      <c r="AB98" s="255"/>
      <c r="AC98" s="255"/>
      <c r="AD98" s="255"/>
      <c r="AE98" s="255"/>
      <c r="AF98" s="255"/>
      <c r="AG98" s="255"/>
      <c r="AH98" s="255"/>
      <c r="AI98" s="255"/>
      <c r="AJ98" s="255"/>
      <c r="AK98" s="255"/>
      <c r="AL98" s="239"/>
      <c r="AM98" s="632"/>
      <c r="AN98" s="632"/>
      <c r="AO98" s="632"/>
      <c r="AP98" s="632"/>
      <c r="AQ98" s="632"/>
      <c r="AR98" s="632"/>
      <c r="AS98" s="632"/>
      <c r="AT98" s="632"/>
      <c r="AU98" s="632"/>
      <c r="AV98" s="632"/>
      <c r="AW98" s="632"/>
      <c r="AX98" s="632"/>
      <c r="AY98" s="632"/>
      <c r="AZ98" s="632"/>
      <c r="BA98" s="632"/>
      <c r="BB98" s="632"/>
      <c r="BC98" s="632"/>
      <c r="BD98" s="632"/>
      <c r="BE98" s="632"/>
      <c r="BF98" s="632"/>
      <c r="BG98" s="632"/>
    </row>
    <row r="99" spans="1:59" x14ac:dyDescent="0.2">
      <c r="A99" s="235"/>
      <c r="B99" s="235"/>
      <c r="C99" s="235"/>
      <c r="D99" s="235"/>
      <c r="E99" s="235"/>
      <c r="F99" s="235"/>
      <c r="G99" s="235"/>
      <c r="H99" s="235"/>
      <c r="I99" s="255"/>
      <c r="J99" s="255"/>
      <c r="K99" s="255"/>
      <c r="L99" s="255"/>
      <c r="M99" s="239"/>
      <c r="N99" s="239"/>
      <c r="O99" s="632"/>
      <c r="P99" s="632"/>
      <c r="Q99" s="632"/>
      <c r="R99" s="632"/>
      <c r="S99" s="632"/>
      <c r="T99" s="632"/>
      <c r="U99" s="662"/>
      <c r="V99" s="632"/>
      <c r="W99" s="632"/>
      <c r="X99" s="632"/>
      <c r="Y99" s="632"/>
      <c r="Z99" s="632"/>
      <c r="AA99" s="632"/>
      <c r="AB99" s="255"/>
      <c r="AC99" s="255"/>
      <c r="AD99" s="255"/>
      <c r="AE99" s="255"/>
      <c r="AF99" s="255"/>
      <c r="AG99" s="255"/>
      <c r="AH99" s="255"/>
      <c r="AI99" s="255"/>
      <c r="AJ99" s="255"/>
      <c r="AK99" s="255"/>
      <c r="AL99" s="239"/>
      <c r="AM99" s="632"/>
      <c r="AN99" s="632"/>
      <c r="AO99" s="632"/>
      <c r="AP99" s="632"/>
      <c r="AQ99" s="632"/>
      <c r="AR99" s="632"/>
      <c r="AS99" s="632"/>
      <c r="AT99" s="632"/>
      <c r="AU99" s="632"/>
      <c r="AV99" s="632"/>
      <c r="AW99" s="632"/>
      <c r="AX99" s="632"/>
      <c r="AY99" s="632"/>
      <c r="AZ99" s="632"/>
      <c r="BA99" s="632"/>
      <c r="BB99" s="632"/>
      <c r="BC99" s="632"/>
      <c r="BD99" s="632"/>
      <c r="BE99" s="632"/>
      <c r="BF99" s="632"/>
      <c r="BG99" s="632"/>
    </row>
    <row r="100" spans="1:59" x14ac:dyDescent="0.2">
      <c r="A100" s="235"/>
      <c r="B100" s="235"/>
      <c r="C100" s="235"/>
      <c r="D100" s="235"/>
      <c r="E100" s="235"/>
      <c r="F100" s="235"/>
      <c r="G100" s="235"/>
      <c r="H100" s="235"/>
      <c r="I100" s="255"/>
      <c r="J100" s="255"/>
      <c r="K100" s="255"/>
      <c r="L100" s="255"/>
      <c r="M100" s="239"/>
      <c r="N100" s="239"/>
      <c r="O100" s="632"/>
      <c r="P100" s="632"/>
      <c r="Q100" s="632"/>
      <c r="R100" s="632"/>
      <c r="S100" s="632"/>
      <c r="T100" s="632"/>
      <c r="U100" s="662"/>
      <c r="V100" s="632"/>
      <c r="W100" s="632"/>
      <c r="X100" s="632"/>
      <c r="Y100" s="632"/>
      <c r="Z100" s="632"/>
      <c r="AA100" s="632"/>
      <c r="AB100" s="255"/>
      <c r="AC100" s="255"/>
      <c r="AD100" s="255"/>
      <c r="AE100" s="255"/>
      <c r="AF100" s="255"/>
      <c r="AG100" s="255"/>
      <c r="AH100" s="255"/>
      <c r="AI100" s="255"/>
      <c r="AJ100" s="255"/>
      <c r="AK100" s="255"/>
      <c r="AL100" s="239"/>
      <c r="AM100" s="632"/>
      <c r="AN100" s="632"/>
      <c r="AO100" s="632"/>
      <c r="AP100" s="632"/>
      <c r="AQ100" s="632"/>
      <c r="AR100" s="632"/>
      <c r="AS100" s="632"/>
      <c r="AT100" s="632"/>
      <c r="AU100" s="632"/>
      <c r="AV100" s="632"/>
      <c r="AW100" s="632"/>
      <c r="AX100" s="632"/>
      <c r="AY100" s="632"/>
      <c r="AZ100" s="632"/>
      <c r="BA100" s="632"/>
      <c r="BB100" s="632"/>
      <c r="BC100" s="632"/>
      <c r="BD100" s="632"/>
      <c r="BE100" s="632"/>
      <c r="BF100" s="632"/>
      <c r="BG100" s="632"/>
    </row>
    <row r="101" spans="1:59" x14ac:dyDescent="0.2">
      <c r="A101" s="235"/>
      <c r="B101" s="235"/>
      <c r="C101" s="235"/>
      <c r="D101" s="235"/>
      <c r="E101" s="235"/>
      <c r="F101" s="235"/>
      <c r="G101" s="235"/>
      <c r="H101" s="235"/>
      <c r="I101" s="255"/>
      <c r="J101" s="255"/>
      <c r="K101" s="255"/>
      <c r="L101" s="255"/>
      <c r="M101" s="239"/>
      <c r="N101" s="239"/>
      <c r="O101" s="632"/>
      <c r="P101" s="632"/>
      <c r="Q101" s="632"/>
      <c r="R101" s="632"/>
      <c r="S101" s="632"/>
      <c r="T101" s="632"/>
      <c r="U101" s="662"/>
      <c r="V101" s="632"/>
      <c r="W101" s="632"/>
      <c r="X101" s="632"/>
      <c r="Y101" s="632"/>
      <c r="Z101" s="632"/>
      <c r="AA101" s="632"/>
      <c r="AB101" s="255"/>
      <c r="AC101" s="255"/>
      <c r="AD101" s="255"/>
      <c r="AE101" s="255"/>
      <c r="AF101" s="255"/>
      <c r="AG101" s="255"/>
      <c r="AH101" s="255"/>
      <c r="AI101" s="255"/>
      <c r="AJ101" s="255"/>
      <c r="AK101" s="255"/>
      <c r="AL101" s="239"/>
      <c r="AM101" s="632"/>
      <c r="AN101" s="632"/>
      <c r="AO101" s="632"/>
      <c r="AP101" s="632"/>
      <c r="AQ101" s="632"/>
      <c r="AR101" s="632"/>
      <c r="AS101" s="632"/>
      <c r="AT101" s="632"/>
      <c r="AU101" s="632"/>
      <c r="AV101" s="632"/>
      <c r="AW101" s="632"/>
      <c r="AX101" s="632"/>
      <c r="AY101" s="632"/>
      <c r="AZ101" s="632"/>
      <c r="BA101" s="632"/>
      <c r="BB101" s="632"/>
      <c r="BC101" s="632"/>
      <c r="BD101" s="632"/>
      <c r="BE101" s="632"/>
      <c r="BF101" s="632"/>
      <c r="BG101" s="632"/>
    </row>
    <row r="102" spans="1:59" x14ac:dyDescent="0.2">
      <c r="A102" s="235"/>
      <c r="B102" s="235"/>
      <c r="C102" s="235"/>
      <c r="D102" s="235"/>
      <c r="E102" s="235"/>
      <c r="F102" s="235"/>
      <c r="G102" s="235"/>
      <c r="H102" s="235"/>
      <c r="I102" s="255"/>
      <c r="J102" s="255"/>
      <c r="K102" s="255"/>
      <c r="L102" s="255"/>
      <c r="M102" s="239"/>
      <c r="N102" s="239"/>
      <c r="O102" s="632"/>
      <c r="P102" s="632"/>
      <c r="Q102" s="632"/>
      <c r="R102" s="632"/>
      <c r="S102" s="632"/>
      <c r="T102" s="632"/>
      <c r="U102" s="662"/>
      <c r="V102" s="632"/>
      <c r="W102" s="632"/>
      <c r="X102" s="632"/>
      <c r="Y102" s="632"/>
      <c r="Z102" s="632"/>
      <c r="AA102" s="632"/>
      <c r="AB102" s="255"/>
      <c r="AC102" s="255"/>
      <c r="AD102" s="255"/>
      <c r="AE102" s="255"/>
      <c r="AF102" s="255"/>
      <c r="AG102" s="255"/>
      <c r="AH102" s="255"/>
      <c r="AI102" s="255"/>
      <c r="AJ102" s="255"/>
      <c r="AK102" s="255"/>
      <c r="AL102" s="239"/>
      <c r="AM102" s="632"/>
      <c r="AN102" s="632"/>
      <c r="AO102" s="632"/>
      <c r="AP102" s="632"/>
      <c r="AQ102" s="632"/>
      <c r="AR102" s="632"/>
      <c r="AS102" s="632"/>
      <c r="AT102" s="632"/>
      <c r="AU102" s="632"/>
      <c r="AV102" s="632"/>
      <c r="AW102" s="632"/>
      <c r="AX102" s="632"/>
      <c r="AY102" s="632"/>
      <c r="AZ102" s="632"/>
      <c r="BA102" s="632"/>
      <c r="BB102" s="632"/>
      <c r="BC102" s="632"/>
      <c r="BD102" s="632"/>
      <c r="BE102" s="632"/>
      <c r="BF102" s="632"/>
      <c r="BG102" s="632"/>
    </row>
    <row r="103" spans="1:59" x14ac:dyDescent="0.2">
      <c r="A103" s="235"/>
      <c r="B103" s="235"/>
      <c r="C103" s="235"/>
      <c r="D103" s="235"/>
      <c r="E103" s="235"/>
      <c r="F103" s="235"/>
      <c r="G103" s="235"/>
      <c r="H103" s="235"/>
      <c r="I103" s="255"/>
      <c r="J103" s="255"/>
      <c r="K103" s="255"/>
      <c r="L103" s="255"/>
      <c r="M103" s="239"/>
      <c r="N103" s="239"/>
      <c r="O103" s="632"/>
      <c r="P103" s="632"/>
      <c r="Q103" s="632"/>
      <c r="R103" s="632"/>
      <c r="S103" s="632"/>
      <c r="T103" s="632"/>
      <c r="U103" s="662"/>
      <c r="V103" s="632"/>
      <c r="W103" s="632"/>
      <c r="X103" s="632"/>
      <c r="Y103" s="632"/>
      <c r="Z103" s="632"/>
      <c r="AA103" s="632"/>
      <c r="AB103" s="255"/>
      <c r="AC103" s="255"/>
      <c r="AD103" s="255"/>
      <c r="AE103" s="255"/>
      <c r="AF103" s="255"/>
      <c r="AG103" s="255"/>
      <c r="AH103" s="255"/>
      <c r="AI103" s="255"/>
      <c r="AJ103" s="255"/>
      <c r="AK103" s="255"/>
      <c r="AL103" s="239"/>
      <c r="AM103" s="632"/>
      <c r="AN103" s="632"/>
      <c r="AO103" s="632"/>
      <c r="AP103" s="632"/>
      <c r="AQ103" s="632"/>
      <c r="AR103" s="632"/>
      <c r="AS103" s="632"/>
      <c r="AT103" s="632"/>
      <c r="AU103" s="632"/>
      <c r="AV103" s="632"/>
      <c r="AW103" s="632"/>
      <c r="AX103" s="632"/>
      <c r="AY103" s="632"/>
      <c r="AZ103" s="632"/>
      <c r="BA103" s="632"/>
      <c r="BB103" s="632"/>
      <c r="BC103" s="632"/>
      <c r="BD103" s="632"/>
      <c r="BE103" s="632"/>
      <c r="BF103" s="632"/>
      <c r="BG103" s="632"/>
    </row>
    <row r="104" spans="1:59" x14ac:dyDescent="0.2">
      <c r="A104" s="235"/>
      <c r="B104" s="235"/>
      <c r="C104" s="235"/>
      <c r="D104" s="235"/>
      <c r="E104" s="235"/>
      <c r="F104" s="235"/>
      <c r="G104" s="235"/>
      <c r="H104" s="235"/>
      <c r="I104" s="255"/>
      <c r="J104" s="255"/>
      <c r="K104" s="255"/>
      <c r="L104" s="255"/>
      <c r="M104" s="239"/>
      <c r="N104" s="239"/>
      <c r="O104" s="632"/>
      <c r="P104" s="632"/>
      <c r="Q104" s="632"/>
      <c r="R104" s="632"/>
      <c r="S104" s="632"/>
      <c r="T104" s="632"/>
      <c r="U104" s="662"/>
      <c r="V104" s="632"/>
      <c r="W104" s="632"/>
      <c r="X104" s="632"/>
      <c r="Y104" s="632"/>
      <c r="Z104" s="632"/>
      <c r="AA104" s="632"/>
      <c r="AB104" s="255"/>
      <c r="AC104" s="255"/>
      <c r="AD104" s="255"/>
      <c r="AE104" s="255"/>
      <c r="AF104" s="255"/>
      <c r="AG104" s="255"/>
      <c r="AH104" s="255"/>
      <c r="AI104" s="255"/>
      <c r="AJ104" s="255"/>
      <c r="AK104" s="255"/>
      <c r="AL104" s="239"/>
      <c r="AM104" s="632"/>
      <c r="AN104" s="632"/>
      <c r="AO104" s="632"/>
      <c r="AP104" s="632"/>
      <c r="AQ104" s="632"/>
      <c r="AR104" s="632"/>
      <c r="AS104" s="632"/>
      <c r="AT104" s="632"/>
      <c r="AU104" s="632"/>
      <c r="AV104" s="632"/>
      <c r="AW104" s="632"/>
      <c r="AX104" s="632"/>
      <c r="AY104" s="632"/>
      <c r="AZ104" s="632"/>
      <c r="BA104" s="632"/>
      <c r="BB104" s="632"/>
      <c r="BC104" s="632"/>
      <c r="BD104" s="632"/>
      <c r="BE104" s="632"/>
      <c r="BF104" s="632"/>
      <c r="BG104" s="632"/>
    </row>
    <row r="105" spans="1:59" x14ac:dyDescent="0.2">
      <c r="A105" s="235"/>
      <c r="B105" s="235"/>
      <c r="C105" s="235"/>
      <c r="D105" s="235"/>
      <c r="E105" s="235"/>
      <c r="F105" s="235"/>
      <c r="G105" s="235"/>
      <c r="H105" s="235"/>
      <c r="I105" s="255"/>
      <c r="J105" s="255"/>
      <c r="K105" s="255"/>
      <c r="L105" s="255"/>
      <c r="M105" s="239"/>
      <c r="N105" s="239"/>
      <c r="O105" s="632"/>
      <c r="P105" s="632"/>
      <c r="Q105" s="632"/>
      <c r="R105" s="632"/>
      <c r="S105" s="632"/>
      <c r="T105" s="632"/>
      <c r="U105" s="662"/>
      <c r="V105" s="632"/>
      <c r="W105" s="632"/>
      <c r="X105" s="632"/>
      <c r="Y105" s="632"/>
      <c r="Z105" s="632"/>
      <c r="AA105" s="632"/>
      <c r="AB105" s="255"/>
      <c r="AC105" s="255"/>
      <c r="AD105" s="255"/>
      <c r="AE105" s="255"/>
      <c r="AF105" s="255"/>
      <c r="AG105" s="255"/>
      <c r="AH105" s="255"/>
      <c r="AI105" s="255"/>
      <c r="AJ105" s="255"/>
      <c r="AK105" s="255"/>
      <c r="AL105" s="239"/>
      <c r="AM105" s="632"/>
      <c r="AN105" s="632"/>
      <c r="AO105" s="632"/>
      <c r="AP105" s="632"/>
      <c r="AQ105" s="632"/>
      <c r="AR105" s="632"/>
      <c r="AS105" s="632"/>
      <c r="AT105" s="632"/>
      <c r="AU105" s="632"/>
      <c r="AV105" s="632"/>
      <c r="AW105" s="632"/>
      <c r="AX105" s="632"/>
      <c r="AY105" s="632"/>
      <c r="AZ105" s="632"/>
      <c r="BA105" s="632"/>
      <c r="BB105" s="632"/>
      <c r="BC105" s="632"/>
      <c r="BD105" s="632"/>
      <c r="BE105" s="632"/>
      <c r="BF105" s="632"/>
      <c r="BG105" s="632"/>
    </row>
    <row r="106" spans="1:59" x14ac:dyDescent="0.2">
      <c r="A106" s="235"/>
      <c r="B106" s="235"/>
      <c r="C106" s="235"/>
      <c r="D106" s="235"/>
      <c r="E106" s="235"/>
      <c r="F106" s="235"/>
      <c r="G106" s="235"/>
      <c r="H106" s="235"/>
      <c r="I106" s="255"/>
      <c r="J106" s="255"/>
      <c r="K106" s="255"/>
      <c r="L106" s="255"/>
      <c r="M106" s="239"/>
      <c r="N106" s="239"/>
      <c r="O106" s="632"/>
      <c r="P106" s="632"/>
      <c r="Q106" s="632"/>
      <c r="R106" s="632"/>
      <c r="S106" s="632"/>
      <c r="T106" s="632"/>
      <c r="U106" s="662"/>
      <c r="V106" s="632"/>
      <c r="W106" s="632"/>
      <c r="X106" s="632"/>
      <c r="Y106" s="632"/>
      <c r="Z106" s="632"/>
      <c r="AA106" s="632"/>
      <c r="AB106" s="255"/>
      <c r="AC106" s="255"/>
      <c r="AD106" s="255"/>
      <c r="AE106" s="255"/>
      <c r="AF106" s="255"/>
      <c r="AG106" s="255"/>
      <c r="AH106" s="255"/>
      <c r="AI106" s="255"/>
      <c r="AJ106" s="255"/>
      <c r="AK106" s="255"/>
      <c r="AL106" s="239"/>
      <c r="AM106" s="632"/>
      <c r="AN106" s="632"/>
      <c r="AO106" s="632"/>
      <c r="AP106" s="632"/>
      <c r="AQ106" s="632"/>
      <c r="AR106" s="632"/>
      <c r="AS106" s="632"/>
      <c r="AT106" s="632"/>
      <c r="AU106" s="632"/>
      <c r="AV106" s="632"/>
      <c r="AW106" s="632"/>
      <c r="AX106" s="632"/>
      <c r="AY106" s="632"/>
      <c r="AZ106" s="632"/>
      <c r="BA106" s="632"/>
      <c r="BB106" s="632"/>
      <c r="BC106" s="632"/>
      <c r="BD106" s="632"/>
      <c r="BE106" s="632"/>
      <c r="BF106" s="632"/>
      <c r="BG106" s="632"/>
    </row>
    <row r="107" spans="1:59" x14ac:dyDescent="0.2">
      <c r="A107" s="235"/>
      <c r="B107" s="235"/>
      <c r="C107" s="235"/>
      <c r="D107" s="235"/>
      <c r="E107" s="235"/>
      <c r="F107" s="235"/>
      <c r="G107" s="235"/>
      <c r="H107" s="235"/>
      <c r="I107" s="255"/>
      <c r="J107" s="255"/>
      <c r="K107" s="255"/>
      <c r="L107" s="255"/>
      <c r="M107" s="239"/>
      <c r="N107" s="239"/>
      <c r="O107" s="632"/>
      <c r="P107" s="632"/>
      <c r="Q107" s="632"/>
      <c r="R107" s="632"/>
      <c r="S107" s="632"/>
      <c r="T107" s="632"/>
      <c r="U107" s="662"/>
      <c r="V107" s="632"/>
      <c r="W107" s="632"/>
      <c r="X107" s="632"/>
      <c r="Y107" s="632"/>
      <c r="Z107" s="632"/>
      <c r="AA107" s="632"/>
      <c r="AB107" s="255"/>
      <c r="AC107" s="255"/>
      <c r="AD107" s="255"/>
      <c r="AE107" s="255"/>
      <c r="AF107" s="255"/>
      <c r="AG107" s="255"/>
      <c r="AH107" s="255"/>
      <c r="AI107" s="255"/>
      <c r="AJ107" s="255"/>
      <c r="AK107" s="255"/>
      <c r="AL107" s="239"/>
      <c r="AM107" s="632"/>
      <c r="AN107" s="632"/>
      <c r="AO107" s="632"/>
      <c r="AP107" s="632"/>
      <c r="AQ107" s="632"/>
      <c r="AR107" s="632"/>
      <c r="AS107" s="632"/>
      <c r="AT107" s="632"/>
      <c r="AU107" s="632"/>
      <c r="AV107" s="632"/>
      <c r="AW107" s="632"/>
      <c r="AX107" s="632"/>
      <c r="AY107" s="632"/>
      <c r="AZ107" s="632"/>
      <c r="BA107" s="632"/>
      <c r="BB107" s="632"/>
      <c r="BC107" s="632"/>
      <c r="BD107" s="632"/>
      <c r="BE107" s="632"/>
      <c r="BF107" s="632"/>
      <c r="BG107" s="632"/>
    </row>
    <row r="108" spans="1:59" x14ac:dyDescent="0.2">
      <c r="A108" s="235"/>
      <c r="B108" s="235"/>
      <c r="C108" s="235"/>
      <c r="D108" s="235"/>
      <c r="E108" s="235"/>
      <c r="F108" s="235"/>
      <c r="G108" s="235"/>
      <c r="H108" s="235"/>
      <c r="I108" s="255"/>
      <c r="J108" s="255"/>
      <c r="K108" s="255"/>
      <c r="L108" s="255"/>
      <c r="M108" s="239"/>
      <c r="N108" s="239"/>
      <c r="O108" s="632"/>
      <c r="P108" s="632"/>
      <c r="Q108" s="632"/>
      <c r="R108" s="632"/>
      <c r="S108" s="632"/>
      <c r="T108" s="632"/>
      <c r="U108" s="662"/>
      <c r="V108" s="632"/>
      <c r="W108" s="632"/>
      <c r="X108" s="632"/>
      <c r="Y108" s="632"/>
      <c r="Z108" s="632"/>
      <c r="AA108" s="632"/>
      <c r="AB108" s="255"/>
      <c r="AC108" s="255"/>
      <c r="AD108" s="255"/>
      <c r="AE108" s="255"/>
      <c r="AF108" s="255"/>
      <c r="AG108" s="255"/>
      <c r="AH108" s="255"/>
      <c r="AI108" s="255"/>
      <c r="AJ108" s="255"/>
      <c r="AK108" s="255"/>
      <c r="AL108" s="239"/>
      <c r="AM108" s="632"/>
      <c r="AN108" s="632"/>
      <c r="AO108" s="632"/>
      <c r="AP108" s="632"/>
      <c r="AQ108" s="632"/>
      <c r="AR108" s="632"/>
      <c r="AS108" s="632"/>
      <c r="AT108" s="632"/>
      <c r="AU108" s="632"/>
      <c r="AV108" s="632"/>
      <c r="AW108" s="632"/>
      <c r="AX108" s="632"/>
      <c r="AY108" s="632"/>
      <c r="AZ108" s="632"/>
      <c r="BA108" s="632"/>
      <c r="BB108" s="632"/>
      <c r="BC108" s="632"/>
      <c r="BD108" s="632"/>
      <c r="BE108" s="632"/>
      <c r="BF108" s="632"/>
      <c r="BG108" s="632"/>
    </row>
    <row r="109" spans="1:59" x14ac:dyDescent="0.2">
      <c r="A109" s="235"/>
      <c r="B109" s="235"/>
      <c r="C109" s="235"/>
      <c r="D109" s="235"/>
      <c r="E109" s="235"/>
      <c r="F109" s="235"/>
      <c r="G109" s="235"/>
      <c r="H109" s="235"/>
      <c r="I109" s="255"/>
      <c r="J109" s="255"/>
      <c r="K109" s="255"/>
      <c r="L109" s="255"/>
      <c r="M109" s="239"/>
      <c r="N109" s="239"/>
      <c r="O109" s="632"/>
      <c r="P109" s="632"/>
      <c r="Q109" s="632"/>
      <c r="R109" s="632"/>
      <c r="S109" s="632"/>
      <c r="T109" s="632"/>
      <c r="U109" s="662"/>
      <c r="V109" s="632"/>
      <c r="W109" s="632"/>
      <c r="X109" s="632"/>
      <c r="Y109" s="632"/>
      <c r="Z109" s="632"/>
      <c r="AA109" s="632"/>
      <c r="AB109" s="255"/>
      <c r="AC109" s="255"/>
      <c r="AD109" s="255"/>
      <c r="AE109" s="255"/>
      <c r="AF109" s="255"/>
      <c r="AG109" s="255"/>
      <c r="AH109" s="255"/>
      <c r="AI109" s="255"/>
      <c r="AJ109" s="255"/>
      <c r="AK109" s="255"/>
      <c r="AL109" s="239"/>
      <c r="AM109" s="632"/>
      <c r="AN109" s="632"/>
      <c r="AO109" s="632"/>
      <c r="AP109" s="632"/>
      <c r="AQ109" s="632"/>
      <c r="AR109" s="632"/>
      <c r="AS109" s="632"/>
      <c r="AT109" s="632"/>
      <c r="AU109" s="632"/>
      <c r="AV109" s="632"/>
      <c r="AW109" s="632"/>
      <c r="AX109" s="632"/>
      <c r="AY109" s="632"/>
      <c r="AZ109" s="632"/>
      <c r="BA109" s="632"/>
      <c r="BB109" s="632"/>
      <c r="BC109" s="632"/>
      <c r="BD109" s="632"/>
      <c r="BE109" s="632"/>
      <c r="BF109" s="632"/>
      <c r="BG109" s="632"/>
    </row>
    <row r="110" spans="1:59" x14ac:dyDescent="0.2">
      <c r="A110" s="235"/>
      <c r="B110" s="235"/>
      <c r="C110" s="235"/>
      <c r="D110" s="235"/>
      <c r="E110" s="235"/>
      <c r="F110" s="235"/>
      <c r="G110" s="235"/>
      <c r="H110" s="235"/>
      <c r="I110" s="255"/>
      <c r="J110" s="255"/>
      <c r="K110" s="255"/>
      <c r="L110" s="255"/>
      <c r="M110" s="239"/>
      <c r="N110" s="239"/>
      <c r="O110" s="632"/>
      <c r="P110" s="632"/>
      <c r="Q110" s="632"/>
      <c r="R110" s="632"/>
      <c r="S110" s="632"/>
      <c r="T110" s="632"/>
      <c r="U110" s="662"/>
      <c r="V110" s="632"/>
      <c r="W110" s="632"/>
      <c r="X110" s="632"/>
      <c r="Y110" s="632"/>
      <c r="Z110" s="632"/>
      <c r="AA110" s="632"/>
      <c r="AB110" s="255"/>
      <c r="AC110" s="255"/>
      <c r="AD110" s="255"/>
      <c r="AE110" s="255"/>
      <c r="AF110" s="255"/>
      <c r="AG110" s="255"/>
      <c r="AH110" s="255"/>
      <c r="AI110" s="255"/>
      <c r="AJ110" s="255"/>
      <c r="AK110" s="255"/>
      <c r="AL110" s="239"/>
      <c r="AM110" s="632"/>
      <c r="AN110" s="632"/>
      <c r="AO110" s="632"/>
      <c r="AP110" s="632"/>
      <c r="AQ110" s="632"/>
      <c r="AR110" s="632"/>
      <c r="AS110" s="632"/>
      <c r="AT110" s="632"/>
      <c r="AU110" s="632"/>
      <c r="AV110" s="632"/>
      <c r="AW110" s="632"/>
      <c r="AX110" s="632"/>
      <c r="AY110" s="632"/>
      <c r="AZ110" s="632"/>
      <c r="BA110" s="632"/>
      <c r="BB110" s="632"/>
      <c r="BC110" s="632"/>
      <c r="BD110" s="632"/>
      <c r="BE110" s="632"/>
      <c r="BF110" s="632"/>
      <c r="BG110" s="632"/>
    </row>
    <row r="111" spans="1:59" x14ac:dyDescent="0.2">
      <c r="A111" s="235"/>
      <c r="B111" s="235"/>
      <c r="C111" s="235"/>
      <c r="D111" s="235"/>
      <c r="E111" s="235"/>
      <c r="F111" s="235"/>
      <c r="G111" s="235"/>
      <c r="H111" s="235"/>
      <c r="I111" s="255"/>
      <c r="J111" s="255"/>
      <c r="K111" s="255"/>
      <c r="L111" s="255"/>
      <c r="M111" s="239"/>
      <c r="N111" s="239"/>
      <c r="O111" s="632"/>
      <c r="P111" s="632"/>
      <c r="Q111" s="632"/>
      <c r="R111" s="632"/>
      <c r="S111" s="632"/>
      <c r="T111" s="632"/>
      <c r="U111" s="662"/>
      <c r="V111" s="632"/>
      <c r="W111" s="632"/>
      <c r="X111" s="632"/>
      <c r="Y111" s="632"/>
      <c r="Z111" s="632"/>
      <c r="AA111" s="632"/>
      <c r="AB111" s="255"/>
      <c r="AC111" s="255"/>
      <c r="AD111" s="255"/>
      <c r="AE111" s="255"/>
      <c r="AF111" s="255"/>
      <c r="AG111" s="255"/>
      <c r="AH111" s="255"/>
      <c r="AI111" s="255"/>
      <c r="AJ111" s="255"/>
      <c r="AK111" s="255"/>
      <c r="AL111" s="239"/>
      <c r="AM111" s="632"/>
      <c r="AN111" s="632"/>
      <c r="AO111" s="632"/>
      <c r="AP111" s="632"/>
      <c r="AQ111" s="632"/>
      <c r="AR111" s="632"/>
      <c r="AS111" s="632"/>
      <c r="AT111" s="632"/>
      <c r="AU111" s="632"/>
      <c r="AV111" s="632"/>
      <c r="AW111" s="632"/>
      <c r="AX111" s="632"/>
      <c r="AY111" s="632"/>
      <c r="AZ111" s="632"/>
      <c r="BA111" s="632"/>
      <c r="BB111" s="632"/>
      <c r="BC111" s="632"/>
      <c r="BD111" s="632"/>
      <c r="BE111" s="632"/>
      <c r="BF111" s="632"/>
      <c r="BG111" s="632"/>
    </row>
    <row r="112" spans="1:59" x14ac:dyDescent="0.2">
      <c r="A112" s="235"/>
      <c r="B112" s="235"/>
      <c r="C112" s="235"/>
      <c r="D112" s="235"/>
      <c r="E112" s="235"/>
      <c r="F112" s="235"/>
      <c r="G112" s="235"/>
      <c r="H112" s="235"/>
      <c r="I112" s="255"/>
      <c r="J112" s="255"/>
      <c r="K112" s="255"/>
      <c r="L112" s="255"/>
      <c r="M112" s="239"/>
      <c r="N112" s="239"/>
      <c r="O112" s="632"/>
      <c r="P112" s="632"/>
      <c r="Q112" s="632"/>
      <c r="R112" s="632"/>
      <c r="S112" s="632"/>
      <c r="T112" s="632"/>
      <c r="U112" s="662"/>
      <c r="V112" s="632"/>
      <c r="W112" s="632"/>
      <c r="X112" s="632"/>
      <c r="Y112" s="632"/>
      <c r="Z112" s="632"/>
      <c r="AA112" s="632"/>
      <c r="AB112" s="255"/>
      <c r="AC112" s="255"/>
      <c r="AD112" s="255"/>
      <c r="AE112" s="255"/>
      <c r="AF112" s="255"/>
      <c r="AG112" s="255"/>
      <c r="AH112" s="255"/>
      <c r="AI112" s="255"/>
      <c r="AJ112" s="255"/>
      <c r="AK112" s="255"/>
      <c r="AL112" s="239"/>
      <c r="AM112" s="632"/>
      <c r="AN112" s="632"/>
      <c r="AO112" s="632"/>
      <c r="AP112" s="632"/>
      <c r="AQ112" s="632"/>
      <c r="AR112" s="632"/>
      <c r="AS112" s="632"/>
      <c r="AT112" s="632"/>
      <c r="AU112" s="632"/>
      <c r="AV112" s="632"/>
      <c r="AW112" s="632"/>
      <c r="AX112" s="632"/>
      <c r="AY112" s="632"/>
      <c r="AZ112" s="632"/>
      <c r="BA112" s="632"/>
      <c r="BB112" s="632"/>
      <c r="BC112" s="632"/>
      <c r="BD112" s="632"/>
      <c r="BE112" s="632"/>
      <c r="BF112" s="632"/>
      <c r="BG112" s="632"/>
    </row>
    <row r="113" spans="1:59" x14ac:dyDescent="0.2">
      <c r="A113" s="235"/>
      <c r="B113" s="235"/>
      <c r="C113" s="235"/>
      <c r="D113" s="235"/>
      <c r="E113" s="235"/>
      <c r="F113" s="235"/>
      <c r="G113" s="235"/>
      <c r="H113" s="235"/>
      <c r="I113" s="255"/>
      <c r="J113" s="255"/>
      <c r="K113" s="255"/>
      <c r="L113" s="255"/>
      <c r="M113" s="239"/>
      <c r="N113" s="239"/>
      <c r="O113" s="632"/>
      <c r="P113" s="632"/>
      <c r="Q113" s="632"/>
      <c r="R113" s="632"/>
      <c r="S113" s="632"/>
      <c r="T113" s="632"/>
      <c r="U113" s="662"/>
      <c r="V113" s="632"/>
      <c r="W113" s="632"/>
      <c r="X113" s="632"/>
      <c r="Y113" s="632"/>
      <c r="Z113" s="632"/>
      <c r="AA113" s="632"/>
      <c r="AB113" s="255"/>
      <c r="AC113" s="255"/>
      <c r="AD113" s="255"/>
      <c r="AE113" s="255"/>
      <c r="AF113" s="255"/>
      <c r="AG113" s="255"/>
      <c r="AH113" s="255"/>
      <c r="AI113" s="255"/>
      <c r="AJ113" s="255"/>
      <c r="AK113" s="255"/>
      <c r="AL113" s="239"/>
      <c r="AM113" s="632"/>
      <c r="AN113" s="632"/>
      <c r="AO113" s="632"/>
      <c r="AP113" s="632"/>
      <c r="AQ113" s="632"/>
      <c r="AR113" s="632"/>
      <c r="AS113" s="632"/>
      <c r="AT113" s="632"/>
      <c r="AU113" s="632"/>
      <c r="AV113" s="632"/>
      <c r="AW113" s="632"/>
      <c r="AX113" s="632"/>
      <c r="AY113" s="632"/>
      <c r="AZ113" s="632"/>
      <c r="BA113" s="632"/>
      <c r="BB113" s="632"/>
      <c r="BC113" s="632"/>
      <c r="BD113" s="632"/>
      <c r="BE113" s="632"/>
      <c r="BF113" s="632"/>
      <c r="BG113" s="632"/>
    </row>
    <row r="114" spans="1:59" x14ac:dyDescent="0.2">
      <c r="A114" s="235"/>
      <c r="B114" s="235"/>
      <c r="C114" s="235"/>
      <c r="D114" s="235"/>
      <c r="E114" s="235"/>
      <c r="F114" s="235"/>
      <c r="G114" s="235"/>
      <c r="H114" s="235"/>
      <c r="I114" s="255"/>
      <c r="J114" s="255"/>
      <c r="K114" s="255"/>
      <c r="L114" s="255"/>
      <c r="M114" s="239"/>
      <c r="N114" s="239"/>
      <c r="O114" s="632"/>
      <c r="P114" s="632"/>
      <c r="Q114" s="632"/>
      <c r="R114" s="632"/>
      <c r="S114" s="632"/>
      <c r="T114" s="632"/>
      <c r="U114" s="662"/>
      <c r="V114" s="632"/>
      <c r="W114" s="632"/>
      <c r="X114" s="632"/>
      <c r="Y114" s="632"/>
      <c r="Z114" s="632"/>
      <c r="AA114" s="632"/>
      <c r="AB114" s="255"/>
      <c r="AC114" s="255"/>
      <c r="AD114" s="255"/>
      <c r="AE114" s="255"/>
      <c r="AF114" s="255"/>
      <c r="AG114" s="255"/>
      <c r="AH114" s="255"/>
      <c r="AI114" s="255"/>
      <c r="AJ114" s="255"/>
      <c r="AK114" s="255"/>
      <c r="AL114" s="239"/>
      <c r="AM114" s="632"/>
      <c r="AN114" s="632"/>
      <c r="AO114" s="632"/>
      <c r="AP114" s="632"/>
      <c r="AQ114" s="632"/>
      <c r="AR114" s="632"/>
      <c r="AS114" s="632"/>
      <c r="AT114" s="632"/>
      <c r="AU114" s="632"/>
      <c r="AV114" s="632"/>
      <c r="AW114" s="632"/>
      <c r="AX114" s="632"/>
      <c r="AY114" s="632"/>
      <c r="AZ114" s="632"/>
      <c r="BA114" s="632"/>
      <c r="BB114" s="632"/>
      <c r="BC114" s="632"/>
      <c r="BD114" s="632"/>
      <c r="BE114" s="632"/>
      <c r="BF114" s="632"/>
      <c r="BG114" s="632"/>
    </row>
    <row r="115" spans="1:59" x14ac:dyDescent="0.2">
      <c r="A115" s="235"/>
      <c r="B115" s="235"/>
      <c r="C115" s="235"/>
      <c r="D115" s="235"/>
      <c r="E115" s="235"/>
      <c r="F115" s="235"/>
      <c r="G115" s="235"/>
      <c r="H115" s="235"/>
      <c r="I115" s="255"/>
      <c r="J115" s="255"/>
      <c r="K115" s="255"/>
      <c r="L115" s="255"/>
      <c r="M115" s="239"/>
      <c r="N115" s="239"/>
      <c r="O115" s="632"/>
      <c r="P115" s="632"/>
      <c r="Q115" s="632"/>
      <c r="R115" s="632"/>
      <c r="S115" s="632"/>
      <c r="T115" s="632"/>
      <c r="U115" s="662"/>
      <c r="V115" s="632"/>
      <c r="W115" s="632"/>
      <c r="X115" s="632"/>
      <c r="Y115" s="632"/>
      <c r="Z115" s="632"/>
      <c r="AA115" s="632"/>
      <c r="AB115" s="255"/>
      <c r="AC115" s="255"/>
      <c r="AD115" s="255"/>
      <c r="AE115" s="255"/>
      <c r="AF115" s="255"/>
      <c r="AG115" s="255"/>
      <c r="AH115" s="255"/>
      <c r="AI115" s="255"/>
      <c r="AJ115" s="255"/>
      <c r="AK115" s="255"/>
      <c r="AL115" s="239"/>
      <c r="AM115" s="632"/>
      <c r="AN115" s="632"/>
      <c r="AO115" s="632"/>
      <c r="AP115" s="632"/>
      <c r="AQ115" s="632"/>
      <c r="AR115" s="632"/>
      <c r="AS115" s="632"/>
      <c r="AT115" s="632"/>
      <c r="AU115" s="632"/>
      <c r="AV115" s="632"/>
      <c r="AW115" s="632"/>
      <c r="AX115" s="632"/>
      <c r="AY115" s="632"/>
      <c r="AZ115" s="632"/>
      <c r="BA115" s="632"/>
      <c r="BB115" s="632"/>
      <c r="BC115" s="632"/>
      <c r="BD115" s="632"/>
      <c r="BE115" s="632"/>
      <c r="BF115" s="632"/>
      <c r="BG115" s="632"/>
    </row>
    <row r="116" spans="1:59" x14ac:dyDescent="0.2">
      <c r="A116" s="235"/>
      <c r="B116" s="235"/>
      <c r="C116" s="235"/>
      <c r="D116" s="235"/>
      <c r="E116" s="235"/>
      <c r="F116" s="235"/>
      <c r="G116" s="235"/>
      <c r="H116" s="235"/>
      <c r="I116" s="255"/>
      <c r="J116" s="255"/>
      <c r="K116" s="255"/>
      <c r="L116" s="255"/>
      <c r="M116" s="239"/>
      <c r="N116" s="239"/>
      <c r="O116" s="632"/>
      <c r="P116" s="632"/>
      <c r="Q116" s="632"/>
      <c r="R116" s="632"/>
      <c r="S116" s="632"/>
      <c r="T116" s="632"/>
      <c r="U116" s="662"/>
      <c r="V116" s="632"/>
      <c r="W116" s="632"/>
      <c r="X116" s="632"/>
      <c r="Y116" s="632"/>
      <c r="Z116" s="632"/>
      <c r="AA116" s="632"/>
      <c r="AB116" s="255"/>
      <c r="AC116" s="255"/>
      <c r="AD116" s="255"/>
      <c r="AE116" s="255"/>
      <c r="AF116" s="255"/>
      <c r="AG116" s="255"/>
      <c r="AH116" s="255"/>
      <c r="AI116" s="255"/>
      <c r="AJ116" s="255"/>
      <c r="AK116" s="255"/>
      <c r="AL116" s="239"/>
      <c r="AM116" s="632"/>
      <c r="AN116" s="632"/>
      <c r="AO116" s="632"/>
      <c r="AP116" s="632"/>
      <c r="AQ116" s="632"/>
      <c r="AR116" s="632"/>
      <c r="AS116" s="632"/>
      <c r="AT116" s="632"/>
      <c r="AU116" s="632"/>
      <c r="AV116" s="632"/>
      <c r="AW116" s="632"/>
      <c r="AX116" s="632"/>
      <c r="AY116" s="632"/>
      <c r="AZ116" s="632"/>
      <c r="BA116" s="632"/>
      <c r="BB116" s="632"/>
      <c r="BC116" s="632"/>
      <c r="BD116" s="632"/>
      <c r="BE116" s="632"/>
      <c r="BF116" s="632"/>
      <c r="BG116" s="632"/>
    </row>
    <row r="117" spans="1:59" x14ac:dyDescent="0.2">
      <c r="A117" s="235"/>
      <c r="B117" s="235"/>
      <c r="C117" s="235"/>
      <c r="D117" s="235"/>
      <c r="E117" s="235"/>
      <c r="F117" s="235"/>
      <c r="G117" s="235"/>
      <c r="H117" s="235"/>
      <c r="I117" s="255"/>
      <c r="J117" s="255"/>
      <c r="K117" s="255"/>
      <c r="L117" s="255"/>
      <c r="M117" s="239"/>
      <c r="N117" s="239"/>
      <c r="O117" s="632"/>
      <c r="P117" s="632"/>
      <c r="Q117" s="632"/>
      <c r="R117" s="632"/>
      <c r="S117" s="632"/>
      <c r="T117" s="632"/>
      <c r="U117" s="662"/>
      <c r="V117" s="632"/>
      <c r="W117" s="632"/>
      <c r="X117" s="632"/>
      <c r="Y117" s="632"/>
      <c r="Z117" s="632"/>
      <c r="AA117" s="632"/>
      <c r="AB117" s="255"/>
      <c r="AC117" s="255"/>
      <c r="AD117" s="255"/>
      <c r="AE117" s="255"/>
      <c r="AF117" s="255"/>
      <c r="AG117" s="255"/>
      <c r="AH117" s="255"/>
      <c r="AI117" s="255"/>
      <c r="AJ117" s="255"/>
      <c r="AK117" s="255"/>
      <c r="AL117" s="239"/>
      <c r="AM117" s="632"/>
      <c r="AN117" s="632"/>
      <c r="AO117" s="632"/>
      <c r="AP117" s="632"/>
      <c r="AQ117" s="632"/>
      <c r="AR117" s="632"/>
      <c r="AS117" s="632"/>
      <c r="AT117" s="632"/>
      <c r="AU117" s="632"/>
      <c r="AV117" s="632"/>
      <c r="AW117" s="632"/>
      <c r="AX117" s="632"/>
      <c r="AY117" s="632"/>
      <c r="AZ117" s="632"/>
      <c r="BA117" s="632"/>
      <c r="BB117" s="632"/>
      <c r="BC117" s="632"/>
      <c r="BD117" s="632"/>
      <c r="BE117" s="632"/>
      <c r="BF117" s="632"/>
      <c r="BG117" s="632"/>
    </row>
    <row r="118" spans="1:59" x14ac:dyDescent="0.2">
      <c r="A118" s="235"/>
      <c r="B118" s="235"/>
      <c r="C118" s="235"/>
      <c r="D118" s="235"/>
      <c r="E118" s="235"/>
      <c r="F118" s="235"/>
      <c r="G118" s="235"/>
      <c r="H118" s="235"/>
      <c r="I118" s="255"/>
      <c r="J118" s="255"/>
      <c r="K118" s="255"/>
      <c r="L118" s="255"/>
      <c r="M118" s="239"/>
      <c r="N118" s="239"/>
      <c r="O118" s="632"/>
      <c r="P118" s="632"/>
      <c r="Q118" s="632"/>
      <c r="R118" s="632"/>
      <c r="S118" s="632"/>
      <c r="T118" s="632"/>
      <c r="U118" s="662"/>
      <c r="V118" s="632"/>
      <c r="W118" s="632"/>
      <c r="X118" s="632"/>
      <c r="Y118" s="632"/>
      <c r="Z118" s="632"/>
      <c r="AA118" s="632"/>
      <c r="AB118" s="255"/>
      <c r="AC118" s="255"/>
      <c r="AD118" s="255"/>
      <c r="AE118" s="255"/>
      <c r="AF118" s="255"/>
      <c r="AG118" s="255"/>
      <c r="AH118" s="255"/>
      <c r="AI118" s="255"/>
      <c r="AJ118" s="255"/>
      <c r="AK118" s="255"/>
      <c r="AL118" s="239"/>
      <c r="AM118" s="632"/>
      <c r="AN118" s="632"/>
      <c r="AO118" s="632"/>
      <c r="AP118" s="632"/>
      <c r="AQ118" s="632"/>
      <c r="AR118" s="632"/>
      <c r="AS118" s="632"/>
      <c r="AT118" s="632"/>
      <c r="AU118" s="632"/>
      <c r="AV118" s="632"/>
      <c r="AW118" s="632"/>
      <c r="AX118" s="632"/>
      <c r="AY118" s="632"/>
      <c r="AZ118" s="632"/>
      <c r="BA118" s="632"/>
      <c r="BB118" s="632"/>
      <c r="BC118" s="632"/>
      <c r="BD118" s="632"/>
      <c r="BE118" s="632"/>
      <c r="BF118" s="632"/>
      <c r="BG118" s="632"/>
    </row>
    <row r="119" spans="1:59" x14ac:dyDescent="0.2">
      <c r="A119" s="235"/>
      <c r="B119" s="235"/>
      <c r="C119" s="235"/>
      <c r="D119" s="235"/>
      <c r="E119" s="235"/>
      <c r="F119" s="235"/>
      <c r="G119" s="235"/>
      <c r="H119" s="235"/>
      <c r="I119" s="255"/>
      <c r="J119" s="255"/>
      <c r="K119" s="255"/>
      <c r="L119" s="255"/>
      <c r="M119" s="239"/>
      <c r="N119" s="239"/>
      <c r="O119" s="632"/>
      <c r="P119" s="632"/>
      <c r="Q119" s="632"/>
      <c r="R119" s="632"/>
      <c r="S119" s="632"/>
      <c r="T119" s="632"/>
      <c r="U119" s="662"/>
      <c r="V119" s="632"/>
      <c r="W119" s="632"/>
      <c r="X119" s="632"/>
      <c r="Y119" s="632"/>
      <c r="Z119" s="632"/>
      <c r="AA119" s="632"/>
      <c r="AB119" s="255"/>
      <c r="AC119" s="255"/>
      <c r="AD119" s="255"/>
      <c r="AE119" s="255"/>
      <c r="AF119" s="255"/>
      <c r="AG119" s="255"/>
      <c r="AH119" s="255"/>
      <c r="AI119" s="255"/>
      <c r="AJ119" s="255"/>
      <c r="AK119" s="255"/>
      <c r="AL119" s="239"/>
      <c r="AM119" s="632"/>
      <c r="AN119" s="632"/>
      <c r="AO119" s="632"/>
      <c r="AP119" s="632"/>
      <c r="AQ119" s="632"/>
      <c r="AR119" s="632"/>
      <c r="AS119" s="632"/>
      <c r="AT119" s="632"/>
      <c r="AU119" s="632"/>
      <c r="AV119" s="632"/>
      <c r="AW119" s="632"/>
      <c r="AX119" s="632"/>
      <c r="AY119" s="632"/>
      <c r="AZ119" s="632"/>
      <c r="BA119" s="632"/>
      <c r="BB119" s="632"/>
      <c r="BC119" s="632"/>
      <c r="BD119" s="632"/>
      <c r="BE119" s="632"/>
      <c r="BF119" s="632"/>
      <c r="BG119" s="632"/>
    </row>
    <row r="120" spans="1:59" x14ac:dyDescent="0.2">
      <c r="A120" s="235"/>
      <c r="B120" s="235"/>
      <c r="C120" s="235"/>
      <c r="D120" s="235"/>
      <c r="E120" s="235"/>
      <c r="F120" s="235"/>
      <c r="G120" s="235"/>
      <c r="H120" s="235"/>
      <c r="I120" s="255"/>
      <c r="J120" s="255"/>
      <c r="K120" s="255"/>
      <c r="L120" s="255"/>
      <c r="M120" s="239"/>
      <c r="N120" s="239"/>
      <c r="O120" s="632"/>
      <c r="P120" s="632"/>
      <c r="Q120" s="632"/>
      <c r="R120" s="632"/>
      <c r="S120" s="632"/>
      <c r="T120" s="632"/>
      <c r="U120" s="662"/>
      <c r="V120" s="632"/>
      <c r="W120" s="632"/>
      <c r="X120" s="632"/>
      <c r="Y120" s="632"/>
      <c r="Z120" s="632"/>
      <c r="AA120" s="632"/>
      <c r="AB120" s="255"/>
      <c r="AC120" s="255"/>
      <c r="AD120" s="255"/>
      <c r="AE120" s="255"/>
      <c r="AF120" s="255"/>
      <c r="AG120" s="255"/>
      <c r="AH120" s="255"/>
      <c r="AI120" s="255"/>
      <c r="AJ120" s="255"/>
      <c r="AK120" s="255"/>
      <c r="AL120" s="239"/>
      <c r="AM120" s="632"/>
      <c r="AN120" s="632"/>
      <c r="AO120" s="632"/>
      <c r="AP120" s="632"/>
      <c r="AQ120" s="632"/>
      <c r="AR120" s="632"/>
      <c r="AS120" s="632"/>
      <c r="AT120" s="632"/>
      <c r="AU120" s="632"/>
      <c r="AV120" s="632"/>
      <c r="AW120" s="632"/>
      <c r="AX120" s="632"/>
      <c r="AY120" s="632"/>
      <c r="AZ120" s="632"/>
      <c r="BA120" s="632"/>
      <c r="BB120" s="632"/>
      <c r="BC120" s="632"/>
      <c r="BD120" s="632"/>
      <c r="BE120" s="632"/>
      <c r="BF120" s="632"/>
      <c r="BG120" s="632"/>
    </row>
    <row r="121" spans="1:59" x14ac:dyDescent="0.2">
      <c r="A121" s="235"/>
      <c r="B121" s="235"/>
      <c r="C121" s="235"/>
      <c r="D121" s="235"/>
      <c r="E121" s="235"/>
      <c r="F121" s="235"/>
      <c r="G121" s="235"/>
      <c r="H121" s="235"/>
      <c r="I121" s="255"/>
      <c r="J121" s="255"/>
      <c r="K121" s="255"/>
      <c r="L121" s="255"/>
      <c r="M121" s="239"/>
      <c r="N121" s="239"/>
      <c r="O121" s="632"/>
      <c r="P121" s="632"/>
      <c r="Q121" s="632"/>
      <c r="R121" s="632"/>
      <c r="S121" s="632"/>
      <c r="T121" s="632"/>
      <c r="U121" s="662"/>
      <c r="V121" s="632"/>
      <c r="W121" s="632"/>
      <c r="X121" s="632"/>
      <c r="Y121" s="632"/>
      <c r="Z121" s="632"/>
      <c r="AA121" s="632"/>
      <c r="AB121" s="255"/>
      <c r="AC121" s="255"/>
      <c r="AD121" s="255"/>
      <c r="AE121" s="255"/>
      <c r="AF121" s="255"/>
      <c r="AG121" s="255"/>
      <c r="AH121" s="255"/>
      <c r="AI121" s="255"/>
      <c r="AJ121" s="255"/>
      <c r="AK121" s="255"/>
      <c r="AL121" s="239"/>
      <c r="AM121" s="632"/>
      <c r="AN121" s="632"/>
      <c r="AO121" s="632"/>
      <c r="AP121" s="632"/>
      <c r="AQ121" s="632"/>
      <c r="AR121" s="632"/>
      <c r="AS121" s="632"/>
      <c r="AT121" s="632"/>
      <c r="AU121" s="632"/>
      <c r="AV121" s="632"/>
      <c r="AW121" s="632"/>
      <c r="AX121" s="632"/>
      <c r="AY121" s="632"/>
      <c r="AZ121" s="632"/>
      <c r="BA121" s="632"/>
      <c r="BB121" s="632"/>
      <c r="BC121" s="632"/>
      <c r="BD121" s="632"/>
      <c r="BE121" s="632"/>
      <c r="BF121" s="632"/>
      <c r="BG121" s="632"/>
    </row>
    <row r="122" spans="1:59" x14ac:dyDescent="0.2">
      <c r="A122" s="235"/>
      <c r="B122" s="235"/>
      <c r="C122" s="235"/>
      <c r="D122" s="235"/>
      <c r="E122" s="235"/>
      <c r="F122" s="235"/>
      <c r="G122" s="235"/>
      <c r="H122" s="235"/>
      <c r="I122" s="255"/>
      <c r="J122" s="255"/>
      <c r="K122" s="255"/>
      <c r="L122" s="255"/>
      <c r="M122" s="239"/>
      <c r="N122" s="239"/>
      <c r="O122" s="632"/>
      <c r="P122" s="632"/>
      <c r="Q122" s="632"/>
      <c r="R122" s="632"/>
      <c r="S122" s="632"/>
      <c r="T122" s="632"/>
      <c r="U122" s="662"/>
      <c r="V122" s="632"/>
      <c r="W122" s="632"/>
      <c r="X122" s="632"/>
      <c r="Y122" s="632"/>
      <c r="Z122" s="632"/>
      <c r="AA122" s="632"/>
      <c r="AB122" s="255"/>
      <c r="AC122" s="255"/>
      <c r="AD122" s="255"/>
      <c r="AE122" s="255"/>
      <c r="AF122" s="255"/>
      <c r="AG122" s="255"/>
      <c r="AH122" s="255"/>
      <c r="AI122" s="255"/>
      <c r="AJ122" s="255"/>
      <c r="AK122" s="255"/>
      <c r="AL122" s="239"/>
      <c r="AM122" s="632"/>
      <c r="AN122" s="632"/>
      <c r="AO122" s="632"/>
      <c r="AP122" s="632"/>
      <c r="AQ122" s="632"/>
      <c r="AR122" s="632"/>
      <c r="AS122" s="632"/>
      <c r="AT122" s="632"/>
      <c r="AU122" s="632"/>
      <c r="AV122" s="632"/>
      <c r="AW122" s="632"/>
      <c r="AX122" s="632"/>
      <c r="AY122" s="632"/>
      <c r="AZ122" s="632"/>
      <c r="BA122" s="632"/>
      <c r="BB122" s="632"/>
      <c r="BC122" s="632"/>
      <c r="BD122" s="632"/>
      <c r="BE122" s="632"/>
      <c r="BF122" s="632"/>
      <c r="BG122" s="632"/>
    </row>
    <row r="123" spans="1:59" x14ac:dyDescent="0.2">
      <c r="A123" s="235"/>
      <c r="B123" s="235"/>
      <c r="C123" s="235"/>
      <c r="D123" s="235"/>
      <c r="E123" s="235"/>
      <c r="F123" s="235"/>
      <c r="G123" s="235"/>
      <c r="H123" s="235"/>
      <c r="I123" s="255"/>
      <c r="J123" s="255"/>
      <c r="K123" s="255"/>
      <c r="L123" s="255"/>
      <c r="M123" s="239"/>
      <c r="N123" s="239"/>
      <c r="O123" s="632"/>
      <c r="P123" s="632"/>
      <c r="Q123" s="632"/>
      <c r="R123" s="632"/>
      <c r="S123" s="632"/>
      <c r="T123" s="632"/>
      <c r="U123" s="662"/>
      <c r="V123" s="632"/>
      <c r="W123" s="632"/>
      <c r="X123" s="632"/>
      <c r="Y123" s="632"/>
      <c r="Z123" s="632"/>
      <c r="AA123" s="632"/>
      <c r="AB123" s="255"/>
      <c r="AC123" s="255"/>
      <c r="AD123" s="255"/>
      <c r="AE123" s="255"/>
      <c r="AF123" s="255"/>
      <c r="AG123" s="255"/>
      <c r="AH123" s="255"/>
      <c r="AI123" s="255"/>
      <c r="AJ123" s="255"/>
      <c r="AK123" s="255"/>
      <c r="AL123" s="239"/>
      <c r="AM123" s="632"/>
      <c r="AN123" s="632"/>
      <c r="AO123" s="632"/>
      <c r="AP123" s="632"/>
      <c r="AQ123" s="632"/>
      <c r="AR123" s="632"/>
      <c r="AS123" s="632"/>
      <c r="AT123" s="632"/>
      <c r="AU123" s="632"/>
      <c r="AV123" s="632"/>
      <c r="AW123" s="632"/>
      <c r="AX123" s="632"/>
      <c r="AY123" s="632"/>
      <c r="AZ123" s="632"/>
      <c r="BA123" s="632"/>
      <c r="BB123" s="632"/>
      <c r="BC123" s="632"/>
      <c r="BD123" s="632"/>
      <c r="BE123" s="632"/>
      <c r="BF123" s="632"/>
      <c r="BG123" s="632"/>
    </row>
    <row r="124" spans="1:59" x14ac:dyDescent="0.2">
      <c r="A124" s="235"/>
      <c r="B124" s="235"/>
      <c r="C124" s="235"/>
      <c r="D124" s="235"/>
      <c r="E124" s="235"/>
      <c r="F124" s="235"/>
      <c r="G124" s="235"/>
      <c r="H124" s="235"/>
      <c r="I124" s="255"/>
      <c r="J124" s="255"/>
      <c r="K124" s="255"/>
      <c r="L124" s="255"/>
      <c r="M124" s="239"/>
      <c r="N124" s="239"/>
      <c r="O124" s="632"/>
      <c r="P124" s="632"/>
      <c r="Q124" s="632"/>
      <c r="R124" s="632"/>
      <c r="S124" s="632"/>
      <c r="T124" s="632"/>
      <c r="U124" s="662"/>
      <c r="V124" s="632"/>
      <c r="W124" s="632"/>
      <c r="X124" s="632"/>
      <c r="Y124" s="632"/>
      <c r="Z124" s="632"/>
      <c r="AA124" s="632"/>
      <c r="AB124" s="255"/>
      <c r="AC124" s="255"/>
      <c r="AD124" s="255"/>
      <c r="AE124" s="255"/>
      <c r="AF124" s="255"/>
      <c r="AG124" s="255"/>
      <c r="AH124" s="255"/>
      <c r="AI124" s="255"/>
      <c r="AJ124" s="255"/>
      <c r="AK124" s="255"/>
      <c r="AL124" s="239"/>
      <c r="AM124" s="632"/>
      <c r="AN124" s="632"/>
      <c r="AO124" s="632"/>
      <c r="AP124" s="632"/>
      <c r="AQ124" s="632"/>
      <c r="AR124" s="632"/>
      <c r="AS124" s="632"/>
      <c r="AT124" s="632"/>
      <c r="AU124" s="632"/>
      <c r="AV124" s="632"/>
      <c r="AW124" s="632"/>
      <c r="AX124" s="632"/>
      <c r="AY124" s="632"/>
      <c r="AZ124" s="632"/>
      <c r="BA124" s="632"/>
      <c r="BB124" s="632"/>
      <c r="BC124" s="632"/>
      <c r="BD124" s="632"/>
      <c r="BE124" s="632"/>
      <c r="BF124" s="632"/>
      <c r="BG124" s="632"/>
    </row>
    <row r="125" spans="1:59" x14ac:dyDescent="0.2">
      <c r="A125" s="235"/>
      <c r="B125" s="235"/>
      <c r="C125" s="235"/>
      <c r="D125" s="235"/>
      <c r="E125" s="235"/>
      <c r="F125" s="235"/>
      <c r="G125" s="235"/>
      <c r="H125" s="235"/>
      <c r="I125" s="255"/>
      <c r="J125" s="255"/>
      <c r="K125" s="255"/>
      <c r="L125" s="255"/>
      <c r="M125" s="239"/>
      <c r="N125" s="239"/>
      <c r="O125" s="632"/>
      <c r="P125" s="632"/>
      <c r="Q125" s="632"/>
      <c r="R125" s="632"/>
      <c r="S125" s="632"/>
      <c r="T125" s="632"/>
      <c r="U125" s="662"/>
      <c r="V125" s="632"/>
      <c r="W125" s="632"/>
      <c r="X125" s="632"/>
      <c r="Y125" s="632"/>
      <c r="Z125" s="632"/>
      <c r="AA125" s="632"/>
      <c r="AB125" s="255"/>
      <c r="AC125" s="255"/>
      <c r="AD125" s="255"/>
      <c r="AE125" s="255"/>
      <c r="AF125" s="255"/>
      <c r="AG125" s="255"/>
      <c r="AH125" s="255"/>
      <c r="AI125" s="255"/>
      <c r="AJ125" s="255"/>
      <c r="AK125" s="255"/>
      <c r="AL125" s="239"/>
      <c r="AM125" s="632"/>
      <c r="AN125" s="632"/>
      <c r="AO125" s="632"/>
      <c r="AP125" s="632"/>
      <c r="AQ125" s="632"/>
      <c r="AR125" s="632"/>
      <c r="AS125" s="632"/>
      <c r="AT125" s="632"/>
      <c r="AU125" s="632"/>
      <c r="AV125" s="632"/>
      <c r="AW125" s="632"/>
      <c r="AX125" s="632"/>
      <c r="AY125" s="632"/>
      <c r="AZ125" s="632"/>
      <c r="BA125" s="632"/>
      <c r="BB125" s="632"/>
      <c r="BC125" s="632"/>
      <c r="BD125" s="632"/>
      <c r="BE125" s="632"/>
      <c r="BF125" s="632"/>
      <c r="BG125" s="632"/>
    </row>
    <row r="126" spans="1:59" x14ac:dyDescent="0.2">
      <c r="A126" s="235"/>
      <c r="B126" s="235"/>
      <c r="C126" s="235"/>
      <c r="D126" s="235"/>
      <c r="E126" s="235"/>
      <c r="F126" s="235"/>
      <c r="G126" s="235"/>
      <c r="H126" s="235"/>
      <c r="I126" s="255"/>
      <c r="J126" s="255"/>
      <c r="K126" s="255"/>
      <c r="L126" s="255"/>
      <c r="M126" s="239"/>
      <c r="N126" s="239"/>
      <c r="O126" s="632"/>
      <c r="P126" s="632"/>
      <c r="Q126" s="632"/>
      <c r="R126" s="632"/>
      <c r="S126" s="632"/>
      <c r="T126" s="632"/>
      <c r="U126" s="662"/>
      <c r="V126" s="632"/>
      <c r="W126" s="632"/>
      <c r="X126" s="632"/>
      <c r="Y126" s="632"/>
      <c r="Z126" s="632"/>
      <c r="AA126" s="632"/>
      <c r="AB126" s="255"/>
      <c r="AC126" s="255"/>
      <c r="AD126" s="255"/>
      <c r="AE126" s="255"/>
      <c r="AF126" s="255"/>
      <c r="AG126" s="255"/>
      <c r="AH126" s="255"/>
      <c r="AI126" s="255"/>
      <c r="AJ126" s="255"/>
      <c r="AK126" s="255"/>
      <c r="AL126" s="239"/>
      <c r="AM126" s="632"/>
      <c r="AN126" s="632"/>
      <c r="AO126" s="632"/>
      <c r="AP126" s="632"/>
      <c r="AQ126" s="632"/>
      <c r="AR126" s="632"/>
      <c r="AS126" s="632"/>
      <c r="AT126" s="632"/>
      <c r="AU126" s="632"/>
      <c r="AV126" s="632"/>
      <c r="AW126" s="632"/>
      <c r="AX126" s="632"/>
      <c r="AY126" s="632"/>
      <c r="AZ126" s="632"/>
      <c r="BA126" s="632"/>
      <c r="BB126" s="632"/>
      <c r="BC126" s="632"/>
      <c r="BD126" s="632"/>
      <c r="BE126" s="632"/>
      <c r="BF126" s="632"/>
      <c r="BG126" s="632"/>
    </row>
    <row r="127" spans="1:59" x14ac:dyDescent="0.2">
      <c r="A127" s="235"/>
      <c r="B127" s="235"/>
      <c r="C127" s="235"/>
      <c r="D127" s="235"/>
      <c r="E127" s="235"/>
      <c r="F127" s="235"/>
      <c r="G127" s="235"/>
      <c r="H127" s="235"/>
      <c r="I127" s="255"/>
      <c r="J127" s="255"/>
      <c r="K127" s="255"/>
      <c r="L127" s="255"/>
      <c r="M127" s="239"/>
      <c r="N127" s="239"/>
      <c r="O127" s="632"/>
      <c r="P127" s="632"/>
      <c r="Q127" s="632"/>
      <c r="R127" s="632"/>
      <c r="S127" s="632"/>
      <c r="T127" s="632"/>
      <c r="U127" s="662"/>
      <c r="V127" s="632"/>
      <c r="W127" s="632"/>
      <c r="X127" s="632"/>
      <c r="Y127" s="632"/>
      <c r="Z127" s="632"/>
      <c r="AA127" s="632"/>
      <c r="AB127" s="255"/>
      <c r="AC127" s="255"/>
      <c r="AD127" s="255"/>
      <c r="AE127" s="255"/>
      <c r="AF127" s="255"/>
      <c r="AG127" s="255"/>
      <c r="AH127" s="255"/>
      <c r="AI127" s="255"/>
      <c r="AJ127" s="255"/>
      <c r="AK127" s="255"/>
      <c r="AL127" s="239"/>
      <c r="AM127" s="632"/>
      <c r="AN127" s="632"/>
      <c r="AO127" s="632"/>
      <c r="AP127" s="632"/>
      <c r="AQ127" s="632"/>
      <c r="AR127" s="632"/>
      <c r="AS127" s="632"/>
      <c r="AT127" s="632"/>
      <c r="AU127" s="632"/>
      <c r="AV127" s="632"/>
      <c r="AW127" s="632"/>
      <c r="AX127" s="632"/>
      <c r="AY127" s="632"/>
      <c r="AZ127" s="632"/>
      <c r="BA127" s="632"/>
      <c r="BB127" s="632"/>
      <c r="BC127" s="632"/>
      <c r="BD127" s="632"/>
      <c r="BE127" s="632"/>
      <c r="BF127" s="632"/>
      <c r="BG127" s="632"/>
    </row>
    <row r="128" spans="1:59" x14ac:dyDescent="0.2">
      <c r="A128" s="235"/>
      <c r="B128" s="235"/>
      <c r="C128" s="235"/>
      <c r="D128" s="235"/>
      <c r="E128" s="235"/>
      <c r="F128" s="235"/>
      <c r="G128" s="235"/>
      <c r="H128" s="235"/>
      <c r="I128" s="255"/>
      <c r="J128" s="255"/>
      <c r="K128" s="255"/>
      <c r="L128" s="255"/>
      <c r="M128" s="239"/>
      <c r="N128" s="239"/>
      <c r="O128" s="632"/>
      <c r="P128" s="632"/>
      <c r="Q128" s="632"/>
      <c r="R128" s="632"/>
      <c r="S128" s="632"/>
      <c r="T128" s="632"/>
      <c r="U128" s="662"/>
      <c r="V128" s="632"/>
      <c r="W128" s="632"/>
      <c r="X128" s="632"/>
      <c r="Y128" s="632"/>
      <c r="Z128" s="632"/>
      <c r="AA128" s="632"/>
      <c r="AB128" s="255"/>
      <c r="AC128" s="255"/>
      <c r="AD128" s="255"/>
      <c r="AE128" s="255"/>
      <c r="AF128" s="255"/>
      <c r="AG128" s="255"/>
      <c r="AH128" s="255"/>
      <c r="AI128" s="255"/>
      <c r="AJ128" s="255"/>
      <c r="AK128" s="255"/>
      <c r="AL128" s="239"/>
      <c r="AM128" s="632"/>
      <c r="AN128" s="632"/>
      <c r="AO128" s="632"/>
      <c r="AP128" s="632"/>
      <c r="AQ128" s="632"/>
      <c r="AR128" s="632"/>
      <c r="AS128" s="632"/>
      <c r="AT128" s="632"/>
      <c r="AU128" s="632"/>
      <c r="AV128" s="632"/>
      <c r="AW128" s="632"/>
      <c r="AX128" s="632"/>
      <c r="AY128" s="632"/>
      <c r="AZ128" s="632"/>
      <c r="BA128" s="632"/>
      <c r="BB128" s="632"/>
      <c r="BC128" s="632"/>
      <c r="BD128" s="632"/>
      <c r="BE128" s="632"/>
      <c r="BF128" s="632"/>
      <c r="BG128" s="632"/>
    </row>
    <row r="129" spans="1:59" x14ac:dyDescent="0.2">
      <c r="A129" s="235"/>
      <c r="B129" s="235"/>
      <c r="C129" s="235"/>
      <c r="D129" s="235"/>
      <c r="E129" s="235"/>
      <c r="F129" s="235"/>
      <c r="G129" s="235"/>
      <c r="H129" s="235"/>
      <c r="I129" s="255"/>
      <c r="J129" s="255"/>
      <c r="K129" s="255"/>
      <c r="L129" s="255"/>
      <c r="M129" s="239"/>
      <c r="N129" s="239"/>
      <c r="O129" s="632"/>
      <c r="P129" s="632"/>
      <c r="Q129" s="632"/>
      <c r="R129" s="632"/>
      <c r="S129" s="632"/>
      <c r="T129" s="632"/>
      <c r="U129" s="662"/>
      <c r="V129" s="632"/>
      <c r="W129" s="632"/>
      <c r="X129" s="632"/>
      <c r="Y129" s="632"/>
      <c r="Z129" s="632"/>
      <c r="AA129" s="632"/>
      <c r="AB129" s="255"/>
      <c r="AC129" s="255"/>
      <c r="AD129" s="255"/>
      <c r="AE129" s="255"/>
      <c r="AF129" s="255"/>
      <c r="AG129" s="255"/>
      <c r="AH129" s="255"/>
      <c r="AI129" s="255"/>
      <c r="AJ129" s="255"/>
      <c r="AK129" s="255"/>
      <c r="AL129" s="239"/>
      <c r="AM129" s="632"/>
      <c r="AN129" s="632"/>
      <c r="AO129" s="632"/>
      <c r="AP129" s="632"/>
      <c r="AQ129" s="632"/>
      <c r="AR129" s="632"/>
      <c r="AS129" s="632"/>
      <c r="AT129" s="632"/>
      <c r="AU129" s="632"/>
      <c r="AV129" s="632"/>
      <c r="AW129" s="632"/>
      <c r="AX129" s="632"/>
      <c r="AY129" s="632"/>
      <c r="AZ129" s="632"/>
      <c r="BA129" s="632"/>
      <c r="BB129" s="632"/>
      <c r="BC129" s="632"/>
      <c r="BD129" s="632"/>
      <c r="BE129" s="632"/>
      <c r="BF129" s="632"/>
      <c r="BG129" s="632"/>
    </row>
    <row r="130" spans="1:59" x14ac:dyDescent="0.2">
      <c r="A130" s="235"/>
      <c r="B130" s="235"/>
      <c r="C130" s="235"/>
      <c r="D130" s="235"/>
      <c r="E130" s="235"/>
      <c r="F130" s="235"/>
      <c r="G130" s="235"/>
      <c r="H130" s="235"/>
      <c r="I130" s="255"/>
      <c r="J130" s="255"/>
      <c r="K130" s="255"/>
      <c r="L130" s="255"/>
      <c r="M130" s="239"/>
      <c r="N130" s="239"/>
      <c r="O130" s="632"/>
      <c r="P130" s="632"/>
      <c r="Q130" s="632"/>
      <c r="R130" s="632"/>
      <c r="S130" s="632"/>
      <c r="T130" s="632"/>
      <c r="U130" s="662"/>
      <c r="V130" s="632"/>
      <c r="W130" s="632"/>
      <c r="X130" s="632"/>
      <c r="Y130" s="632"/>
      <c r="Z130" s="632"/>
      <c r="AA130" s="632"/>
      <c r="AB130" s="255"/>
      <c r="AC130" s="255"/>
      <c r="AD130" s="255"/>
      <c r="AE130" s="255"/>
      <c r="AF130" s="255"/>
      <c r="AG130" s="255"/>
      <c r="AH130" s="255"/>
      <c r="AI130" s="255"/>
      <c r="AJ130" s="255"/>
      <c r="AK130" s="255"/>
      <c r="AL130" s="239"/>
      <c r="AM130" s="632"/>
      <c r="AN130" s="632"/>
      <c r="AO130" s="632"/>
      <c r="AP130" s="632"/>
      <c r="AQ130" s="632"/>
      <c r="AR130" s="632"/>
      <c r="AS130" s="632"/>
      <c r="AT130" s="632"/>
      <c r="AU130" s="632"/>
      <c r="AV130" s="632"/>
      <c r="AW130" s="632"/>
      <c r="AX130" s="632"/>
      <c r="AY130" s="632"/>
      <c r="AZ130" s="632"/>
      <c r="BA130" s="632"/>
      <c r="BB130" s="632"/>
      <c r="BC130" s="632"/>
      <c r="BD130" s="632"/>
      <c r="BE130" s="632"/>
      <c r="BF130" s="632"/>
      <c r="BG130" s="632"/>
    </row>
    <row r="131" spans="1:59" x14ac:dyDescent="0.2">
      <c r="A131" s="235"/>
      <c r="B131" s="235"/>
      <c r="C131" s="235"/>
      <c r="D131" s="235"/>
      <c r="E131" s="235"/>
      <c r="F131" s="235"/>
      <c r="G131" s="235"/>
      <c r="H131" s="235"/>
      <c r="I131" s="255"/>
      <c r="J131" s="255"/>
      <c r="K131" s="255"/>
      <c r="L131" s="255"/>
      <c r="M131" s="239"/>
      <c r="N131" s="239"/>
      <c r="O131" s="632"/>
      <c r="P131" s="632"/>
      <c r="Q131" s="632"/>
      <c r="R131" s="632"/>
      <c r="S131" s="632"/>
      <c r="T131" s="632"/>
      <c r="U131" s="662"/>
      <c r="V131" s="632"/>
      <c r="W131" s="632"/>
      <c r="X131" s="632"/>
      <c r="Y131" s="632"/>
      <c r="Z131" s="632"/>
      <c r="AA131" s="632"/>
      <c r="AB131" s="255"/>
      <c r="AC131" s="255"/>
      <c r="AD131" s="255"/>
      <c r="AE131" s="255"/>
      <c r="AF131" s="255"/>
      <c r="AG131" s="255"/>
      <c r="AH131" s="255"/>
      <c r="AI131" s="255"/>
      <c r="AJ131" s="255"/>
      <c r="AK131" s="255"/>
      <c r="AL131" s="239"/>
      <c r="AM131" s="632"/>
      <c r="AN131" s="632"/>
      <c r="AO131" s="632"/>
      <c r="AP131" s="632"/>
      <c r="AQ131" s="632"/>
      <c r="AR131" s="632"/>
      <c r="AS131" s="632"/>
      <c r="AT131" s="632"/>
      <c r="AU131" s="632"/>
      <c r="AV131" s="632"/>
      <c r="AW131" s="632"/>
      <c r="AX131" s="632"/>
      <c r="AY131" s="632"/>
      <c r="AZ131" s="632"/>
      <c r="BA131" s="632"/>
      <c r="BB131" s="632"/>
      <c r="BC131" s="632"/>
      <c r="BD131" s="632"/>
      <c r="BE131" s="632"/>
      <c r="BF131" s="632"/>
      <c r="BG131" s="632"/>
    </row>
    <row r="132" spans="1:59" x14ac:dyDescent="0.2">
      <c r="A132" s="235"/>
      <c r="B132" s="235"/>
      <c r="C132" s="235"/>
      <c r="D132" s="235"/>
      <c r="E132" s="235"/>
      <c r="F132" s="235"/>
      <c r="G132" s="235"/>
      <c r="H132" s="235"/>
      <c r="I132" s="255"/>
      <c r="J132" s="255"/>
      <c r="K132" s="255"/>
      <c r="L132" s="255"/>
      <c r="M132" s="239"/>
      <c r="N132" s="239"/>
      <c r="O132" s="632"/>
      <c r="P132" s="632"/>
      <c r="Q132" s="632"/>
      <c r="R132" s="632"/>
      <c r="S132" s="632"/>
      <c r="T132" s="632"/>
      <c r="U132" s="662"/>
      <c r="V132" s="632"/>
      <c r="W132" s="632"/>
      <c r="X132" s="632"/>
      <c r="Y132" s="632"/>
      <c r="Z132" s="632"/>
      <c r="AA132" s="632"/>
      <c r="AB132" s="255"/>
      <c r="AC132" s="255"/>
      <c r="AD132" s="255"/>
      <c r="AE132" s="255"/>
      <c r="AF132" s="255"/>
      <c r="AG132" s="255"/>
      <c r="AH132" s="255"/>
      <c r="AI132" s="255"/>
      <c r="AJ132" s="255"/>
      <c r="AK132" s="255"/>
      <c r="AL132" s="239"/>
      <c r="AM132" s="632"/>
      <c r="AN132" s="632"/>
      <c r="AO132" s="632"/>
      <c r="AP132" s="632"/>
      <c r="AQ132" s="632"/>
      <c r="AR132" s="632"/>
      <c r="AS132" s="632"/>
      <c r="AT132" s="632"/>
      <c r="AU132" s="632"/>
      <c r="AV132" s="632"/>
      <c r="AW132" s="632"/>
      <c r="AX132" s="632"/>
      <c r="AY132" s="632"/>
      <c r="AZ132" s="632"/>
      <c r="BA132" s="632"/>
      <c r="BB132" s="632"/>
      <c r="BC132" s="632"/>
      <c r="BD132" s="632"/>
      <c r="BE132" s="632"/>
      <c r="BF132" s="632"/>
      <c r="BG132" s="632"/>
    </row>
    <row r="133" spans="1:59" x14ac:dyDescent="0.2">
      <c r="A133" s="235"/>
      <c r="B133" s="235"/>
      <c r="C133" s="235"/>
      <c r="D133" s="235"/>
      <c r="E133" s="235"/>
      <c r="F133" s="235"/>
      <c r="G133" s="235"/>
      <c r="H133" s="235"/>
      <c r="I133" s="255"/>
      <c r="J133" s="255"/>
      <c r="K133" s="255"/>
      <c r="L133" s="255"/>
      <c r="M133" s="239"/>
      <c r="N133" s="239"/>
      <c r="O133" s="632"/>
      <c r="P133" s="632"/>
      <c r="Q133" s="632"/>
      <c r="R133" s="632"/>
      <c r="S133" s="632"/>
      <c r="T133" s="632"/>
      <c r="U133" s="662"/>
      <c r="V133" s="632"/>
      <c r="W133" s="632"/>
      <c r="X133" s="632"/>
      <c r="Y133" s="632"/>
      <c r="Z133" s="632"/>
      <c r="AA133" s="632"/>
      <c r="AB133" s="255"/>
      <c r="AC133" s="255"/>
      <c r="AD133" s="255"/>
      <c r="AE133" s="255"/>
      <c r="AF133" s="255"/>
      <c r="AG133" s="255"/>
      <c r="AH133" s="255"/>
      <c r="AI133" s="255"/>
      <c r="AJ133" s="255"/>
      <c r="AK133" s="255"/>
      <c r="AL133" s="239"/>
      <c r="AM133" s="632"/>
      <c r="AN133" s="632"/>
      <c r="AO133" s="632"/>
      <c r="AP133" s="632"/>
      <c r="AQ133" s="632"/>
      <c r="AR133" s="632"/>
      <c r="AS133" s="632"/>
      <c r="AT133" s="632"/>
      <c r="AU133" s="632"/>
      <c r="AV133" s="632"/>
      <c r="AW133" s="632"/>
      <c r="AX133" s="632"/>
      <c r="AY133" s="632"/>
      <c r="AZ133" s="632"/>
      <c r="BA133" s="632"/>
      <c r="BB133" s="632"/>
      <c r="BC133" s="632"/>
      <c r="BD133" s="632"/>
      <c r="BE133" s="632"/>
      <c r="BF133" s="632"/>
      <c r="BG133" s="632"/>
    </row>
    <row r="134" spans="1:59" x14ac:dyDescent="0.2">
      <c r="A134" s="235"/>
      <c r="B134" s="235"/>
      <c r="C134" s="235"/>
      <c r="D134" s="235"/>
      <c r="E134" s="235"/>
      <c r="F134" s="235"/>
      <c r="G134" s="235"/>
      <c r="H134" s="235"/>
      <c r="I134" s="255"/>
      <c r="J134" s="255"/>
      <c r="K134" s="255"/>
      <c r="L134" s="255"/>
      <c r="M134" s="239"/>
      <c r="N134" s="239"/>
      <c r="O134" s="632"/>
      <c r="P134" s="632"/>
      <c r="Q134" s="632"/>
      <c r="R134" s="632"/>
      <c r="S134" s="632"/>
      <c r="T134" s="632"/>
      <c r="U134" s="662"/>
      <c r="V134" s="632"/>
      <c r="W134" s="632"/>
      <c r="X134" s="632"/>
      <c r="Y134" s="632"/>
      <c r="Z134" s="632"/>
      <c r="AA134" s="632"/>
      <c r="AB134" s="255"/>
      <c r="AC134" s="255"/>
      <c r="AD134" s="255"/>
      <c r="AE134" s="255"/>
      <c r="AF134" s="255"/>
      <c r="AG134" s="255"/>
      <c r="AH134" s="255"/>
      <c r="AI134" s="255"/>
      <c r="AJ134" s="255"/>
      <c r="AK134" s="255"/>
      <c r="AL134" s="239"/>
      <c r="AM134" s="632"/>
      <c r="AN134" s="632"/>
      <c r="AO134" s="632"/>
      <c r="AP134" s="632"/>
      <c r="AQ134" s="632"/>
      <c r="AR134" s="632"/>
      <c r="AS134" s="632"/>
      <c r="AT134" s="632"/>
      <c r="AU134" s="632"/>
      <c r="AV134" s="632"/>
      <c r="AW134" s="632"/>
      <c r="AX134" s="632"/>
      <c r="AY134" s="632"/>
      <c r="AZ134" s="632"/>
      <c r="BA134" s="632"/>
      <c r="BB134" s="632"/>
      <c r="BC134" s="632"/>
      <c r="BD134" s="632"/>
      <c r="BE134" s="632"/>
      <c r="BF134" s="632"/>
      <c r="BG134" s="632"/>
    </row>
    <row r="135" spans="1:59" x14ac:dyDescent="0.2">
      <c r="A135" s="235"/>
      <c r="B135" s="235"/>
      <c r="C135" s="235"/>
      <c r="D135" s="235"/>
      <c r="E135" s="235"/>
      <c r="F135" s="235"/>
      <c r="G135" s="235"/>
      <c r="H135" s="235"/>
      <c r="I135" s="255"/>
      <c r="J135" s="255"/>
      <c r="K135" s="255"/>
      <c r="L135" s="255"/>
      <c r="M135" s="239"/>
      <c r="N135" s="239"/>
      <c r="O135" s="632"/>
      <c r="P135" s="632"/>
      <c r="Q135" s="632"/>
      <c r="R135" s="632"/>
      <c r="S135" s="632"/>
      <c r="T135" s="632"/>
      <c r="U135" s="662"/>
      <c r="V135" s="632"/>
      <c r="W135" s="632"/>
      <c r="X135" s="632"/>
      <c r="Y135" s="632"/>
      <c r="Z135" s="632"/>
      <c r="AA135" s="632"/>
      <c r="AB135" s="255"/>
      <c r="AC135" s="255"/>
      <c r="AD135" s="255"/>
      <c r="AE135" s="255"/>
      <c r="AF135" s="255"/>
      <c r="AG135" s="255"/>
      <c r="AH135" s="255"/>
      <c r="AI135" s="255"/>
      <c r="AJ135" s="255"/>
      <c r="AK135" s="255"/>
      <c r="AL135" s="239"/>
      <c r="AM135" s="632"/>
      <c r="AN135" s="632"/>
      <c r="AO135" s="632"/>
      <c r="AP135" s="632"/>
      <c r="AQ135" s="632"/>
      <c r="AR135" s="632"/>
      <c r="AS135" s="632"/>
      <c r="AT135" s="632"/>
      <c r="AU135" s="632"/>
      <c r="AV135" s="632"/>
      <c r="AW135" s="632"/>
      <c r="AX135" s="632"/>
      <c r="AY135" s="632"/>
      <c r="AZ135" s="632"/>
      <c r="BA135" s="632"/>
      <c r="BB135" s="632"/>
      <c r="BC135" s="632"/>
      <c r="BD135" s="632"/>
      <c r="BE135" s="632"/>
      <c r="BF135" s="632"/>
      <c r="BG135" s="632"/>
    </row>
    <row r="136" spans="1:59" x14ac:dyDescent="0.2">
      <c r="A136" s="235"/>
      <c r="B136" s="235"/>
      <c r="C136" s="235"/>
      <c r="D136" s="235"/>
      <c r="E136" s="235"/>
      <c r="F136" s="235"/>
      <c r="G136" s="235"/>
      <c r="H136" s="235"/>
      <c r="I136" s="255"/>
      <c r="J136" s="255"/>
      <c r="K136" s="255"/>
      <c r="L136" s="255"/>
      <c r="M136" s="239"/>
      <c r="N136" s="239"/>
      <c r="O136" s="632"/>
      <c r="P136" s="632"/>
      <c r="Q136" s="632"/>
      <c r="R136" s="632"/>
      <c r="S136" s="632"/>
      <c r="T136" s="632"/>
      <c r="U136" s="662"/>
      <c r="V136" s="632"/>
      <c r="W136" s="632"/>
      <c r="X136" s="632"/>
      <c r="Y136" s="632"/>
      <c r="Z136" s="632"/>
      <c r="AA136" s="632"/>
      <c r="AB136" s="255"/>
      <c r="AC136" s="255"/>
      <c r="AD136" s="255"/>
      <c r="AE136" s="255"/>
      <c r="AF136" s="255"/>
      <c r="AG136" s="255"/>
      <c r="AH136" s="255"/>
      <c r="AI136" s="255"/>
      <c r="AJ136" s="255"/>
      <c r="AK136" s="255"/>
      <c r="AL136" s="239"/>
      <c r="AM136" s="632"/>
      <c r="AN136" s="632"/>
      <c r="AO136" s="632"/>
      <c r="AP136" s="632"/>
      <c r="AQ136" s="632"/>
      <c r="AR136" s="632"/>
      <c r="AS136" s="632"/>
      <c r="AT136" s="632"/>
      <c r="AU136" s="632"/>
      <c r="AV136" s="632"/>
      <c r="AW136" s="632"/>
      <c r="AX136" s="632"/>
      <c r="AY136" s="632"/>
      <c r="AZ136" s="632"/>
      <c r="BA136" s="632"/>
      <c r="BB136" s="632"/>
      <c r="BC136" s="632"/>
      <c r="BD136" s="632"/>
      <c r="BE136" s="632"/>
      <c r="BF136" s="632"/>
      <c r="BG136" s="632"/>
    </row>
    <row r="137" spans="1:59" x14ac:dyDescent="0.2">
      <c r="A137" s="235"/>
      <c r="B137" s="235"/>
      <c r="C137" s="235"/>
      <c r="D137" s="235"/>
      <c r="E137" s="235"/>
      <c r="F137" s="235"/>
      <c r="G137" s="235"/>
      <c r="H137" s="235"/>
      <c r="I137" s="255"/>
      <c r="J137" s="255"/>
      <c r="K137" s="255"/>
      <c r="L137" s="255"/>
      <c r="M137" s="239"/>
      <c r="N137" s="239"/>
      <c r="O137" s="632"/>
      <c r="P137" s="632"/>
      <c r="Q137" s="632"/>
      <c r="R137" s="632"/>
      <c r="S137" s="632"/>
      <c r="T137" s="632"/>
      <c r="U137" s="662"/>
      <c r="V137" s="632"/>
      <c r="W137" s="632"/>
      <c r="X137" s="632"/>
      <c r="Y137" s="632"/>
      <c r="Z137" s="632"/>
      <c r="AA137" s="632"/>
      <c r="AB137" s="255"/>
      <c r="AC137" s="255"/>
      <c r="AD137" s="255"/>
      <c r="AE137" s="255"/>
      <c r="AF137" s="255"/>
      <c r="AG137" s="255"/>
      <c r="AH137" s="255"/>
      <c r="AI137" s="255"/>
      <c r="AJ137" s="255"/>
      <c r="AK137" s="255"/>
      <c r="AL137" s="239"/>
      <c r="AM137" s="632"/>
      <c r="AN137" s="632"/>
      <c r="AO137" s="632"/>
      <c r="AP137" s="632"/>
      <c r="AQ137" s="632"/>
      <c r="AR137" s="632"/>
      <c r="AS137" s="632"/>
      <c r="AT137" s="632"/>
      <c r="AU137" s="632"/>
      <c r="AV137" s="632"/>
      <c r="AW137" s="632"/>
      <c r="AX137" s="632"/>
      <c r="AY137" s="632"/>
      <c r="AZ137" s="632"/>
      <c r="BA137" s="632"/>
      <c r="BB137" s="632"/>
      <c r="BC137" s="632"/>
      <c r="BD137" s="632"/>
      <c r="BE137" s="632"/>
      <c r="BF137" s="632"/>
      <c r="BG137" s="632"/>
    </row>
    <row r="138" spans="1:59" x14ac:dyDescent="0.2">
      <c r="A138" s="235"/>
      <c r="B138" s="235"/>
      <c r="C138" s="235"/>
      <c r="D138" s="235"/>
      <c r="E138" s="235"/>
      <c r="F138" s="235"/>
      <c r="G138" s="235"/>
      <c r="H138" s="235"/>
      <c r="I138" s="255"/>
      <c r="J138" s="255"/>
      <c r="K138" s="255"/>
      <c r="L138" s="255"/>
      <c r="M138" s="239"/>
      <c r="N138" s="239"/>
      <c r="O138" s="632"/>
      <c r="P138" s="632"/>
      <c r="Q138" s="632"/>
      <c r="R138" s="632"/>
      <c r="S138" s="632"/>
      <c r="T138" s="632"/>
      <c r="U138" s="632"/>
      <c r="V138" s="632"/>
      <c r="W138" s="632"/>
      <c r="X138" s="632"/>
      <c r="Y138" s="632"/>
      <c r="Z138" s="632"/>
      <c r="AA138" s="632"/>
      <c r="AB138" s="255"/>
      <c r="AC138" s="255"/>
      <c r="AD138" s="255"/>
      <c r="AE138" s="255"/>
      <c r="AF138" s="255"/>
      <c r="AG138" s="255"/>
      <c r="AH138" s="255"/>
      <c r="AI138" s="255"/>
      <c r="AJ138" s="255"/>
      <c r="AK138" s="255"/>
      <c r="AL138" s="239"/>
      <c r="AM138" s="632"/>
      <c r="AN138" s="632"/>
      <c r="AO138" s="632"/>
      <c r="AP138" s="632"/>
      <c r="AQ138" s="632"/>
      <c r="AR138" s="632"/>
      <c r="AS138" s="632"/>
      <c r="AT138" s="632"/>
      <c r="AU138" s="632"/>
      <c r="AV138" s="632"/>
      <c r="AW138" s="632"/>
      <c r="AX138" s="632"/>
      <c r="AY138" s="632"/>
      <c r="AZ138" s="632"/>
      <c r="BA138" s="632"/>
      <c r="BB138" s="632"/>
      <c r="BC138" s="632"/>
      <c r="BD138" s="632"/>
      <c r="BE138" s="632"/>
      <c r="BF138" s="632"/>
      <c r="BG138" s="632"/>
    </row>
    <row r="139" spans="1:59" x14ac:dyDescent="0.2">
      <c r="A139" s="235"/>
      <c r="B139" s="235"/>
      <c r="C139" s="235"/>
      <c r="D139" s="235"/>
      <c r="E139" s="235"/>
      <c r="F139" s="235"/>
      <c r="G139" s="235"/>
      <c r="H139" s="235"/>
      <c r="I139" s="255"/>
      <c r="J139" s="255"/>
      <c r="K139" s="255"/>
      <c r="L139" s="255"/>
      <c r="M139" s="239"/>
      <c r="N139" s="239"/>
      <c r="O139" s="632"/>
      <c r="P139" s="632"/>
      <c r="Q139" s="632"/>
      <c r="R139" s="632"/>
      <c r="S139" s="632"/>
      <c r="T139" s="632"/>
      <c r="U139" s="632"/>
      <c r="V139" s="632"/>
      <c r="W139" s="632"/>
      <c r="X139" s="632"/>
      <c r="Y139" s="632"/>
      <c r="Z139" s="632"/>
      <c r="AA139" s="632"/>
      <c r="AB139" s="255"/>
      <c r="AC139" s="255"/>
      <c r="AD139" s="255"/>
      <c r="AE139" s="255"/>
      <c r="AF139" s="255"/>
      <c r="AG139" s="255"/>
      <c r="AH139" s="255"/>
      <c r="AI139" s="255"/>
      <c r="AJ139" s="255"/>
      <c r="AK139" s="255"/>
      <c r="AL139" s="239"/>
      <c r="AM139" s="632"/>
      <c r="AN139" s="632"/>
      <c r="AO139" s="632"/>
      <c r="AP139" s="632"/>
      <c r="AQ139" s="632"/>
      <c r="AR139" s="632"/>
      <c r="AS139" s="632"/>
      <c r="AT139" s="632"/>
      <c r="AU139" s="632"/>
      <c r="AV139" s="632"/>
      <c r="AW139" s="632"/>
      <c r="AX139" s="632"/>
      <c r="AY139" s="632"/>
      <c r="AZ139" s="632"/>
      <c r="BA139" s="632"/>
      <c r="BB139" s="632"/>
      <c r="BC139" s="632"/>
      <c r="BD139" s="632"/>
      <c r="BE139" s="632"/>
      <c r="BF139" s="632"/>
      <c r="BG139" s="632"/>
    </row>
    <row r="140" spans="1:59" x14ac:dyDescent="0.2">
      <c r="A140" s="235"/>
      <c r="B140" s="235"/>
      <c r="C140" s="235"/>
      <c r="D140" s="235"/>
      <c r="E140" s="235"/>
      <c r="F140" s="235"/>
      <c r="G140" s="235"/>
      <c r="H140" s="235"/>
      <c r="I140" s="255"/>
      <c r="J140" s="255"/>
      <c r="K140" s="255"/>
      <c r="L140" s="255"/>
      <c r="M140" s="239"/>
      <c r="N140" s="239"/>
      <c r="O140" s="632"/>
      <c r="P140" s="632"/>
      <c r="Q140" s="632"/>
      <c r="R140" s="632"/>
      <c r="S140" s="632"/>
      <c r="T140" s="632"/>
      <c r="U140" s="632"/>
      <c r="V140" s="632"/>
      <c r="W140" s="632"/>
      <c r="X140" s="632"/>
      <c r="Y140" s="632"/>
      <c r="Z140" s="632"/>
      <c r="AA140" s="632"/>
      <c r="AB140" s="255"/>
      <c r="AC140" s="255"/>
      <c r="AD140" s="255"/>
      <c r="AE140" s="255"/>
      <c r="AF140" s="255"/>
      <c r="AG140" s="255"/>
      <c r="AH140" s="255"/>
      <c r="AI140" s="255"/>
      <c r="AJ140" s="255"/>
      <c r="AK140" s="255"/>
      <c r="AL140" s="239"/>
      <c r="AM140" s="632"/>
      <c r="AN140" s="632"/>
      <c r="AO140" s="632"/>
      <c r="AP140" s="632"/>
      <c r="AQ140" s="632"/>
      <c r="AR140" s="632"/>
      <c r="AS140" s="632"/>
      <c r="AT140" s="632"/>
      <c r="AU140" s="632"/>
      <c r="AV140" s="632"/>
      <c r="AW140" s="632"/>
      <c r="AX140" s="632"/>
      <c r="AY140" s="632"/>
      <c r="AZ140" s="632"/>
      <c r="BA140" s="632"/>
      <c r="BB140" s="632"/>
      <c r="BC140" s="632"/>
      <c r="BD140" s="632"/>
      <c r="BE140" s="632"/>
      <c r="BF140" s="632"/>
      <c r="BG140" s="632"/>
    </row>
    <row r="141" spans="1:59" x14ac:dyDescent="0.2">
      <c r="A141" s="235"/>
      <c r="B141" s="235"/>
      <c r="C141" s="235"/>
      <c r="D141" s="235"/>
      <c r="E141" s="235"/>
      <c r="F141" s="235"/>
      <c r="G141" s="235"/>
      <c r="H141" s="235"/>
      <c r="I141" s="255"/>
      <c r="J141" s="255"/>
      <c r="K141" s="255"/>
      <c r="L141" s="255"/>
      <c r="M141" s="239"/>
      <c r="N141" s="239"/>
      <c r="O141" s="632"/>
      <c r="P141" s="632"/>
      <c r="Q141" s="632"/>
      <c r="R141" s="632"/>
      <c r="S141" s="632"/>
      <c r="T141" s="632"/>
      <c r="U141" s="632"/>
      <c r="V141" s="632"/>
      <c r="W141" s="632"/>
      <c r="X141" s="632"/>
      <c r="Y141" s="632"/>
      <c r="Z141" s="632"/>
      <c r="AA141" s="632"/>
      <c r="AB141" s="255"/>
      <c r="AC141" s="255"/>
      <c r="AD141" s="255"/>
      <c r="AE141" s="255"/>
      <c r="AF141" s="255"/>
      <c r="AG141" s="255"/>
      <c r="AH141" s="255"/>
      <c r="AI141" s="255"/>
      <c r="AJ141" s="255"/>
      <c r="AK141" s="255"/>
      <c r="AL141" s="239"/>
      <c r="AM141" s="632"/>
      <c r="AN141" s="632"/>
      <c r="AO141" s="632"/>
      <c r="AP141" s="632"/>
      <c r="AQ141" s="632"/>
      <c r="AR141" s="632"/>
      <c r="AS141" s="632"/>
      <c r="AT141" s="632"/>
      <c r="AU141" s="632"/>
      <c r="AV141" s="632"/>
      <c r="AW141" s="632"/>
      <c r="AX141" s="632"/>
      <c r="AY141" s="632"/>
      <c r="AZ141" s="632"/>
      <c r="BA141" s="632"/>
      <c r="BB141" s="632"/>
      <c r="BC141" s="632"/>
      <c r="BD141" s="632"/>
      <c r="BE141" s="632"/>
      <c r="BF141" s="632"/>
      <c r="BG141" s="632"/>
    </row>
    <row r="142" spans="1:59" x14ac:dyDescent="0.2">
      <c r="A142" s="235"/>
      <c r="B142" s="235"/>
      <c r="C142" s="235"/>
      <c r="D142" s="235"/>
      <c r="E142" s="235"/>
      <c r="F142" s="235"/>
      <c r="G142" s="235"/>
      <c r="H142" s="235"/>
      <c r="I142" s="255"/>
      <c r="J142" s="255"/>
      <c r="K142" s="255"/>
      <c r="L142" s="255"/>
      <c r="M142" s="239"/>
      <c r="N142" s="239"/>
      <c r="O142" s="632"/>
      <c r="P142" s="632"/>
      <c r="Q142" s="632"/>
      <c r="R142" s="632"/>
      <c r="S142" s="632"/>
      <c r="T142" s="632"/>
      <c r="U142" s="632"/>
      <c r="V142" s="632"/>
      <c r="W142" s="632"/>
      <c r="X142" s="632"/>
      <c r="Y142" s="632"/>
      <c r="Z142" s="632"/>
      <c r="AA142" s="632"/>
      <c r="AB142" s="255"/>
      <c r="AC142" s="255"/>
      <c r="AD142" s="255"/>
      <c r="AE142" s="255"/>
      <c r="AF142" s="255"/>
      <c r="AG142" s="255"/>
      <c r="AH142" s="255"/>
      <c r="AI142" s="255"/>
      <c r="AJ142" s="255"/>
      <c r="AK142" s="255"/>
      <c r="AL142" s="239"/>
      <c r="AM142" s="632"/>
      <c r="AN142" s="632"/>
      <c r="AO142" s="632"/>
      <c r="AP142" s="632"/>
      <c r="AQ142" s="632"/>
      <c r="AR142" s="632"/>
      <c r="AS142" s="632"/>
      <c r="AT142" s="632"/>
      <c r="AU142" s="632"/>
      <c r="AV142" s="632"/>
      <c r="AW142" s="632"/>
      <c r="AX142" s="632"/>
      <c r="AY142" s="632"/>
      <c r="AZ142" s="632"/>
      <c r="BA142" s="632"/>
      <c r="BB142" s="632"/>
      <c r="BC142" s="632"/>
      <c r="BD142" s="632"/>
      <c r="BE142" s="632"/>
      <c r="BF142" s="632"/>
      <c r="BG142" s="632"/>
    </row>
    <row r="143" spans="1:59" x14ac:dyDescent="0.2">
      <c r="A143" s="235"/>
      <c r="B143" s="235"/>
      <c r="C143" s="235"/>
      <c r="D143" s="235"/>
      <c r="E143" s="235"/>
      <c r="F143" s="235"/>
      <c r="G143" s="235"/>
      <c r="H143" s="235"/>
      <c r="I143" s="255"/>
      <c r="J143" s="255"/>
      <c r="K143" s="255"/>
      <c r="L143" s="255"/>
      <c r="M143" s="239"/>
      <c r="N143" s="239"/>
      <c r="O143" s="632"/>
      <c r="P143" s="632"/>
      <c r="Q143" s="632"/>
      <c r="R143" s="632"/>
      <c r="S143" s="632"/>
      <c r="T143" s="632"/>
      <c r="U143" s="632"/>
      <c r="V143" s="632"/>
      <c r="W143" s="632"/>
      <c r="X143" s="632"/>
      <c r="Y143" s="632"/>
      <c r="Z143" s="632"/>
      <c r="AA143" s="632"/>
      <c r="AB143" s="255"/>
      <c r="AC143" s="255"/>
      <c r="AD143" s="255"/>
      <c r="AE143" s="255"/>
      <c r="AF143" s="255"/>
      <c r="AG143" s="255"/>
      <c r="AH143" s="255"/>
      <c r="AI143" s="255"/>
      <c r="AJ143" s="255"/>
      <c r="AK143" s="255"/>
      <c r="AL143" s="239"/>
      <c r="AM143" s="632"/>
      <c r="AN143" s="632"/>
      <c r="AO143" s="632"/>
      <c r="AP143" s="632"/>
      <c r="AQ143" s="632"/>
      <c r="AR143" s="632"/>
      <c r="AS143" s="632"/>
      <c r="AT143" s="632"/>
      <c r="AU143" s="632"/>
      <c r="AV143" s="632"/>
      <c r="AW143" s="632"/>
      <c r="AX143" s="632"/>
      <c r="AY143" s="632"/>
      <c r="AZ143" s="632"/>
      <c r="BA143" s="632"/>
      <c r="BB143" s="632"/>
      <c r="BC143" s="632"/>
      <c r="BD143" s="632"/>
      <c r="BE143" s="632"/>
      <c r="BF143" s="632"/>
      <c r="BG143" s="632"/>
    </row>
    <row r="144" spans="1:59" x14ac:dyDescent="0.2">
      <c r="A144" s="235"/>
      <c r="B144" s="235"/>
      <c r="C144" s="235"/>
      <c r="D144" s="235"/>
      <c r="E144" s="235"/>
      <c r="F144" s="235"/>
      <c r="G144" s="235"/>
      <c r="H144" s="235"/>
      <c r="I144" s="255"/>
      <c r="J144" s="255"/>
      <c r="K144" s="255"/>
      <c r="L144" s="255"/>
      <c r="M144" s="239"/>
      <c r="N144" s="239"/>
      <c r="O144" s="632"/>
      <c r="P144" s="632"/>
      <c r="Q144" s="632"/>
      <c r="R144" s="632"/>
      <c r="S144" s="632"/>
      <c r="T144" s="632"/>
      <c r="U144" s="632"/>
      <c r="V144" s="632"/>
      <c r="W144" s="632"/>
      <c r="X144" s="632"/>
      <c r="Y144" s="632"/>
      <c r="Z144" s="632"/>
      <c r="AA144" s="632"/>
      <c r="AB144" s="255"/>
      <c r="AC144" s="255"/>
      <c r="AD144" s="255"/>
      <c r="AE144" s="255"/>
      <c r="AF144" s="255"/>
      <c r="AG144" s="255"/>
      <c r="AH144" s="255"/>
      <c r="AI144" s="255"/>
      <c r="AJ144" s="255"/>
      <c r="AK144" s="255"/>
      <c r="AL144" s="239"/>
      <c r="AM144" s="632"/>
      <c r="AN144" s="632"/>
      <c r="AO144" s="632"/>
      <c r="AP144" s="632"/>
      <c r="AQ144" s="632"/>
      <c r="AR144" s="632"/>
      <c r="AS144" s="632"/>
      <c r="AT144" s="632"/>
      <c r="AU144" s="632"/>
      <c r="AV144" s="632"/>
      <c r="AW144" s="632"/>
      <c r="AX144" s="632"/>
      <c r="AY144" s="632"/>
      <c r="AZ144" s="632"/>
      <c r="BA144" s="632"/>
      <c r="BB144" s="632"/>
      <c r="BC144" s="632"/>
      <c r="BD144" s="632"/>
      <c r="BE144" s="632"/>
      <c r="BF144" s="632"/>
      <c r="BG144" s="632"/>
    </row>
    <row r="145" spans="1:59" x14ac:dyDescent="0.2">
      <c r="A145" s="235"/>
      <c r="B145" s="235"/>
      <c r="C145" s="235"/>
      <c r="D145" s="235"/>
      <c r="E145" s="235"/>
      <c r="F145" s="235"/>
      <c r="G145" s="235"/>
      <c r="H145" s="235"/>
      <c r="I145" s="255"/>
      <c r="J145" s="255"/>
      <c r="K145" s="255"/>
      <c r="L145" s="255"/>
      <c r="M145" s="239"/>
      <c r="N145" s="239"/>
      <c r="O145" s="632"/>
      <c r="P145" s="632"/>
      <c r="Q145" s="632"/>
      <c r="R145" s="632"/>
      <c r="S145" s="632"/>
      <c r="T145" s="632"/>
      <c r="U145" s="632"/>
      <c r="V145" s="632"/>
      <c r="W145" s="632"/>
      <c r="X145" s="632"/>
      <c r="Y145" s="632"/>
      <c r="Z145" s="632"/>
      <c r="AA145" s="632"/>
      <c r="AB145" s="255"/>
      <c r="AC145" s="255"/>
      <c r="AD145" s="255"/>
      <c r="AE145" s="255"/>
      <c r="AF145" s="255"/>
      <c r="AG145" s="255"/>
      <c r="AH145" s="255"/>
      <c r="AI145" s="255"/>
      <c r="AJ145" s="255"/>
      <c r="AK145" s="255"/>
      <c r="AL145" s="239"/>
      <c r="AM145" s="632"/>
      <c r="AN145" s="632"/>
      <c r="AO145" s="632"/>
      <c r="AP145" s="632"/>
      <c r="AQ145" s="632"/>
      <c r="AR145" s="632"/>
      <c r="AS145" s="632"/>
      <c r="AT145" s="632"/>
      <c r="AU145" s="632"/>
      <c r="AV145" s="632"/>
      <c r="AW145" s="632"/>
      <c r="AX145" s="632"/>
      <c r="AY145" s="632"/>
      <c r="AZ145" s="632"/>
      <c r="BA145" s="632"/>
      <c r="BB145" s="632"/>
      <c r="BC145" s="632"/>
      <c r="BD145" s="632"/>
      <c r="BE145" s="632"/>
      <c r="BF145" s="632"/>
      <c r="BG145" s="632"/>
    </row>
    <row r="146" spans="1:59" x14ac:dyDescent="0.2">
      <c r="A146" s="235"/>
      <c r="B146" s="235"/>
      <c r="C146" s="235"/>
      <c r="D146" s="235"/>
      <c r="E146" s="235"/>
      <c r="F146" s="235"/>
      <c r="G146" s="235"/>
      <c r="H146" s="235"/>
      <c r="I146" s="255"/>
      <c r="J146" s="255"/>
      <c r="K146" s="255"/>
      <c r="L146" s="255"/>
      <c r="M146" s="239"/>
      <c r="N146" s="239"/>
      <c r="O146" s="632"/>
      <c r="P146" s="632"/>
      <c r="Q146" s="632"/>
      <c r="R146" s="632"/>
      <c r="S146" s="632"/>
      <c r="T146" s="632"/>
      <c r="U146" s="632"/>
      <c r="V146" s="632"/>
      <c r="W146" s="632"/>
      <c r="X146" s="632"/>
      <c r="Y146" s="632"/>
      <c r="Z146" s="632"/>
      <c r="AA146" s="632"/>
      <c r="AB146" s="255"/>
      <c r="AC146" s="255"/>
      <c r="AD146" s="255"/>
      <c r="AE146" s="255"/>
      <c r="AF146" s="255"/>
      <c r="AG146" s="255"/>
      <c r="AH146" s="255"/>
      <c r="AI146" s="255"/>
      <c r="AJ146" s="255"/>
      <c r="AK146" s="255"/>
      <c r="AL146" s="239"/>
      <c r="AM146" s="632"/>
      <c r="AN146" s="632"/>
      <c r="AO146" s="632"/>
      <c r="AP146" s="632"/>
      <c r="AQ146" s="632"/>
      <c r="AR146" s="632"/>
      <c r="AS146" s="632"/>
      <c r="AT146" s="632"/>
      <c r="AU146" s="632"/>
      <c r="AV146" s="632"/>
      <c r="AW146" s="632"/>
      <c r="AX146" s="632"/>
      <c r="AY146" s="632"/>
      <c r="AZ146" s="632"/>
      <c r="BA146" s="632"/>
      <c r="BB146" s="632"/>
      <c r="BC146" s="632"/>
      <c r="BD146" s="632"/>
      <c r="BE146" s="632"/>
      <c r="BF146" s="632"/>
      <c r="BG146" s="632"/>
    </row>
    <row r="147" spans="1:59" x14ac:dyDescent="0.2">
      <c r="A147" s="235"/>
      <c r="B147" s="235"/>
      <c r="C147" s="235"/>
      <c r="D147" s="235"/>
      <c r="E147" s="235"/>
      <c r="F147" s="235"/>
      <c r="G147" s="235"/>
      <c r="H147" s="235"/>
      <c r="I147" s="255"/>
      <c r="J147" s="255"/>
      <c r="K147" s="255"/>
      <c r="L147" s="255"/>
      <c r="M147" s="239"/>
      <c r="N147" s="239"/>
      <c r="O147" s="632"/>
      <c r="P147" s="632"/>
      <c r="Q147" s="632"/>
      <c r="R147" s="632"/>
      <c r="S147" s="632"/>
      <c r="T147" s="632"/>
      <c r="U147" s="632"/>
      <c r="V147" s="632"/>
      <c r="W147" s="632"/>
      <c r="X147" s="632"/>
      <c r="Y147" s="632"/>
      <c r="Z147" s="632"/>
      <c r="AA147" s="632"/>
      <c r="AB147" s="255"/>
      <c r="AC147" s="255"/>
      <c r="AD147" s="255"/>
      <c r="AE147" s="255"/>
      <c r="AF147" s="255"/>
      <c r="AG147" s="255"/>
      <c r="AH147" s="255"/>
      <c r="AI147" s="255"/>
      <c r="AJ147" s="255"/>
      <c r="AK147" s="255"/>
      <c r="AL147" s="239"/>
      <c r="AM147" s="632"/>
      <c r="AN147" s="632"/>
      <c r="AO147" s="632"/>
      <c r="AP147" s="632"/>
      <c r="AQ147" s="632"/>
      <c r="AR147" s="632"/>
      <c r="AS147" s="632"/>
      <c r="AT147" s="632"/>
      <c r="AU147" s="632"/>
      <c r="AV147" s="632"/>
      <c r="AW147" s="632"/>
      <c r="AX147" s="632"/>
      <c r="AY147" s="632"/>
      <c r="AZ147" s="632"/>
      <c r="BA147" s="632"/>
      <c r="BB147" s="632"/>
      <c r="BC147" s="632"/>
      <c r="BD147" s="632"/>
      <c r="BE147" s="632"/>
      <c r="BF147" s="632"/>
      <c r="BG147" s="632"/>
    </row>
    <row r="148" spans="1:59" x14ac:dyDescent="0.2">
      <c r="A148" s="235"/>
      <c r="B148" s="235"/>
      <c r="C148" s="235"/>
      <c r="D148" s="235"/>
      <c r="E148" s="235"/>
      <c r="F148" s="235"/>
      <c r="G148" s="235"/>
      <c r="H148" s="235"/>
      <c r="I148" s="255"/>
      <c r="J148" s="255"/>
      <c r="K148" s="255"/>
      <c r="L148" s="255"/>
      <c r="M148" s="239"/>
      <c r="N148" s="239"/>
      <c r="O148" s="632"/>
      <c r="P148" s="632"/>
      <c r="Q148" s="632"/>
      <c r="R148" s="632"/>
      <c r="S148" s="632"/>
      <c r="T148" s="632"/>
      <c r="U148" s="632"/>
      <c r="V148" s="632"/>
      <c r="W148" s="632"/>
      <c r="X148" s="632"/>
      <c r="Y148" s="632"/>
      <c r="Z148" s="632"/>
      <c r="AA148" s="632"/>
      <c r="AB148" s="255"/>
      <c r="AC148" s="255"/>
      <c r="AD148" s="255"/>
      <c r="AE148" s="255"/>
      <c r="AF148" s="255"/>
      <c r="AG148" s="255"/>
      <c r="AH148" s="255"/>
      <c r="AI148" s="255"/>
      <c r="AJ148" s="255"/>
      <c r="AK148" s="255"/>
      <c r="AL148" s="239"/>
      <c r="AM148" s="632"/>
      <c r="AN148" s="632"/>
      <c r="AO148" s="632"/>
      <c r="AP148" s="632"/>
      <c r="AQ148" s="632"/>
      <c r="AR148" s="632"/>
      <c r="AS148" s="632"/>
      <c r="AT148" s="632"/>
      <c r="AU148" s="632"/>
      <c r="AV148" s="632"/>
      <c r="AW148" s="632"/>
      <c r="AX148" s="632"/>
      <c r="AY148" s="632"/>
      <c r="AZ148" s="632"/>
      <c r="BA148" s="632"/>
      <c r="BB148" s="632"/>
      <c r="BC148" s="632"/>
      <c r="BD148" s="632"/>
      <c r="BE148" s="632"/>
      <c r="BF148" s="632"/>
      <c r="BG148" s="632"/>
    </row>
    <row r="149" spans="1:59" x14ac:dyDescent="0.2">
      <c r="A149" s="235"/>
      <c r="B149" s="235"/>
      <c r="C149" s="235"/>
      <c r="D149" s="235"/>
      <c r="E149" s="235"/>
      <c r="F149" s="235"/>
      <c r="G149" s="235"/>
      <c r="H149" s="235"/>
      <c r="I149" s="255"/>
      <c r="J149" s="255"/>
      <c r="K149" s="255"/>
      <c r="L149" s="255"/>
      <c r="M149" s="239"/>
      <c r="N149" s="239"/>
      <c r="O149" s="632"/>
      <c r="P149" s="632"/>
      <c r="Q149" s="632"/>
      <c r="R149" s="632"/>
      <c r="S149" s="632"/>
      <c r="T149" s="632"/>
      <c r="U149" s="632"/>
      <c r="V149" s="632"/>
      <c r="W149" s="632"/>
      <c r="X149" s="632"/>
      <c r="Y149" s="632"/>
      <c r="Z149" s="632"/>
      <c r="AA149" s="632"/>
      <c r="AB149" s="255"/>
      <c r="AC149" s="255"/>
      <c r="AD149" s="255"/>
      <c r="AE149" s="255"/>
      <c r="AF149" s="255"/>
      <c r="AG149" s="255"/>
      <c r="AH149" s="255"/>
      <c r="AI149" s="255"/>
      <c r="AJ149" s="255"/>
      <c r="AK149" s="255"/>
      <c r="AL149" s="239"/>
      <c r="AM149" s="632"/>
      <c r="AN149" s="632"/>
      <c r="AO149" s="632"/>
      <c r="AP149" s="632"/>
      <c r="AQ149" s="632"/>
      <c r="AR149" s="632"/>
      <c r="AS149" s="632"/>
      <c r="AT149" s="632"/>
      <c r="AU149" s="632"/>
      <c r="AV149" s="632"/>
      <c r="AW149" s="632"/>
      <c r="AX149" s="632"/>
      <c r="AY149" s="632"/>
      <c r="AZ149" s="632"/>
      <c r="BA149" s="632"/>
      <c r="BB149" s="632"/>
      <c r="BC149" s="632"/>
      <c r="BD149" s="632"/>
      <c r="BE149" s="632"/>
      <c r="BF149" s="632"/>
      <c r="BG149" s="632"/>
    </row>
    <row r="150" spans="1:59" x14ac:dyDescent="0.2">
      <c r="A150" s="235"/>
      <c r="B150" s="235"/>
      <c r="C150" s="235"/>
      <c r="D150" s="235"/>
      <c r="E150" s="235"/>
      <c r="F150" s="235"/>
      <c r="G150" s="235"/>
      <c r="H150" s="235"/>
      <c r="I150" s="255"/>
      <c r="J150" s="255"/>
      <c r="K150" s="255"/>
      <c r="L150" s="255"/>
      <c r="M150" s="239"/>
      <c r="N150" s="239"/>
      <c r="O150" s="632"/>
      <c r="P150" s="632"/>
      <c r="Q150" s="632"/>
      <c r="R150" s="632"/>
      <c r="S150" s="632"/>
      <c r="T150" s="632"/>
      <c r="U150" s="632"/>
      <c r="V150" s="632"/>
      <c r="W150" s="632"/>
      <c r="X150" s="632"/>
      <c r="Y150" s="632"/>
      <c r="Z150" s="632"/>
      <c r="AA150" s="632"/>
      <c r="AB150" s="255"/>
      <c r="AC150" s="255"/>
      <c r="AD150" s="255"/>
      <c r="AE150" s="255"/>
      <c r="AF150" s="255"/>
      <c r="AG150" s="255"/>
      <c r="AH150" s="255"/>
      <c r="AI150" s="255"/>
      <c r="AJ150" s="255"/>
      <c r="AK150" s="255"/>
      <c r="AL150" s="239"/>
      <c r="AM150" s="632"/>
      <c r="AN150" s="632"/>
      <c r="AO150" s="632"/>
      <c r="AP150" s="632"/>
      <c r="AQ150" s="632"/>
      <c r="AR150" s="632"/>
      <c r="AS150" s="632"/>
      <c r="AT150" s="632"/>
      <c r="AU150" s="632"/>
      <c r="AV150" s="632"/>
      <c r="AW150" s="632"/>
      <c r="AX150" s="632"/>
      <c r="AY150" s="632"/>
      <c r="AZ150" s="632"/>
      <c r="BA150" s="632"/>
      <c r="BB150" s="632"/>
      <c r="BC150" s="632"/>
      <c r="BD150" s="632"/>
      <c r="BE150" s="632"/>
      <c r="BF150" s="632"/>
      <c r="BG150" s="632"/>
    </row>
    <row r="151" spans="1:59" x14ac:dyDescent="0.2">
      <c r="A151" s="235"/>
      <c r="B151" s="235"/>
      <c r="C151" s="235"/>
      <c r="D151" s="235"/>
      <c r="E151" s="235"/>
      <c r="F151" s="235"/>
      <c r="G151" s="235"/>
      <c r="H151" s="235"/>
      <c r="I151" s="255"/>
      <c r="J151" s="255"/>
      <c r="K151" s="255"/>
      <c r="L151" s="255"/>
      <c r="M151" s="239"/>
      <c r="N151" s="239"/>
      <c r="O151" s="632"/>
      <c r="P151" s="632"/>
      <c r="Q151" s="632"/>
      <c r="R151" s="632"/>
      <c r="S151" s="632"/>
      <c r="T151" s="632"/>
      <c r="U151" s="632"/>
      <c r="V151" s="632"/>
      <c r="W151" s="632"/>
      <c r="X151" s="632"/>
      <c r="Y151" s="632"/>
      <c r="Z151" s="632"/>
      <c r="AA151" s="632"/>
      <c r="AB151" s="255"/>
      <c r="AC151" s="255"/>
      <c r="AD151" s="255"/>
      <c r="AE151" s="255"/>
      <c r="AF151" s="255"/>
      <c r="AG151" s="255"/>
      <c r="AH151" s="255"/>
      <c r="AI151" s="255"/>
      <c r="AJ151" s="255"/>
      <c r="AK151" s="255"/>
      <c r="AL151" s="239"/>
      <c r="AM151" s="632"/>
      <c r="AN151" s="632"/>
      <c r="AO151" s="632"/>
      <c r="AP151" s="632"/>
      <c r="AQ151" s="632"/>
      <c r="AR151" s="632"/>
      <c r="AS151" s="632"/>
      <c r="AT151" s="632"/>
      <c r="AU151" s="632"/>
      <c r="AV151" s="632"/>
      <c r="AW151" s="632"/>
      <c r="AX151" s="632"/>
      <c r="AY151" s="632"/>
      <c r="AZ151" s="632"/>
      <c r="BA151" s="632"/>
      <c r="BB151" s="632"/>
      <c r="BC151" s="632"/>
      <c r="BD151" s="632"/>
      <c r="BE151" s="632"/>
      <c r="BF151" s="632"/>
      <c r="BG151" s="632"/>
    </row>
    <row r="152" spans="1:59" x14ac:dyDescent="0.2">
      <c r="U152" s="632"/>
      <c r="V152" s="632"/>
      <c r="W152" s="632"/>
      <c r="X152" s="632"/>
      <c r="Y152" s="632"/>
      <c r="Z152" s="632"/>
      <c r="AA152" s="632"/>
      <c r="AB152" s="255"/>
      <c r="AC152" s="255"/>
      <c r="AG152" s="255"/>
      <c r="AH152" s="255"/>
      <c r="AI152" s="255"/>
      <c r="AJ152" s="255"/>
      <c r="AK152" s="255"/>
      <c r="AL152" s="239"/>
      <c r="AM152" s="632"/>
      <c r="AN152" s="632"/>
      <c r="AO152" s="632"/>
      <c r="AP152" s="632"/>
      <c r="AQ152" s="632"/>
      <c r="AR152" s="632"/>
      <c r="AS152" s="632"/>
      <c r="AT152" s="632"/>
      <c r="AU152" s="632"/>
      <c r="AV152" s="632"/>
      <c r="AW152" s="632"/>
      <c r="AX152" s="632"/>
      <c r="AY152" s="632"/>
      <c r="AZ152" s="632"/>
      <c r="BA152" s="632"/>
      <c r="BB152" s="632"/>
      <c r="BC152" s="632"/>
      <c r="BD152" s="632"/>
      <c r="BE152" s="632"/>
      <c r="BF152" s="632"/>
      <c r="BG152" s="632"/>
    </row>
  </sheetData>
  <sheetProtection algorithmName="SHA-512" hashValue="wGUpur7U8siM7HLSnDo5mQVh8lpWACZ4uazP9fhU9iA+PcAvIbzAH6nbAQYyWHwa+J1PvXZETGTe0S7AHhBVUQ==" saltValue="O4tz/9eOxK8ft6Yy9F1WGw==" spinCount="100000" sheet="1" formatCells="0" formatColumns="0" formatRows="0" insertColumns="0" insertRows="0" deleteRows="0"/>
  <mergeCells count="2">
    <mergeCell ref="F1:G1"/>
    <mergeCell ref="Q1:R1"/>
  </mergeCells>
  <phoneticPr fontId="0" type="noConversion"/>
  <dataValidations count="6">
    <dataValidation allowBlank="1" showInputMessage="1" showErrorMessage="1" sqref="B14:B15" xr:uid="{00000000-0002-0000-0A00-000001000000}"/>
    <dataValidation allowBlank="1" showInputMessage="1" showErrorMessage="1" promptTitle="ORF-Lizenz" prompt="Auf Grundlage des Film/Fernseh-Abkommens wird die ORF-Lizenz grundsätzlich bei Spielfilmen mit 45.000 EURO, bei Dokumentrafilmen je nach Produktionsvolumen mit 22.000 bzw. 11.000 EURO bewertet." sqref="B10" xr:uid="{00000000-0002-0000-0A00-000003000000}"/>
    <dataValidation type="whole" operator="lessThan" allowBlank="1" showInputMessage="1" showErrorMessage="1" sqref="B6:B7" xr:uid="{9AA8EA10-5851-4E82-9101-90766E55DB44}">
      <formula1>-9999</formula1>
    </dataValidation>
    <dataValidation allowBlank="1" showInputMessage="1" showErrorMessage="1" promptTitle="innovative film" prompt="nicht mit Projekt- oder Referenzförderung des Österreichischen Filminstituts kombinierbar!" sqref="D22" xr:uid="{5D7594BE-AEDA-4CF2-B43F-588BAC2B791D}"/>
    <dataValidation type="whole" operator="lessThan" allowBlank="1" showInputMessage="1" showErrorMessage="1" sqref="V1:Z4 E1 W7:X76 V10:V76 Y10:Y76 Z7:Z76 V8 Y8 AA1:AB76" xr:uid="{EBB64043-4EE4-4228-AE3E-C39B058857B9}">
      <formula1>-999</formula1>
    </dataValidation>
    <dataValidation operator="lessThan" allowBlank="1" showInputMessage="1" showErrorMessage="1" sqref="A5:A31 C19 AC1:AC76 AD1:AK75 V9 Y9 V7 Y7 C20 C21" xr:uid="{00000000-0002-0000-0A00-000000000000}"/>
  </dataValidations>
  <printOptions horizontalCentered="1"/>
  <pageMargins left="0.78740157480314965" right="0.59055118110236227" top="1.1811023622047245" bottom="0.78740157480314965" header="0.51181102362204722" footer="0.51181102362204722"/>
  <pageSetup paperSize="9" scale="75" fitToHeight="2" orientation="portrait" blackAndWhite="1" horizontalDpi="4294967292" r:id="rId1"/>
  <headerFooter scaleWithDoc="0">
    <oddHeader>&amp;L&amp;"Verdana,Standard"&amp;9&amp;F&amp;R&amp;"Verdana,Fett"ANLAGE 5</oddHeader>
    <oddFooter>&amp;L&amp;"Verdana,Standard"&amp;9Ausdruck vom &amp;D&amp;R&amp;"Verdana,Standard"&amp;9Seite &amp;P von &amp;N</oddFooter>
  </headerFooter>
  <ignoredErrors>
    <ignoredError sqref="C9:D12 E5 A35:A42 A46:D46 E45 A66:C66 C14:D17 C13 C18 C33:D33 D8 A67:C67 E67 C29 E13:E18 D75 E32:E34 C35:D35 C34 B45:C45 B56:C56 E56 A58:D58 E66 A57:C57 A62:D64 A59:C59 A60:C60 A61:C61 A47:D53 D32 A28:A29 D36 E22:E31 E35:E42 E46:E53 E57:E64" unlockedFormula="1"/>
    <ignoredError sqref="J4 J34 J45 J56 J67 I40:I41 I51:I52 I62:I63"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49153" r:id="rId4" name="Check Box 1">
              <controlPr defaultSize="0" autoFill="0" autoLine="0" autoPict="0">
                <anchor moveWithCells="1">
                  <from>
                    <xdr:col>1</xdr:col>
                    <xdr:colOff>361950</xdr:colOff>
                    <xdr:row>18</xdr:row>
                    <xdr:rowOff>95250</xdr:rowOff>
                  </from>
                  <to>
                    <xdr:col>1</xdr:col>
                    <xdr:colOff>590550</xdr:colOff>
                    <xdr:row>20</xdr:row>
                    <xdr:rowOff>57150</xdr:rowOff>
                  </to>
                </anchor>
              </controlPr>
            </control>
          </mc:Choice>
        </mc:AlternateContent>
        <mc:AlternateContent xmlns:mc="http://schemas.openxmlformats.org/markup-compatibility/2006">
          <mc:Choice Requires="x14">
            <control shapeId="49154" r:id="rId5" name="Check Box 2">
              <controlPr defaultSize="0" autoFill="0" autoLine="0" autoPict="0">
                <anchor moveWithCells="1">
                  <from>
                    <xdr:col>1</xdr:col>
                    <xdr:colOff>361950</xdr:colOff>
                    <xdr:row>19</xdr:row>
                    <xdr:rowOff>95250</xdr:rowOff>
                  </from>
                  <to>
                    <xdr:col>1</xdr:col>
                    <xdr:colOff>590550</xdr:colOff>
                    <xdr:row>21</xdr:row>
                    <xdr:rowOff>57150</xdr:rowOff>
                  </to>
                </anchor>
              </controlPr>
            </control>
          </mc:Choice>
        </mc:AlternateContent>
        <mc:AlternateContent xmlns:mc="http://schemas.openxmlformats.org/markup-compatibility/2006">
          <mc:Choice Requires="x14">
            <control shapeId="49155" r:id="rId6" name="Check Box 3">
              <controlPr defaultSize="0" autoFill="0" autoLine="0" autoPict="0">
                <anchor moveWithCells="1">
                  <from>
                    <xdr:col>14</xdr:col>
                    <xdr:colOff>352425</xdr:colOff>
                    <xdr:row>18</xdr:row>
                    <xdr:rowOff>95250</xdr:rowOff>
                  </from>
                  <to>
                    <xdr:col>20</xdr:col>
                    <xdr:colOff>247650</xdr:colOff>
                    <xdr:row>20</xdr:row>
                    <xdr:rowOff>57150</xdr:rowOff>
                  </to>
                </anchor>
              </controlPr>
            </control>
          </mc:Choice>
        </mc:AlternateContent>
        <mc:AlternateContent xmlns:mc="http://schemas.openxmlformats.org/markup-compatibility/2006">
          <mc:Choice Requires="x14">
            <control shapeId="49156" r:id="rId7" name="Check Box 4">
              <controlPr defaultSize="0" autoFill="0" autoLine="0" autoPict="0">
                <anchor moveWithCells="1">
                  <from>
                    <xdr:col>14</xdr:col>
                    <xdr:colOff>352425</xdr:colOff>
                    <xdr:row>19</xdr:row>
                    <xdr:rowOff>95250</xdr:rowOff>
                  </from>
                  <to>
                    <xdr:col>20</xdr:col>
                    <xdr:colOff>247650</xdr:colOff>
                    <xdr:row>21</xdr:row>
                    <xdr:rowOff>57150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D7536-84C1-435F-A5D9-8B4F2176B546}">
  <sheetPr>
    <pageSetUpPr fitToPage="1"/>
  </sheetPr>
  <dimension ref="A1:AZ100"/>
  <sheetViews>
    <sheetView workbookViewId="0">
      <selection activeCell="C9" sqref="C9"/>
    </sheetView>
  </sheetViews>
  <sheetFormatPr baseColWidth="10" defaultRowHeight="15" outlineLevelRow="1" x14ac:dyDescent="0.25"/>
  <cols>
    <col min="1" max="1" width="30.625" style="1321" customWidth="1"/>
    <col min="2" max="2" width="9.625" style="1321" bestFit="1" customWidth="1"/>
    <col min="3" max="3" width="13.75" style="1321" bestFit="1" customWidth="1"/>
    <col min="4" max="8" width="12.625" style="1321" customWidth="1"/>
    <col min="9" max="16384" width="11" style="1321"/>
  </cols>
  <sheetData>
    <row r="1" spans="1:52" ht="18" x14ac:dyDescent="0.25">
      <c r="A1" s="1323" t="s">
        <v>1249</v>
      </c>
      <c r="B1" s="1323"/>
      <c r="C1" s="1287"/>
      <c r="D1" s="1324"/>
      <c r="E1" s="1324"/>
      <c r="F1" s="1324"/>
      <c r="G1" s="1324"/>
      <c r="H1" s="1324"/>
      <c r="I1" s="1322"/>
      <c r="J1" s="1322"/>
      <c r="K1" s="1322"/>
      <c r="L1" s="1322"/>
      <c r="M1" s="1322"/>
      <c r="N1" s="1322"/>
      <c r="O1" s="1322"/>
      <c r="P1" s="1322"/>
      <c r="Q1" s="1322"/>
      <c r="R1" s="1322"/>
      <c r="S1" s="1322"/>
      <c r="T1" s="1322"/>
      <c r="U1" s="1322"/>
      <c r="V1" s="1322"/>
      <c r="W1" s="1322"/>
      <c r="X1" s="1322"/>
      <c r="Y1" s="1322"/>
      <c r="Z1" s="1322"/>
      <c r="AA1" s="1322"/>
      <c r="AB1" s="1322"/>
      <c r="AC1" s="1322"/>
      <c r="AD1" s="1322"/>
      <c r="AE1" s="1322"/>
      <c r="AF1" s="1322"/>
      <c r="AG1" s="1322"/>
      <c r="AH1" s="1322"/>
      <c r="AI1" s="1322"/>
      <c r="AJ1" s="1322"/>
      <c r="AK1" s="1322"/>
      <c r="AL1" s="1322"/>
      <c r="AM1" s="1322"/>
      <c r="AN1" s="1322"/>
      <c r="AO1" s="1322"/>
      <c r="AP1" s="1322"/>
      <c r="AQ1" s="1322"/>
      <c r="AR1" s="1322"/>
      <c r="AS1" s="1322"/>
      <c r="AT1" s="1322"/>
      <c r="AU1" s="1322"/>
      <c r="AV1" s="1322"/>
      <c r="AW1" s="1322"/>
      <c r="AX1" s="1322"/>
      <c r="AY1" s="1322"/>
      <c r="AZ1" s="1322"/>
    </row>
    <row r="2" spans="1:52" ht="18" x14ac:dyDescent="0.25">
      <c r="A2" s="1325" t="str">
        <f>Stammblatt!A1</f>
        <v>Test</v>
      </c>
      <c r="B2" s="1325"/>
      <c r="C2" s="1324"/>
      <c r="D2" s="1324"/>
      <c r="E2" s="1324"/>
      <c r="F2" s="1324"/>
      <c r="G2" s="1324"/>
      <c r="H2" s="1324"/>
      <c r="I2" s="1322"/>
      <c r="J2" s="1322"/>
      <c r="K2" s="1322"/>
      <c r="L2" s="1322"/>
      <c r="M2" s="1322"/>
      <c r="N2" s="1322"/>
      <c r="O2" s="1322"/>
      <c r="P2" s="1322"/>
      <c r="Q2" s="1322"/>
      <c r="R2" s="1322"/>
      <c r="S2" s="1322"/>
      <c r="T2" s="1322"/>
      <c r="U2" s="1322"/>
      <c r="V2" s="1322"/>
      <c r="W2" s="1322"/>
      <c r="X2" s="1322"/>
      <c r="Y2" s="1322"/>
      <c r="Z2" s="1322"/>
      <c r="AA2" s="1322"/>
      <c r="AB2" s="1322"/>
      <c r="AC2" s="1322"/>
      <c r="AD2" s="1322"/>
      <c r="AE2" s="1322"/>
      <c r="AF2" s="1322"/>
      <c r="AG2" s="1322"/>
      <c r="AH2" s="1322"/>
      <c r="AI2" s="1322"/>
      <c r="AJ2" s="1322"/>
      <c r="AK2" s="1322"/>
      <c r="AL2" s="1322"/>
      <c r="AM2" s="1322"/>
      <c r="AN2" s="1322"/>
      <c r="AO2" s="1322"/>
      <c r="AP2" s="1322"/>
      <c r="AQ2" s="1322"/>
      <c r="AR2" s="1322"/>
      <c r="AS2" s="1322"/>
      <c r="AT2" s="1322"/>
      <c r="AU2" s="1322"/>
      <c r="AV2" s="1322"/>
      <c r="AW2" s="1322"/>
      <c r="AX2" s="1322"/>
      <c r="AY2" s="1322"/>
      <c r="AZ2" s="1322"/>
    </row>
    <row r="3" spans="1:52" x14ac:dyDescent="0.25">
      <c r="A3" s="1324"/>
      <c r="B3" s="1324"/>
      <c r="C3" s="1324"/>
      <c r="D3" s="1324"/>
      <c r="E3" s="1324"/>
      <c r="F3" s="1324"/>
      <c r="G3" s="1324"/>
      <c r="H3" s="1324"/>
      <c r="I3" s="1322"/>
      <c r="J3" s="1322"/>
      <c r="K3" s="1322"/>
      <c r="L3" s="1322"/>
      <c r="M3" s="1322"/>
      <c r="N3" s="1322"/>
      <c r="O3" s="1322"/>
      <c r="P3" s="1322"/>
      <c r="Q3" s="1322"/>
      <c r="R3" s="1322"/>
      <c r="S3" s="1322"/>
      <c r="T3" s="1322"/>
      <c r="U3" s="1322"/>
      <c r="V3" s="1322"/>
      <c r="W3" s="1322"/>
      <c r="X3" s="1322"/>
      <c r="Y3" s="1322"/>
      <c r="Z3" s="1322"/>
      <c r="AA3" s="1322"/>
      <c r="AB3" s="1322"/>
      <c r="AC3" s="1322"/>
      <c r="AD3" s="1322"/>
      <c r="AE3" s="1322"/>
      <c r="AF3" s="1322"/>
      <c r="AG3" s="1322"/>
      <c r="AH3" s="1322"/>
      <c r="AI3" s="1322"/>
      <c r="AJ3" s="1322"/>
      <c r="AK3" s="1322"/>
      <c r="AL3" s="1322"/>
      <c r="AM3" s="1322"/>
      <c r="AN3" s="1322"/>
      <c r="AO3" s="1322"/>
      <c r="AP3" s="1322"/>
      <c r="AQ3" s="1322"/>
      <c r="AR3" s="1322"/>
      <c r="AS3" s="1322"/>
      <c r="AT3" s="1322"/>
      <c r="AU3" s="1322"/>
      <c r="AV3" s="1322"/>
      <c r="AW3" s="1322"/>
      <c r="AX3" s="1322"/>
      <c r="AY3" s="1322"/>
      <c r="AZ3" s="1322"/>
    </row>
    <row r="4" spans="1:52" ht="15" hidden="1" customHeight="1" outlineLevel="1" x14ac:dyDescent="0.25">
      <c r="A4" s="1324" t="s">
        <v>1248</v>
      </c>
      <c r="B4" s="1324"/>
      <c r="C4" s="1326"/>
      <c r="D4" s="1324"/>
      <c r="E4" s="1324"/>
      <c r="F4" s="1324"/>
      <c r="G4" s="1324"/>
      <c r="H4" s="1324"/>
      <c r="I4" s="1322"/>
      <c r="J4" s="1322"/>
      <c r="K4" s="1322"/>
      <c r="L4" s="1322"/>
      <c r="M4" s="1322"/>
      <c r="N4" s="1322"/>
      <c r="O4" s="1322"/>
      <c r="P4" s="1322"/>
      <c r="Q4" s="1322"/>
      <c r="R4" s="1322"/>
      <c r="S4" s="1322"/>
      <c r="T4" s="1322"/>
      <c r="U4" s="1322"/>
      <c r="V4" s="1322"/>
      <c r="W4" s="1322"/>
      <c r="X4" s="1322"/>
      <c r="Y4" s="1322"/>
      <c r="Z4" s="1322"/>
      <c r="AA4" s="1322"/>
      <c r="AB4" s="1322"/>
      <c r="AC4" s="1322"/>
      <c r="AD4" s="1322"/>
      <c r="AE4" s="1322"/>
      <c r="AF4" s="1322"/>
      <c r="AG4" s="1322"/>
      <c r="AH4" s="1322"/>
      <c r="AI4" s="1322"/>
      <c r="AJ4" s="1322"/>
      <c r="AK4" s="1322"/>
      <c r="AL4" s="1322"/>
      <c r="AM4" s="1322"/>
      <c r="AN4" s="1322"/>
      <c r="AO4" s="1322"/>
      <c r="AP4" s="1322"/>
      <c r="AQ4" s="1322"/>
      <c r="AR4" s="1322"/>
      <c r="AS4" s="1322"/>
      <c r="AT4" s="1322"/>
      <c r="AU4" s="1322"/>
      <c r="AV4" s="1322"/>
      <c r="AW4" s="1322"/>
      <c r="AX4" s="1322"/>
      <c r="AY4" s="1322"/>
      <c r="AZ4" s="1322"/>
    </row>
    <row r="5" spans="1:52" ht="15" hidden="1" customHeight="1" outlineLevel="1" x14ac:dyDescent="0.25">
      <c r="A5" s="1324" t="s">
        <v>1247</v>
      </c>
      <c r="B5" s="1324"/>
      <c r="C5" s="1326"/>
      <c r="D5" s="1324"/>
      <c r="E5" s="1324"/>
      <c r="F5" s="1324"/>
      <c r="G5" s="1324"/>
      <c r="H5" s="1324"/>
      <c r="I5" s="1322"/>
      <c r="J5" s="1322"/>
      <c r="K5" s="1322"/>
      <c r="L5" s="1322"/>
      <c r="M5" s="1322"/>
      <c r="N5" s="1322"/>
      <c r="O5" s="1322"/>
      <c r="P5" s="1322"/>
      <c r="Q5" s="1322"/>
      <c r="R5" s="1322"/>
      <c r="S5" s="1322"/>
      <c r="T5" s="1322"/>
      <c r="U5" s="1322"/>
      <c r="V5" s="1322"/>
      <c r="W5" s="1322"/>
      <c r="X5" s="1322"/>
      <c r="Y5" s="1322"/>
      <c r="Z5" s="1322"/>
      <c r="AA5" s="1322"/>
      <c r="AB5" s="1322"/>
      <c r="AC5" s="1322"/>
      <c r="AD5" s="1322"/>
      <c r="AE5" s="1322"/>
      <c r="AF5" s="1322"/>
      <c r="AG5" s="1322"/>
      <c r="AH5" s="1322"/>
      <c r="AI5" s="1322"/>
      <c r="AJ5" s="1322"/>
      <c r="AK5" s="1322"/>
      <c r="AL5" s="1322"/>
      <c r="AM5" s="1322"/>
      <c r="AN5" s="1322"/>
      <c r="AO5" s="1322"/>
      <c r="AP5" s="1322"/>
      <c r="AQ5" s="1322"/>
      <c r="AR5" s="1322"/>
      <c r="AS5" s="1322"/>
      <c r="AT5" s="1322"/>
      <c r="AU5" s="1322"/>
      <c r="AV5" s="1322"/>
      <c r="AW5" s="1322"/>
      <c r="AX5" s="1322"/>
      <c r="AY5" s="1322"/>
      <c r="AZ5" s="1322"/>
    </row>
    <row r="6" spans="1:52" ht="15" hidden="1" customHeight="1" outlineLevel="1" x14ac:dyDescent="0.25">
      <c r="A6" s="1327" t="s">
        <v>1246</v>
      </c>
      <c r="B6" s="1328"/>
      <c r="C6" s="1329">
        <f>-C4*B6</f>
        <v>0</v>
      </c>
      <c r="D6" s="1324"/>
      <c r="E6" s="1324"/>
      <c r="F6" s="1324"/>
      <c r="G6" s="1324"/>
      <c r="H6" s="1324"/>
      <c r="I6" s="1322"/>
      <c r="J6" s="1322"/>
      <c r="K6" s="1322"/>
      <c r="L6" s="1322"/>
      <c r="M6" s="1322"/>
      <c r="N6" s="1322"/>
      <c r="O6" s="1322"/>
      <c r="P6" s="1322"/>
      <c r="Q6" s="1322"/>
      <c r="R6" s="1322"/>
      <c r="S6" s="1322"/>
      <c r="T6" s="1322"/>
      <c r="U6" s="1322"/>
      <c r="V6" s="1322"/>
      <c r="W6" s="1322"/>
      <c r="X6" s="1322"/>
      <c r="Y6" s="1322"/>
      <c r="Z6" s="1322"/>
      <c r="AA6" s="1322"/>
      <c r="AB6" s="1322"/>
      <c r="AC6" s="1322"/>
      <c r="AD6" s="1322"/>
      <c r="AE6" s="1322"/>
      <c r="AF6" s="1322"/>
      <c r="AG6" s="1322"/>
      <c r="AH6" s="1322"/>
      <c r="AI6" s="1322"/>
      <c r="AJ6" s="1322"/>
      <c r="AK6" s="1322"/>
      <c r="AL6" s="1322"/>
      <c r="AM6" s="1322"/>
      <c r="AN6" s="1322"/>
      <c r="AO6" s="1322"/>
      <c r="AP6" s="1322"/>
      <c r="AQ6" s="1322"/>
      <c r="AR6" s="1322"/>
      <c r="AS6" s="1322"/>
      <c r="AT6" s="1322"/>
      <c r="AU6" s="1322"/>
      <c r="AV6" s="1322"/>
      <c r="AW6" s="1322"/>
      <c r="AX6" s="1322"/>
      <c r="AY6" s="1322"/>
      <c r="AZ6" s="1322"/>
    </row>
    <row r="7" spans="1:52" ht="15" hidden="1" customHeight="1" outlineLevel="1" x14ac:dyDescent="0.25">
      <c r="A7" s="1327" t="s">
        <v>1</v>
      </c>
      <c r="B7" s="1330"/>
      <c r="C7" s="1329"/>
      <c r="D7" s="1324"/>
      <c r="E7" s="1324"/>
      <c r="F7" s="1324"/>
      <c r="G7" s="1324"/>
      <c r="H7" s="1324"/>
      <c r="I7" s="1322"/>
      <c r="J7" s="1322"/>
      <c r="K7" s="1322"/>
      <c r="L7" s="1322"/>
      <c r="M7" s="1322"/>
      <c r="N7" s="1322"/>
      <c r="O7" s="1322"/>
      <c r="P7" s="1322"/>
      <c r="Q7" s="1322"/>
      <c r="R7" s="1322"/>
      <c r="S7" s="1322"/>
      <c r="T7" s="1322"/>
      <c r="U7" s="1322"/>
      <c r="V7" s="1322"/>
      <c r="W7" s="1322"/>
      <c r="X7" s="1322"/>
      <c r="Y7" s="1322"/>
      <c r="Z7" s="1322"/>
      <c r="AA7" s="1322"/>
      <c r="AB7" s="1322"/>
      <c r="AC7" s="1322"/>
      <c r="AD7" s="1322"/>
      <c r="AE7" s="1322"/>
      <c r="AF7" s="1322"/>
      <c r="AG7" s="1322"/>
      <c r="AH7" s="1322"/>
      <c r="AI7" s="1322"/>
      <c r="AJ7" s="1322"/>
      <c r="AK7" s="1322"/>
      <c r="AL7" s="1322"/>
      <c r="AM7" s="1322"/>
      <c r="AN7" s="1322"/>
      <c r="AO7" s="1322"/>
      <c r="AP7" s="1322"/>
      <c r="AQ7" s="1322"/>
      <c r="AR7" s="1322"/>
      <c r="AS7" s="1322"/>
      <c r="AT7" s="1322"/>
      <c r="AU7" s="1322"/>
      <c r="AV7" s="1322"/>
      <c r="AW7" s="1322"/>
      <c r="AX7" s="1322"/>
      <c r="AY7" s="1322"/>
      <c r="AZ7" s="1322"/>
    </row>
    <row r="8" spans="1:52" ht="15" hidden="1" customHeight="1" outlineLevel="1" x14ac:dyDescent="0.25">
      <c r="A8" s="1327" t="s">
        <v>695</v>
      </c>
      <c r="B8" s="1330"/>
      <c r="C8" s="1329"/>
      <c r="D8" s="1324"/>
      <c r="E8" s="1324"/>
      <c r="F8" s="1324"/>
      <c r="G8" s="1324"/>
      <c r="H8" s="1324"/>
      <c r="I8" s="1322"/>
      <c r="J8" s="1322"/>
      <c r="K8" s="1322"/>
      <c r="L8" s="1322"/>
      <c r="M8" s="1322"/>
      <c r="N8" s="1322"/>
      <c r="O8" s="1322"/>
      <c r="P8" s="1322"/>
      <c r="Q8" s="1322"/>
      <c r="R8" s="1322"/>
      <c r="S8" s="1322"/>
      <c r="T8" s="1322"/>
      <c r="U8" s="1322"/>
      <c r="V8" s="1322"/>
      <c r="W8" s="1322"/>
      <c r="X8" s="1322"/>
      <c r="Y8" s="1322"/>
      <c r="Z8" s="1322"/>
      <c r="AA8" s="1322"/>
      <c r="AB8" s="1322"/>
      <c r="AC8" s="1322"/>
      <c r="AD8" s="1322"/>
      <c r="AE8" s="1322"/>
      <c r="AF8" s="1322"/>
      <c r="AG8" s="1322"/>
      <c r="AH8" s="1322"/>
      <c r="AI8" s="1322"/>
      <c r="AJ8" s="1322"/>
      <c r="AK8" s="1322"/>
      <c r="AL8" s="1322"/>
      <c r="AM8" s="1322"/>
      <c r="AN8" s="1322"/>
      <c r="AO8" s="1322"/>
      <c r="AP8" s="1322"/>
      <c r="AQ8" s="1322"/>
      <c r="AR8" s="1322"/>
      <c r="AS8" s="1322"/>
      <c r="AT8" s="1322"/>
      <c r="AU8" s="1322"/>
      <c r="AV8" s="1322"/>
      <c r="AW8" s="1322"/>
      <c r="AX8" s="1322"/>
      <c r="AY8" s="1322"/>
      <c r="AZ8" s="1322"/>
    </row>
    <row r="9" spans="1:52" ht="34.5" customHeight="1" collapsed="1" x14ac:dyDescent="0.25">
      <c r="A9" s="1331" t="s">
        <v>1245</v>
      </c>
      <c r="B9" s="1332"/>
      <c r="C9" s="1345"/>
      <c r="D9" s="1346" t="s">
        <v>1244</v>
      </c>
      <c r="E9" s="1324"/>
      <c r="F9" s="1324"/>
      <c r="G9" s="1324"/>
      <c r="H9" s="1324"/>
      <c r="I9" s="1322"/>
      <c r="J9" s="1322"/>
      <c r="K9" s="1322"/>
      <c r="L9" s="1322"/>
      <c r="M9" s="1322"/>
      <c r="N9" s="1322"/>
      <c r="O9" s="1322"/>
      <c r="P9" s="1322"/>
      <c r="Q9" s="1322"/>
      <c r="R9" s="1322"/>
      <c r="S9" s="1322"/>
      <c r="T9" s="1322"/>
      <c r="U9" s="1322"/>
      <c r="V9" s="1322"/>
      <c r="W9" s="1322"/>
      <c r="X9" s="1322"/>
      <c r="Y9" s="1322"/>
      <c r="Z9" s="1322"/>
      <c r="AA9" s="1322"/>
      <c r="AB9" s="1322"/>
      <c r="AC9" s="1322"/>
      <c r="AD9" s="1322"/>
      <c r="AE9" s="1322"/>
      <c r="AF9" s="1322"/>
      <c r="AG9" s="1322"/>
      <c r="AH9" s="1322"/>
      <c r="AI9" s="1322"/>
      <c r="AJ9" s="1322"/>
      <c r="AK9" s="1322"/>
      <c r="AL9" s="1322"/>
      <c r="AM9" s="1322"/>
      <c r="AN9" s="1322"/>
      <c r="AO9" s="1322"/>
      <c r="AP9" s="1322"/>
      <c r="AQ9" s="1322"/>
      <c r="AR9" s="1322"/>
      <c r="AS9" s="1322"/>
      <c r="AT9" s="1322"/>
      <c r="AU9" s="1322"/>
      <c r="AV9" s="1322"/>
      <c r="AW9" s="1322"/>
      <c r="AX9" s="1322"/>
      <c r="AY9" s="1322"/>
      <c r="AZ9" s="1322"/>
    </row>
    <row r="10" spans="1:52" ht="15.75" x14ac:dyDescent="0.25">
      <c r="A10" s="1324"/>
      <c r="B10" s="1332"/>
      <c r="C10" s="1326"/>
      <c r="D10" s="1324"/>
      <c r="E10" s="1324"/>
      <c r="F10" s="1324"/>
      <c r="G10" s="1324"/>
      <c r="H10" s="1324"/>
      <c r="I10" s="1322"/>
      <c r="J10" s="1322"/>
      <c r="K10" s="1322"/>
      <c r="L10" s="1322"/>
      <c r="M10" s="1322"/>
      <c r="N10" s="1322"/>
      <c r="O10" s="1322"/>
      <c r="P10" s="1322"/>
      <c r="Q10" s="1322"/>
      <c r="R10" s="1322"/>
      <c r="S10" s="1322"/>
      <c r="T10" s="1322"/>
      <c r="U10" s="1322"/>
      <c r="V10" s="1322"/>
      <c r="W10" s="1322"/>
      <c r="X10" s="1322"/>
      <c r="Y10" s="1322"/>
      <c r="Z10" s="1322"/>
      <c r="AA10" s="1322"/>
      <c r="AB10" s="1322"/>
      <c r="AC10" s="1322"/>
      <c r="AD10" s="1322"/>
      <c r="AE10" s="1322"/>
      <c r="AF10" s="1322"/>
      <c r="AG10" s="1322"/>
      <c r="AH10" s="1322"/>
      <c r="AI10" s="1322"/>
      <c r="AJ10" s="1322"/>
      <c r="AK10" s="1322"/>
      <c r="AL10" s="1322"/>
      <c r="AM10" s="1322"/>
      <c r="AN10" s="1322"/>
      <c r="AO10" s="1322"/>
      <c r="AP10" s="1322"/>
      <c r="AQ10" s="1322"/>
      <c r="AR10" s="1322"/>
      <c r="AS10" s="1322"/>
      <c r="AT10" s="1322"/>
      <c r="AU10" s="1322"/>
      <c r="AV10" s="1322"/>
      <c r="AW10" s="1322"/>
      <c r="AX10" s="1322"/>
      <c r="AY10" s="1322"/>
      <c r="AZ10" s="1322"/>
    </row>
    <row r="11" spans="1:52" x14ac:dyDescent="0.25">
      <c r="A11" s="1324"/>
      <c r="B11" s="1324"/>
      <c r="C11" s="1332" t="s">
        <v>1243</v>
      </c>
      <c r="D11" s="1332" t="s">
        <v>1242</v>
      </c>
      <c r="E11" s="1324"/>
      <c r="F11" s="1324"/>
      <c r="G11" s="1324"/>
      <c r="H11" s="1324"/>
      <c r="I11" s="1322"/>
      <c r="J11" s="1322"/>
      <c r="K11" s="1322"/>
      <c r="L11" s="1322"/>
      <c r="M11" s="1322"/>
      <c r="N11" s="1322"/>
      <c r="O11" s="1322"/>
      <c r="P11" s="1322"/>
      <c r="Q11" s="1322"/>
      <c r="R11" s="1322"/>
      <c r="S11" s="1322"/>
      <c r="T11" s="1322"/>
      <c r="U11" s="1322"/>
      <c r="V11" s="1322"/>
      <c r="W11" s="1322"/>
      <c r="X11" s="1322"/>
      <c r="Y11" s="1322"/>
      <c r="Z11" s="1322"/>
      <c r="AA11" s="1322"/>
      <c r="AB11" s="1322"/>
      <c r="AC11" s="1322"/>
      <c r="AD11" s="1322"/>
      <c r="AE11" s="1322"/>
      <c r="AF11" s="1322"/>
      <c r="AG11" s="1322"/>
      <c r="AH11" s="1322"/>
      <c r="AI11" s="1322"/>
      <c r="AJ11" s="1322"/>
      <c r="AK11" s="1322"/>
      <c r="AL11" s="1322"/>
      <c r="AM11" s="1322"/>
      <c r="AN11" s="1322"/>
      <c r="AO11" s="1322"/>
      <c r="AP11" s="1322"/>
      <c r="AQ11" s="1322"/>
      <c r="AR11" s="1322"/>
      <c r="AS11" s="1322"/>
      <c r="AT11" s="1322"/>
      <c r="AU11" s="1322"/>
      <c r="AV11" s="1322"/>
      <c r="AW11" s="1322"/>
      <c r="AX11" s="1322"/>
      <c r="AY11" s="1322"/>
      <c r="AZ11" s="1322"/>
    </row>
    <row r="12" spans="1:52" ht="18" customHeight="1" x14ac:dyDescent="0.25">
      <c r="A12" s="1333" t="s">
        <v>1241</v>
      </c>
      <c r="B12" s="1333"/>
      <c r="C12" s="1334">
        <f ca="1">Finanzierungsplan!D67</f>
        <v>0</v>
      </c>
      <c r="D12" s="1335">
        <v>1</v>
      </c>
      <c r="E12" s="1324"/>
      <c r="F12" s="1324"/>
      <c r="G12" s="1324"/>
      <c r="H12" s="1324"/>
      <c r="I12" s="1322"/>
      <c r="J12" s="1322"/>
      <c r="K12" s="1322"/>
      <c r="L12" s="1322"/>
      <c r="M12" s="1322"/>
      <c r="N12" s="1322"/>
      <c r="O12" s="1322"/>
      <c r="P12" s="1322"/>
      <c r="Q12" s="1322"/>
      <c r="R12" s="1322"/>
      <c r="S12" s="1322"/>
      <c r="T12" s="1322"/>
      <c r="U12" s="1322"/>
      <c r="V12" s="1322"/>
      <c r="W12" s="1322"/>
      <c r="X12" s="1322"/>
      <c r="Y12" s="1322"/>
      <c r="Z12" s="1322"/>
      <c r="AA12" s="1322"/>
      <c r="AB12" s="1322"/>
      <c r="AC12" s="1322"/>
      <c r="AD12" s="1322"/>
      <c r="AE12" s="1322"/>
      <c r="AF12" s="1322"/>
      <c r="AG12" s="1322"/>
      <c r="AH12" s="1322"/>
      <c r="AI12" s="1322"/>
      <c r="AJ12" s="1322"/>
      <c r="AK12" s="1322"/>
      <c r="AL12" s="1322"/>
      <c r="AM12" s="1322"/>
      <c r="AN12" s="1322"/>
      <c r="AO12" s="1322"/>
      <c r="AP12" s="1322"/>
      <c r="AQ12" s="1322"/>
      <c r="AR12" s="1322"/>
      <c r="AS12" s="1322"/>
      <c r="AT12" s="1322"/>
      <c r="AU12" s="1322"/>
      <c r="AV12" s="1322"/>
      <c r="AW12" s="1322"/>
      <c r="AX12" s="1322"/>
      <c r="AY12" s="1322"/>
      <c r="AZ12" s="1322"/>
    </row>
    <row r="13" spans="1:52" ht="18" customHeight="1" x14ac:dyDescent="0.25">
      <c r="A13" s="1400" t="s">
        <v>1240</v>
      </c>
      <c r="B13" s="1400"/>
      <c r="C13" s="1334">
        <f ca="1">Finanzierungsplan!D4</f>
        <v>0</v>
      </c>
      <c r="D13" s="1335" t="str">
        <f ca="1">IF($C$12=0,"",C13/$C$12)</f>
        <v/>
      </c>
      <c r="E13" s="1324"/>
      <c r="F13" s="1324"/>
      <c r="G13" s="1324"/>
      <c r="H13" s="1324"/>
      <c r="I13" s="1322"/>
      <c r="J13" s="1322"/>
      <c r="K13" s="1322"/>
      <c r="L13" s="1322"/>
      <c r="M13" s="1322"/>
      <c r="N13" s="1322"/>
      <c r="O13" s="1322"/>
      <c r="P13" s="1322"/>
      <c r="Q13" s="1322"/>
      <c r="R13" s="1322"/>
      <c r="S13" s="1322"/>
      <c r="T13" s="1322"/>
      <c r="U13" s="1322"/>
      <c r="V13" s="1322"/>
      <c r="W13" s="1322"/>
      <c r="X13" s="1322"/>
      <c r="Y13" s="1322"/>
      <c r="Z13" s="1322"/>
      <c r="AA13" s="1322"/>
      <c r="AB13" s="1322"/>
      <c r="AC13" s="1322"/>
      <c r="AD13" s="1322"/>
      <c r="AE13" s="1322"/>
      <c r="AF13" s="1322"/>
      <c r="AG13" s="1322"/>
      <c r="AH13" s="1322"/>
      <c r="AI13" s="1322"/>
      <c r="AJ13" s="1322"/>
      <c r="AK13" s="1322"/>
      <c r="AL13" s="1322"/>
      <c r="AM13" s="1322"/>
      <c r="AN13" s="1322"/>
      <c r="AO13" s="1322"/>
      <c r="AP13" s="1322"/>
      <c r="AQ13" s="1322"/>
      <c r="AR13" s="1322"/>
      <c r="AS13" s="1322"/>
      <c r="AT13" s="1322"/>
      <c r="AU13" s="1322"/>
      <c r="AV13" s="1322"/>
      <c r="AW13" s="1322"/>
      <c r="AX13" s="1322"/>
      <c r="AY13" s="1322"/>
      <c r="AZ13" s="1322"/>
    </row>
    <row r="14" spans="1:52" ht="18" customHeight="1" x14ac:dyDescent="0.25">
      <c r="A14" s="1327" t="s">
        <v>1239</v>
      </c>
      <c r="B14" s="1327"/>
      <c r="C14" s="1336">
        <f>Finanzierungsplan!C16+Finanzierungsplan!C14</f>
        <v>0</v>
      </c>
      <c r="D14" s="1337" t="str">
        <f ca="1">IF($C$12=0,"",C14/$C$12)</f>
        <v/>
      </c>
      <c r="E14" s="1324"/>
      <c r="F14" s="1324"/>
      <c r="G14" s="1324"/>
      <c r="H14" s="1324"/>
      <c r="I14" s="1322"/>
      <c r="J14" s="1322"/>
      <c r="K14" s="1322"/>
      <c r="L14" s="1322"/>
      <c r="M14" s="1322"/>
      <c r="N14" s="1322"/>
      <c r="O14" s="1322"/>
      <c r="P14" s="1322"/>
      <c r="Q14" s="1322"/>
      <c r="R14" s="1322"/>
      <c r="S14" s="1322"/>
      <c r="T14" s="1322"/>
      <c r="U14" s="1322"/>
      <c r="V14" s="1322"/>
      <c r="W14" s="1322"/>
      <c r="X14" s="1322"/>
      <c r="Y14" s="1322"/>
      <c r="Z14" s="1322"/>
      <c r="AA14" s="1322"/>
      <c r="AB14" s="1322"/>
      <c r="AC14" s="1322"/>
      <c r="AD14" s="1322"/>
      <c r="AE14" s="1322"/>
      <c r="AF14" s="1322"/>
      <c r="AG14" s="1322"/>
      <c r="AH14" s="1322"/>
      <c r="AI14" s="1322"/>
      <c r="AJ14" s="1322"/>
      <c r="AK14" s="1322"/>
      <c r="AL14" s="1322"/>
      <c r="AM14" s="1322"/>
      <c r="AN14" s="1322"/>
      <c r="AO14" s="1322"/>
      <c r="AP14" s="1322"/>
      <c r="AQ14" s="1322"/>
      <c r="AR14" s="1322"/>
      <c r="AS14" s="1322"/>
      <c r="AT14" s="1322"/>
      <c r="AU14" s="1322"/>
      <c r="AV14" s="1322"/>
      <c r="AW14" s="1322"/>
      <c r="AX14" s="1322"/>
      <c r="AY14" s="1322"/>
      <c r="AZ14" s="1322"/>
    </row>
    <row r="15" spans="1:52" ht="18" customHeight="1" x14ac:dyDescent="0.25">
      <c r="A15" s="1327" t="s">
        <v>1238</v>
      </c>
      <c r="B15" s="1327"/>
      <c r="C15" s="1336">
        <f>Finanzierungsplan!C26+Finanzierungsplan!C27</f>
        <v>0</v>
      </c>
      <c r="D15" s="1338" t="str">
        <f ca="1">IF($C$12=0,"",C15/$C$12)</f>
        <v/>
      </c>
      <c r="E15" s="1324"/>
      <c r="F15" s="1324"/>
      <c r="G15" s="1324"/>
      <c r="H15" s="1324"/>
      <c r="I15" s="1322"/>
      <c r="J15" s="1322"/>
      <c r="K15" s="1322"/>
      <c r="L15" s="1322"/>
      <c r="M15" s="1322"/>
      <c r="N15" s="1322"/>
      <c r="O15" s="1322"/>
      <c r="P15" s="1322"/>
      <c r="Q15" s="1322"/>
      <c r="R15" s="1322"/>
      <c r="S15" s="1322"/>
      <c r="T15" s="1322"/>
      <c r="U15" s="1322"/>
      <c r="V15" s="1322"/>
      <c r="W15" s="1322"/>
      <c r="X15" s="1322"/>
      <c r="Y15" s="1322"/>
      <c r="Z15" s="1322"/>
      <c r="AA15" s="1322"/>
      <c r="AB15" s="1322"/>
      <c r="AC15" s="1322"/>
      <c r="AD15" s="1322"/>
      <c r="AE15" s="1322"/>
      <c r="AF15" s="1322"/>
      <c r="AG15" s="1322"/>
      <c r="AH15" s="1322"/>
      <c r="AI15" s="1322"/>
      <c r="AJ15" s="1322"/>
      <c r="AK15" s="1322"/>
      <c r="AL15" s="1322"/>
      <c r="AM15" s="1322"/>
      <c r="AN15" s="1322"/>
      <c r="AO15" s="1322"/>
      <c r="AP15" s="1322"/>
      <c r="AQ15" s="1322"/>
      <c r="AR15" s="1322"/>
      <c r="AS15" s="1322"/>
      <c r="AT15" s="1322"/>
      <c r="AU15" s="1322"/>
      <c r="AV15" s="1322"/>
      <c r="AW15" s="1322"/>
      <c r="AX15" s="1322"/>
      <c r="AY15" s="1322"/>
      <c r="AZ15" s="1322"/>
    </row>
    <row r="16" spans="1:52" ht="18" customHeight="1" x14ac:dyDescent="0.25">
      <c r="A16" s="1327" t="s">
        <v>1237</v>
      </c>
      <c r="B16" s="1327"/>
      <c r="C16" s="1336">
        <f>Finanzierungsplan!D31</f>
        <v>0</v>
      </c>
      <c r="D16" s="1339" t="str">
        <f ca="1">IF($C$12=0,"",C16/$C$12)</f>
        <v/>
      </c>
      <c r="E16" s="1324"/>
      <c r="F16" s="1324"/>
      <c r="G16" s="1324"/>
      <c r="H16" s="1324"/>
      <c r="I16" s="1322"/>
      <c r="J16" s="1322"/>
      <c r="K16" s="1322"/>
      <c r="L16" s="1322"/>
      <c r="M16" s="1322"/>
      <c r="N16" s="1322"/>
      <c r="O16" s="1322"/>
      <c r="P16" s="1322"/>
      <c r="Q16" s="1322"/>
      <c r="R16" s="1322"/>
      <c r="S16" s="1322"/>
      <c r="T16" s="1322"/>
      <c r="U16" s="1322"/>
      <c r="V16" s="1322"/>
      <c r="W16" s="1322"/>
      <c r="X16" s="1322"/>
      <c r="Y16" s="1322"/>
      <c r="Z16" s="1322"/>
      <c r="AA16" s="1322"/>
      <c r="AB16" s="1322"/>
      <c r="AC16" s="1322"/>
      <c r="AD16" s="1322"/>
      <c r="AE16" s="1322"/>
      <c r="AF16" s="1322"/>
      <c r="AG16" s="1322"/>
      <c r="AH16" s="1322"/>
      <c r="AI16" s="1322"/>
      <c r="AJ16" s="1322"/>
      <c r="AK16" s="1322"/>
      <c r="AL16" s="1322"/>
      <c r="AM16" s="1322"/>
      <c r="AN16" s="1322"/>
      <c r="AO16" s="1322"/>
      <c r="AP16" s="1322"/>
      <c r="AQ16" s="1322"/>
      <c r="AR16" s="1322"/>
      <c r="AS16" s="1322"/>
      <c r="AT16" s="1322"/>
      <c r="AU16" s="1322"/>
      <c r="AV16" s="1322"/>
      <c r="AW16" s="1322"/>
      <c r="AX16" s="1322"/>
      <c r="AY16" s="1322"/>
      <c r="AZ16" s="1322"/>
    </row>
    <row r="17" spans="1:52" ht="18" customHeight="1" x14ac:dyDescent="0.25">
      <c r="A17" s="1327" t="s">
        <v>1236</v>
      </c>
      <c r="B17" s="1327"/>
      <c r="C17" s="1336">
        <f ca="1">Finanzierungsplan!D5</f>
        <v>0</v>
      </c>
      <c r="D17" s="1335"/>
      <c r="E17" s="1324"/>
      <c r="F17" s="1324"/>
      <c r="G17" s="1324"/>
      <c r="H17" s="1324"/>
      <c r="I17" s="1322"/>
      <c r="J17" s="1322"/>
      <c r="K17" s="1322"/>
      <c r="L17" s="1322"/>
      <c r="M17" s="1322"/>
      <c r="N17" s="1322"/>
      <c r="O17" s="1322"/>
      <c r="P17" s="1322"/>
      <c r="Q17" s="1322"/>
      <c r="R17" s="1322"/>
      <c r="S17" s="1322"/>
      <c r="T17" s="1322"/>
      <c r="U17" s="1322"/>
      <c r="V17" s="1322"/>
      <c r="W17" s="1322"/>
      <c r="X17" s="1322"/>
      <c r="Y17" s="1322"/>
      <c r="Z17" s="1322"/>
      <c r="AA17" s="1322"/>
      <c r="AB17" s="1322"/>
      <c r="AC17" s="1322"/>
      <c r="AD17" s="1322"/>
      <c r="AE17" s="1322"/>
      <c r="AF17" s="1322"/>
      <c r="AG17" s="1322"/>
      <c r="AH17" s="1322"/>
      <c r="AI17" s="1322"/>
      <c r="AJ17" s="1322"/>
      <c r="AK17" s="1322"/>
      <c r="AL17" s="1322"/>
      <c r="AM17" s="1322"/>
      <c r="AN17" s="1322"/>
      <c r="AO17" s="1322"/>
      <c r="AP17" s="1322"/>
      <c r="AQ17" s="1322"/>
      <c r="AR17" s="1322"/>
      <c r="AS17" s="1322"/>
      <c r="AT17" s="1322"/>
      <c r="AU17" s="1322"/>
      <c r="AV17" s="1322"/>
      <c r="AW17" s="1322"/>
      <c r="AX17" s="1322"/>
      <c r="AY17" s="1322"/>
      <c r="AZ17" s="1322"/>
    </row>
    <row r="18" spans="1:52" ht="18" customHeight="1" x14ac:dyDescent="0.25">
      <c r="A18" s="1327"/>
      <c r="B18" s="1327"/>
      <c r="C18" s="1336"/>
      <c r="D18" s="1335"/>
      <c r="E18" s="1324"/>
      <c r="F18" s="1324"/>
      <c r="G18" s="1324"/>
      <c r="H18" s="1324"/>
      <c r="I18" s="1322"/>
      <c r="J18" s="1322"/>
      <c r="K18" s="1322"/>
      <c r="L18" s="1322"/>
      <c r="M18" s="1322"/>
      <c r="N18" s="1322"/>
      <c r="O18" s="1322"/>
      <c r="P18" s="1322"/>
      <c r="Q18" s="1322"/>
      <c r="R18" s="1322"/>
      <c r="S18" s="1322"/>
      <c r="T18" s="1322"/>
      <c r="U18" s="1322"/>
      <c r="V18" s="1322"/>
      <c r="W18" s="1322"/>
      <c r="X18" s="1322"/>
      <c r="Y18" s="1322"/>
      <c r="Z18" s="1322"/>
      <c r="AA18" s="1322"/>
      <c r="AB18" s="1322"/>
      <c r="AC18" s="1322"/>
      <c r="AD18" s="1322"/>
      <c r="AE18" s="1322"/>
      <c r="AF18" s="1322"/>
      <c r="AG18" s="1322"/>
      <c r="AH18" s="1322"/>
      <c r="AI18" s="1322"/>
      <c r="AJ18" s="1322"/>
      <c r="AK18" s="1322"/>
      <c r="AL18" s="1322"/>
      <c r="AM18" s="1322"/>
      <c r="AN18" s="1322"/>
      <c r="AO18" s="1322"/>
      <c r="AP18" s="1322"/>
      <c r="AQ18" s="1322"/>
      <c r="AR18" s="1322"/>
      <c r="AS18" s="1322"/>
      <c r="AT18" s="1322"/>
      <c r="AU18" s="1322"/>
      <c r="AV18" s="1322"/>
      <c r="AW18" s="1322"/>
      <c r="AX18" s="1322"/>
      <c r="AY18" s="1322"/>
      <c r="AZ18" s="1322"/>
    </row>
    <row r="19" spans="1:52" ht="18" customHeight="1" x14ac:dyDescent="0.25">
      <c r="A19" s="1333" t="s">
        <v>1235</v>
      </c>
      <c r="B19" s="1344" t="str">
        <f ca="1">D13</f>
        <v/>
      </c>
      <c r="C19" s="1334" t="str">
        <f ca="1">IF(B19="","",C9*B19)</f>
        <v/>
      </c>
      <c r="D19" s="1335"/>
      <c r="E19" s="1324"/>
      <c r="F19" s="1324"/>
      <c r="G19" s="1324"/>
      <c r="H19" s="1324"/>
      <c r="I19" s="1322"/>
      <c r="J19" s="1322"/>
      <c r="K19" s="1322"/>
      <c r="L19" s="1322"/>
      <c r="M19" s="1322"/>
      <c r="N19" s="1322"/>
      <c r="O19" s="1322"/>
      <c r="P19" s="1322"/>
      <c r="Q19" s="1322"/>
      <c r="R19" s="1322"/>
      <c r="S19" s="1322"/>
      <c r="T19" s="1322"/>
      <c r="U19" s="1322"/>
      <c r="V19" s="1322"/>
      <c r="W19" s="1322"/>
      <c r="X19" s="1322"/>
      <c r="Y19" s="1322"/>
      <c r="Z19" s="1322"/>
      <c r="AA19" s="1322"/>
      <c r="AB19" s="1322"/>
      <c r="AC19" s="1322"/>
      <c r="AD19" s="1322"/>
      <c r="AE19" s="1322"/>
      <c r="AF19" s="1322"/>
      <c r="AG19" s="1322"/>
      <c r="AH19" s="1322"/>
      <c r="AI19" s="1322"/>
      <c r="AJ19" s="1322"/>
      <c r="AK19" s="1322"/>
      <c r="AL19" s="1322"/>
      <c r="AM19" s="1322"/>
      <c r="AN19" s="1322"/>
      <c r="AO19" s="1322"/>
      <c r="AP19" s="1322"/>
      <c r="AQ19" s="1322"/>
      <c r="AR19" s="1322"/>
      <c r="AS19" s="1322"/>
      <c r="AT19" s="1322"/>
      <c r="AU19" s="1322"/>
      <c r="AV19" s="1322"/>
      <c r="AW19" s="1322"/>
      <c r="AX19" s="1322"/>
      <c r="AY19" s="1322"/>
      <c r="AZ19" s="1322"/>
    </row>
    <row r="20" spans="1:52" ht="18" customHeight="1" x14ac:dyDescent="0.25">
      <c r="A20" s="1327"/>
      <c r="B20" s="1327"/>
      <c r="C20" s="1336"/>
      <c r="D20" s="1335"/>
      <c r="E20" s="1324"/>
      <c r="F20" s="1324"/>
      <c r="G20" s="1324"/>
      <c r="H20" s="1324"/>
      <c r="I20" s="1322"/>
      <c r="J20" s="1322"/>
      <c r="K20" s="1322"/>
      <c r="L20" s="1322"/>
      <c r="M20" s="1322"/>
      <c r="N20" s="1322"/>
      <c r="O20" s="1322"/>
      <c r="P20" s="1322"/>
      <c r="Q20" s="1322"/>
      <c r="R20" s="1322"/>
      <c r="S20" s="1322"/>
      <c r="T20" s="1322"/>
      <c r="U20" s="1322"/>
      <c r="V20" s="1322"/>
      <c r="W20" s="1322"/>
      <c r="X20" s="1322"/>
      <c r="Y20" s="1322"/>
      <c r="Z20" s="1322"/>
      <c r="AA20" s="1322"/>
      <c r="AB20" s="1322"/>
      <c r="AC20" s="1322"/>
      <c r="AD20" s="1322"/>
      <c r="AE20" s="1322"/>
      <c r="AF20" s="1322"/>
      <c r="AG20" s="1322"/>
      <c r="AH20" s="1322"/>
      <c r="AI20" s="1322"/>
      <c r="AJ20" s="1322"/>
      <c r="AK20" s="1322"/>
      <c r="AL20" s="1322"/>
      <c r="AM20" s="1322"/>
      <c r="AN20" s="1322"/>
      <c r="AO20" s="1322"/>
      <c r="AP20" s="1322"/>
      <c r="AQ20" s="1322"/>
      <c r="AR20" s="1322"/>
      <c r="AS20" s="1322"/>
      <c r="AT20" s="1322"/>
      <c r="AU20" s="1322"/>
      <c r="AV20" s="1322"/>
      <c r="AW20" s="1322"/>
      <c r="AX20" s="1322"/>
      <c r="AY20" s="1322"/>
      <c r="AZ20" s="1322"/>
    </row>
    <row r="21" spans="1:52" s="1356" customFormat="1" ht="18" customHeight="1" x14ac:dyDescent="0.2">
      <c r="A21" s="1403"/>
      <c r="B21" s="1403"/>
      <c r="C21" s="1341"/>
      <c r="D21" s="1351" t="str">
        <f ca="1">IF(D14="","",D14/2)</f>
        <v/>
      </c>
      <c r="E21" s="1352" t="str">
        <f ca="1">D15</f>
        <v/>
      </c>
      <c r="F21" s="1353" t="str">
        <f ca="1">IF(D16="","",D16/2)</f>
        <v/>
      </c>
      <c r="G21" s="1354"/>
      <c r="H21" s="1354"/>
      <c r="I21" s="1355"/>
      <c r="J21" s="1355"/>
      <c r="K21" s="1355"/>
      <c r="L21" s="1355"/>
      <c r="M21" s="1355"/>
      <c r="N21" s="1355"/>
      <c r="O21" s="1355"/>
      <c r="P21" s="1355"/>
      <c r="Q21" s="1355"/>
      <c r="R21" s="1355"/>
      <c r="S21" s="1355"/>
      <c r="T21" s="1355"/>
      <c r="U21" s="1355"/>
      <c r="V21" s="1355"/>
      <c r="W21" s="1355"/>
      <c r="X21" s="1355"/>
      <c r="Y21" s="1355"/>
      <c r="Z21" s="1355"/>
      <c r="AA21" s="1355"/>
      <c r="AB21" s="1355"/>
      <c r="AC21" s="1355"/>
      <c r="AD21" s="1355"/>
      <c r="AE21" s="1355"/>
      <c r="AF21" s="1355"/>
      <c r="AG21" s="1355"/>
      <c r="AH21" s="1355"/>
      <c r="AI21" s="1355"/>
      <c r="AJ21" s="1355"/>
      <c r="AK21" s="1355"/>
      <c r="AL21" s="1355"/>
      <c r="AM21" s="1355"/>
      <c r="AN21" s="1355"/>
      <c r="AO21" s="1355"/>
      <c r="AP21" s="1355"/>
      <c r="AQ21" s="1355"/>
      <c r="AR21" s="1355"/>
      <c r="AS21" s="1355"/>
      <c r="AT21" s="1355"/>
      <c r="AU21" s="1355"/>
      <c r="AV21" s="1355"/>
      <c r="AW21" s="1355"/>
      <c r="AX21" s="1355"/>
      <c r="AY21" s="1355"/>
      <c r="AZ21" s="1355"/>
    </row>
    <row r="22" spans="1:52" ht="21" customHeight="1" x14ac:dyDescent="0.25">
      <c r="A22" s="1402" t="s">
        <v>1234</v>
      </c>
      <c r="B22" s="1402"/>
      <c r="C22" s="1341"/>
      <c r="D22" s="1350" t="s">
        <v>1233</v>
      </c>
      <c r="E22" s="1350" t="s">
        <v>1060</v>
      </c>
      <c r="F22" s="1350" t="s">
        <v>209</v>
      </c>
      <c r="G22" s="1350" t="s">
        <v>117</v>
      </c>
      <c r="H22" s="1350" t="s">
        <v>196</v>
      </c>
      <c r="I22" s="1322"/>
      <c r="J22" s="1322"/>
      <c r="K22" s="1322"/>
      <c r="L22" s="1322"/>
      <c r="M22" s="1322"/>
      <c r="N22" s="1322"/>
      <c r="O22" s="1322"/>
      <c r="P22" s="1322"/>
      <c r="Q22" s="1322"/>
      <c r="R22" s="1322"/>
      <c r="S22" s="1322"/>
      <c r="T22" s="1322"/>
      <c r="U22" s="1322"/>
      <c r="V22" s="1322"/>
      <c r="W22" s="1322"/>
      <c r="X22" s="1322"/>
      <c r="Y22" s="1322"/>
      <c r="Z22" s="1322"/>
      <c r="AA22" s="1322"/>
      <c r="AB22" s="1322"/>
      <c r="AC22" s="1322"/>
      <c r="AD22" s="1322"/>
      <c r="AE22" s="1322"/>
      <c r="AF22" s="1322"/>
      <c r="AG22" s="1322"/>
      <c r="AH22" s="1322"/>
      <c r="AI22" s="1322"/>
      <c r="AJ22" s="1322"/>
      <c r="AK22" s="1322"/>
      <c r="AL22" s="1322"/>
      <c r="AM22" s="1322"/>
      <c r="AN22" s="1322"/>
      <c r="AO22" s="1322"/>
      <c r="AP22" s="1322"/>
      <c r="AQ22" s="1322"/>
      <c r="AR22" s="1322"/>
      <c r="AS22" s="1322"/>
      <c r="AT22" s="1322"/>
      <c r="AU22" s="1322"/>
      <c r="AV22" s="1322"/>
      <c r="AW22" s="1322"/>
      <c r="AX22" s="1322"/>
      <c r="AY22" s="1322"/>
      <c r="AZ22" s="1322"/>
    </row>
    <row r="23" spans="1:52" ht="18" customHeight="1" x14ac:dyDescent="0.25">
      <c r="A23" s="1401" t="s">
        <v>1232</v>
      </c>
      <c r="B23" s="1401"/>
      <c r="C23" s="1342">
        <f ca="1">IF(C19&lt;C17,C19,C17)</f>
        <v>0</v>
      </c>
      <c r="D23" s="1342">
        <v>0</v>
      </c>
      <c r="E23" s="1342">
        <v>0</v>
      </c>
      <c r="F23" s="1342">
        <v>0</v>
      </c>
      <c r="G23" s="1342">
        <f ca="1">C23-SUM(D23:F23)</f>
        <v>0</v>
      </c>
      <c r="H23" s="1340"/>
      <c r="I23" s="1322"/>
      <c r="J23" s="1322"/>
      <c r="K23" s="1322"/>
      <c r="L23" s="1322"/>
      <c r="M23" s="1322"/>
      <c r="N23" s="1322"/>
      <c r="O23" s="1322"/>
      <c r="P23" s="1322"/>
      <c r="Q23" s="1322"/>
      <c r="R23" s="1322"/>
      <c r="S23" s="1322"/>
      <c r="T23" s="1322"/>
      <c r="U23" s="1322"/>
      <c r="V23" s="1322"/>
      <c r="W23" s="1322"/>
      <c r="X23" s="1322"/>
      <c r="Y23" s="1322"/>
      <c r="Z23" s="1322"/>
      <c r="AA23" s="1322"/>
      <c r="AB23" s="1322"/>
      <c r="AC23" s="1322"/>
      <c r="AD23" s="1322"/>
      <c r="AE23" s="1322"/>
      <c r="AF23" s="1322"/>
      <c r="AG23" s="1322"/>
      <c r="AH23" s="1322"/>
      <c r="AI23" s="1322"/>
      <c r="AJ23" s="1322"/>
      <c r="AK23" s="1322"/>
      <c r="AL23" s="1322"/>
      <c r="AM23" s="1322"/>
      <c r="AN23" s="1322"/>
      <c r="AO23" s="1322"/>
      <c r="AP23" s="1322"/>
      <c r="AQ23" s="1322"/>
      <c r="AR23" s="1322"/>
      <c r="AS23" s="1322"/>
      <c r="AT23" s="1322"/>
      <c r="AU23" s="1322"/>
      <c r="AV23" s="1322"/>
      <c r="AW23" s="1322"/>
      <c r="AX23" s="1322"/>
      <c r="AY23" s="1322"/>
      <c r="AZ23" s="1322"/>
    </row>
    <row r="24" spans="1:52" ht="18" customHeight="1" x14ac:dyDescent="0.25">
      <c r="A24" s="1401" t="s">
        <v>1231</v>
      </c>
      <c r="B24" s="1401"/>
      <c r="C24" s="1342">
        <f ca="1">IF(C19="",0,IF((C19-C23)&gt;C13*7.5%,C13*7.5%,(C19-C23)))</f>
        <v>0</v>
      </c>
      <c r="D24" s="1342">
        <f ca="1">IF(D21="",0,D21*C24)</f>
        <v>0</v>
      </c>
      <c r="E24" s="1342">
        <f ca="1">IF(E21="",0,C24*E21)</f>
        <v>0</v>
      </c>
      <c r="F24" s="1342">
        <v>0</v>
      </c>
      <c r="G24" s="1342">
        <f ca="1">C24-SUM(D24:F24)</f>
        <v>0</v>
      </c>
      <c r="H24" s="1340"/>
      <c r="I24" s="1322"/>
      <c r="J24" s="1322"/>
      <c r="K24" s="1322"/>
      <c r="L24" s="1322"/>
      <c r="M24" s="1322"/>
      <c r="N24" s="1322"/>
      <c r="O24" s="1322"/>
      <c r="P24" s="1322"/>
      <c r="Q24" s="1322"/>
      <c r="R24" s="1322"/>
      <c r="S24" s="1322"/>
      <c r="T24" s="1322"/>
      <c r="U24" s="1322"/>
      <c r="V24" s="1322"/>
      <c r="W24" s="1322"/>
      <c r="X24" s="1322"/>
      <c r="Y24" s="1322"/>
      <c r="Z24" s="1322"/>
      <c r="AA24" s="1322"/>
      <c r="AB24" s="1322"/>
      <c r="AC24" s="1322"/>
      <c r="AD24" s="1322"/>
      <c r="AE24" s="1322"/>
      <c r="AF24" s="1322"/>
      <c r="AG24" s="1322"/>
      <c r="AH24" s="1322"/>
      <c r="AI24" s="1322"/>
      <c r="AJ24" s="1322"/>
      <c r="AK24" s="1322"/>
      <c r="AL24" s="1322"/>
      <c r="AM24" s="1322"/>
      <c r="AN24" s="1322"/>
      <c r="AO24" s="1322"/>
      <c r="AP24" s="1322"/>
      <c r="AQ24" s="1322"/>
      <c r="AR24" s="1322"/>
      <c r="AS24" s="1322"/>
      <c r="AT24" s="1322"/>
      <c r="AU24" s="1322"/>
      <c r="AV24" s="1322"/>
      <c r="AW24" s="1322"/>
      <c r="AX24" s="1322"/>
      <c r="AY24" s="1322"/>
      <c r="AZ24" s="1322"/>
    </row>
    <row r="25" spans="1:52" ht="18" customHeight="1" x14ac:dyDescent="0.25">
      <c r="A25" s="1401" t="s">
        <v>1230</v>
      </c>
      <c r="B25" s="1401"/>
      <c r="C25" s="1342">
        <f ca="1">IF(C19="",0,C19-C24-C23)</f>
        <v>0</v>
      </c>
      <c r="D25" s="1342">
        <f ca="1">IF(D21="",0,IF(C25*D21&gt;C14-D24,C14-D24,C25*D21))</f>
        <v>0</v>
      </c>
      <c r="E25" s="1342">
        <f ca="1">IF(E21="",0,IF(C25*E21&gt;C15-E24,C15-E24,C25*E21))</f>
        <v>0</v>
      </c>
      <c r="F25" s="1342">
        <f ca="1">IF(F21="",0,C25*F21)</f>
        <v>0</v>
      </c>
      <c r="G25" s="1342">
        <f ca="1">C25-SUM(D25:F25)</f>
        <v>0</v>
      </c>
      <c r="H25" s="1340"/>
      <c r="I25" s="1322"/>
      <c r="J25" s="1322"/>
      <c r="K25" s="1322"/>
      <c r="L25" s="1322"/>
      <c r="M25" s="1322"/>
      <c r="N25" s="1322"/>
      <c r="O25" s="1322"/>
      <c r="P25" s="1322"/>
      <c r="Q25" s="1322"/>
      <c r="R25" s="1322"/>
      <c r="S25" s="1322"/>
      <c r="T25" s="1322"/>
      <c r="U25" s="1322"/>
      <c r="V25" s="1322"/>
      <c r="W25" s="1322"/>
      <c r="X25" s="1322"/>
      <c r="Y25" s="1322"/>
      <c r="Z25" s="1322"/>
      <c r="AA25" s="1322"/>
      <c r="AB25" s="1322"/>
      <c r="AC25" s="1322"/>
      <c r="AD25" s="1322"/>
      <c r="AE25" s="1322"/>
      <c r="AF25" s="1322"/>
      <c r="AG25" s="1322"/>
      <c r="AH25" s="1322"/>
      <c r="AI25" s="1322"/>
      <c r="AJ25" s="1322"/>
      <c r="AK25" s="1322"/>
      <c r="AL25" s="1322"/>
      <c r="AM25" s="1322"/>
      <c r="AN25" s="1322"/>
      <c r="AO25" s="1322"/>
      <c r="AP25" s="1322"/>
      <c r="AQ25" s="1322"/>
      <c r="AR25" s="1322"/>
      <c r="AS25" s="1322"/>
      <c r="AT25" s="1322"/>
      <c r="AU25" s="1322"/>
      <c r="AV25" s="1322"/>
      <c r="AW25" s="1322"/>
      <c r="AX25" s="1322"/>
      <c r="AY25" s="1322"/>
      <c r="AZ25" s="1322"/>
    </row>
    <row r="26" spans="1:52" ht="21" customHeight="1" x14ac:dyDescent="0.25">
      <c r="A26" s="1348" t="s">
        <v>152</v>
      </c>
      <c r="B26" s="1347"/>
      <c r="C26" s="1349">
        <f ca="1">SUM(C23:C25)</f>
        <v>0</v>
      </c>
      <c r="D26" s="1349">
        <f ca="1">SUM(D23:D25)</f>
        <v>0</v>
      </c>
      <c r="E26" s="1349">
        <f ca="1">SUM(E23:E25)</f>
        <v>0</v>
      </c>
      <c r="F26" s="1349">
        <f ca="1">SUM(F23:F25)</f>
        <v>0</v>
      </c>
      <c r="G26" s="1349">
        <f ca="1">SUM(G23:G25)</f>
        <v>0</v>
      </c>
      <c r="H26" s="1349">
        <f ca="1">SUM(D26:G26)</f>
        <v>0</v>
      </c>
      <c r="I26" s="1322"/>
      <c r="J26" s="1322"/>
      <c r="K26" s="1322"/>
      <c r="L26" s="1322"/>
      <c r="M26" s="1322"/>
      <c r="N26" s="1322"/>
      <c r="O26" s="1322"/>
      <c r="P26" s="1322"/>
      <c r="Q26" s="1322"/>
      <c r="R26" s="1322"/>
      <c r="S26" s="1322"/>
      <c r="T26" s="1322"/>
      <c r="U26" s="1322"/>
      <c r="V26" s="1322"/>
      <c r="W26" s="1322"/>
      <c r="X26" s="1322"/>
      <c r="Y26" s="1322"/>
      <c r="Z26" s="1322"/>
      <c r="AA26" s="1322"/>
      <c r="AB26" s="1322"/>
      <c r="AC26" s="1322"/>
      <c r="AD26" s="1322"/>
      <c r="AE26" s="1322"/>
      <c r="AF26" s="1322"/>
      <c r="AG26" s="1322"/>
      <c r="AH26" s="1322"/>
      <c r="AI26" s="1322"/>
      <c r="AJ26" s="1322"/>
      <c r="AK26" s="1322"/>
      <c r="AL26" s="1322"/>
      <c r="AM26" s="1322"/>
      <c r="AN26" s="1322"/>
      <c r="AO26" s="1322"/>
      <c r="AP26" s="1322"/>
      <c r="AQ26" s="1322"/>
      <c r="AR26" s="1322"/>
      <c r="AS26" s="1322"/>
      <c r="AT26" s="1322"/>
      <c r="AU26" s="1322"/>
      <c r="AV26" s="1322"/>
      <c r="AW26" s="1322"/>
      <c r="AX26" s="1322"/>
      <c r="AY26" s="1322"/>
      <c r="AZ26" s="1322"/>
    </row>
    <row r="27" spans="1:52" ht="15.75" x14ac:dyDescent="0.25">
      <c r="A27" s="1324"/>
      <c r="B27" s="1324"/>
      <c r="C27" s="1326"/>
      <c r="D27" s="1326"/>
      <c r="E27" s="1326"/>
      <c r="F27" s="1326"/>
      <c r="G27" s="1326"/>
      <c r="H27" s="1324"/>
      <c r="I27" s="1322"/>
      <c r="J27" s="1322"/>
      <c r="K27" s="1322"/>
      <c r="L27" s="1322"/>
      <c r="M27" s="1322"/>
      <c r="N27" s="1322"/>
      <c r="O27" s="1322"/>
      <c r="P27" s="1322"/>
      <c r="Q27" s="1322"/>
      <c r="R27" s="1322"/>
      <c r="S27" s="1322"/>
      <c r="T27" s="1322"/>
      <c r="U27" s="1322"/>
      <c r="V27" s="1322"/>
      <c r="W27" s="1322"/>
      <c r="X27" s="1322"/>
      <c r="Y27" s="1322"/>
      <c r="Z27" s="1322"/>
      <c r="AA27" s="1322"/>
      <c r="AB27" s="1322"/>
      <c r="AC27" s="1322"/>
      <c r="AD27" s="1322"/>
      <c r="AE27" s="1322"/>
      <c r="AF27" s="1322"/>
      <c r="AG27" s="1322"/>
      <c r="AH27" s="1322"/>
      <c r="AI27" s="1322"/>
      <c r="AJ27" s="1322"/>
      <c r="AK27" s="1322"/>
      <c r="AL27" s="1322"/>
      <c r="AM27" s="1322"/>
      <c r="AN27" s="1322"/>
      <c r="AO27" s="1322"/>
      <c r="AP27" s="1322"/>
      <c r="AQ27" s="1322"/>
      <c r="AR27" s="1322"/>
      <c r="AS27" s="1322"/>
      <c r="AT27" s="1322"/>
      <c r="AU27" s="1322"/>
      <c r="AV27" s="1322"/>
      <c r="AW27" s="1322"/>
      <c r="AX27" s="1322"/>
      <c r="AY27" s="1322"/>
      <c r="AZ27" s="1322"/>
    </row>
    <row r="28" spans="1:52" ht="15.75" x14ac:dyDescent="0.25">
      <c r="A28" s="1324"/>
      <c r="B28" s="1324"/>
      <c r="C28" s="1326"/>
      <c r="D28" s="1326"/>
      <c r="E28" s="1326"/>
      <c r="F28" s="1326"/>
      <c r="G28" s="1326"/>
      <c r="H28" s="1324"/>
      <c r="I28" s="1322"/>
      <c r="J28" s="1322"/>
      <c r="K28" s="1322"/>
      <c r="L28" s="1322"/>
      <c r="M28" s="1322"/>
      <c r="N28" s="1322"/>
      <c r="O28" s="1322"/>
      <c r="P28" s="1322"/>
      <c r="Q28" s="1322"/>
      <c r="R28" s="1322"/>
      <c r="S28" s="1322"/>
      <c r="T28" s="1322"/>
      <c r="U28" s="1322"/>
      <c r="V28" s="1322"/>
      <c r="W28" s="1322"/>
      <c r="X28" s="1322"/>
      <c r="Y28" s="1322"/>
      <c r="Z28" s="1322"/>
      <c r="AA28" s="1322"/>
      <c r="AB28" s="1322"/>
      <c r="AC28" s="1322"/>
      <c r="AD28" s="1322"/>
      <c r="AE28" s="1322"/>
      <c r="AF28" s="1322"/>
      <c r="AG28" s="1322"/>
      <c r="AH28" s="1322"/>
      <c r="AI28" s="1322"/>
      <c r="AJ28" s="1322"/>
      <c r="AK28" s="1322"/>
      <c r="AL28" s="1322"/>
      <c r="AM28" s="1322"/>
      <c r="AN28" s="1322"/>
      <c r="AO28" s="1322"/>
      <c r="AP28" s="1322"/>
      <c r="AQ28" s="1322"/>
      <c r="AR28" s="1322"/>
      <c r="AS28" s="1322"/>
      <c r="AT28" s="1322"/>
      <c r="AU28" s="1322"/>
      <c r="AV28" s="1322"/>
      <c r="AW28" s="1322"/>
      <c r="AX28" s="1322"/>
      <c r="AY28" s="1322"/>
      <c r="AZ28" s="1322"/>
    </row>
    <row r="29" spans="1:52" x14ac:dyDescent="0.25">
      <c r="A29" s="1324"/>
      <c r="B29" s="1324"/>
      <c r="C29" s="1343"/>
      <c r="D29" s="1357"/>
      <c r="E29" s="1324"/>
      <c r="F29" s="1324"/>
      <c r="G29" s="1324"/>
      <c r="H29" s="1324"/>
      <c r="I29" s="1322"/>
      <c r="J29" s="1322"/>
      <c r="K29" s="1322"/>
      <c r="L29" s="1322"/>
      <c r="M29" s="1322"/>
      <c r="N29" s="1322"/>
      <c r="O29" s="1322"/>
      <c r="P29" s="1322"/>
      <c r="Q29" s="1322"/>
      <c r="R29" s="1322"/>
      <c r="S29" s="1322"/>
      <c r="T29" s="1322"/>
      <c r="U29" s="1322"/>
      <c r="V29" s="1322"/>
      <c r="W29" s="1322"/>
      <c r="X29" s="1322"/>
      <c r="Y29" s="1322"/>
      <c r="Z29" s="1322"/>
      <c r="AA29" s="1322"/>
      <c r="AB29" s="1322"/>
      <c r="AC29" s="1322"/>
      <c r="AD29" s="1322"/>
      <c r="AE29" s="1322"/>
      <c r="AF29" s="1322"/>
      <c r="AG29" s="1322"/>
      <c r="AH29" s="1322"/>
      <c r="AI29" s="1322"/>
      <c r="AJ29" s="1322"/>
      <c r="AK29" s="1322"/>
      <c r="AL29" s="1322"/>
      <c r="AM29" s="1322"/>
      <c r="AN29" s="1322"/>
      <c r="AO29" s="1322"/>
      <c r="AP29" s="1322"/>
      <c r="AQ29" s="1322"/>
      <c r="AR29" s="1322"/>
      <c r="AS29" s="1322"/>
      <c r="AT29" s="1322"/>
      <c r="AU29" s="1322"/>
      <c r="AV29" s="1322"/>
      <c r="AW29" s="1322"/>
      <c r="AX29" s="1322"/>
      <c r="AY29" s="1322"/>
      <c r="AZ29" s="1322"/>
    </row>
    <row r="30" spans="1:52" x14ac:dyDescent="0.25">
      <c r="A30" s="1322"/>
      <c r="B30" s="1322"/>
      <c r="C30" s="1322"/>
      <c r="D30" s="1322"/>
      <c r="E30" s="1322"/>
      <c r="F30" s="1322"/>
      <c r="G30" s="1322"/>
      <c r="H30" s="1322"/>
      <c r="I30" s="1322"/>
      <c r="J30" s="1322"/>
      <c r="K30" s="1322"/>
      <c r="L30" s="1322"/>
      <c r="M30" s="1322"/>
      <c r="N30" s="1322"/>
      <c r="O30" s="1322"/>
      <c r="P30" s="1322"/>
      <c r="Q30" s="1322"/>
      <c r="R30" s="1322"/>
      <c r="S30" s="1322"/>
      <c r="T30" s="1322"/>
      <c r="U30" s="1322"/>
      <c r="V30" s="1322"/>
      <c r="W30" s="1322"/>
      <c r="X30" s="1322"/>
      <c r="Y30" s="1322"/>
      <c r="Z30" s="1322"/>
      <c r="AA30" s="1322"/>
      <c r="AB30" s="1322"/>
      <c r="AC30" s="1322"/>
      <c r="AD30" s="1322"/>
      <c r="AE30" s="1322"/>
      <c r="AF30" s="1322"/>
      <c r="AG30" s="1322"/>
      <c r="AH30" s="1322"/>
      <c r="AI30" s="1322"/>
      <c r="AJ30" s="1322"/>
      <c r="AK30" s="1322"/>
      <c r="AL30" s="1322"/>
      <c r="AM30" s="1322"/>
      <c r="AN30" s="1322"/>
      <c r="AO30" s="1322"/>
      <c r="AP30" s="1322"/>
      <c r="AQ30" s="1322"/>
      <c r="AR30" s="1322"/>
      <c r="AS30" s="1322"/>
      <c r="AT30" s="1322"/>
      <c r="AU30" s="1322"/>
      <c r="AV30" s="1322"/>
      <c r="AW30" s="1322"/>
      <c r="AX30" s="1322"/>
      <c r="AY30" s="1322"/>
      <c r="AZ30" s="1322"/>
    </row>
    <row r="31" spans="1:52" x14ac:dyDescent="0.25">
      <c r="A31" s="1322"/>
      <c r="B31" s="1322"/>
      <c r="C31" s="1322"/>
      <c r="D31" s="1322"/>
      <c r="E31" s="1322"/>
      <c r="F31" s="1322"/>
      <c r="G31" s="1322"/>
      <c r="H31" s="1322"/>
      <c r="I31" s="1322"/>
      <c r="J31" s="1322"/>
      <c r="K31" s="1322"/>
      <c r="L31" s="1322"/>
      <c r="M31" s="1322"/>
      <c r="N31" s="1322"/>
      <c r="O31" s="1322"/>
      <c r="P31" s="1322"/>
      <c r="Q31" s="1322"/>
      <c r="R31" s="1322"/>
      <c r="S31" s="1322"/>
      <c r="T31" s="1322"/>
      <c r="U31" s="1322"/>
      <c r="V31" s="1322"/>
      <c r="W31" s="1322"/>
      <c r="X31" s="1322"/>
      <c r="Y31" s="1322"/>
      <c r="Z31" s="1322"/>
      <c r="AA31" s="1322"/>
      <c r="AB31" s="1322"/>
      <c r="AC31" s="1322"/>
      <c r="AD31" s="1322"/>
      <c r="AE31" s="1322"/>
      <c r="AF31" s="1322"/>
      <c r="AG31" s="1322"/>
      <c r="AH31" s="1322"/>
      <c r="AI31" s="1322"/>
      <c r="AJ31" s="1322"/>
      <c r="AK31" s="1322"/>
      <c r="AL31" s="1322"/>
      <c r="AM31" s="1322"/>
      <c r="AN31" s="1322"/>
      <c r="AO31" s="1322"/>
      <c r="AP31" s="1322"/>
      <c r="AQ31" s="1322"/>
      <c r="AR31" s="1322"/>
      <c r="AS31" s="1322"/>
      <c r="AT31" s="1322"/>
      <c r="AU31" s="1322"/>
      <c r="AV31" s="1322"/>
      <c r="AW31" s="1322"/>
      <c r="AX31" s="1322"/>
      <c r="AY31" s="1322"/>
      <c r="AZ31" s="1322"/>
    </row>
    <row r="32" spans="1:52" x14ac:dyDescent="0.25">
      <c r="A32" s="1322"/>
      <c r="B32" s="1322"/>
      <c r="C32" s="1322"/>
      <c r="D32" s="1322"/>
      <c r="E32" s="1322"/>
      <c r="F32" s="1322"/>
      <c r="G32" s="1322"/>
      <c r="H32" s="1322"/>
      <c r="I32" s="1322"/>
      <c r="J32" s="1322"/>
      <c r="K32" s="1322"/>
      <c r="L32" s="1322"/>
      <c r="M32" s="1322"/>
      <c r="N32" s="1322"/>
      <c r="O32" s="1322"/>
      <c r="P32" s="1322"/>
      <c r="Q32" s="1322"/>
      <c r="R32" s="1322"/>
      <c r="S32" s="1322"/>
      <c r="T32" s="1322"/>
      <c r="U32" s="1322"/>
      <c r="V32" s="1322"/>
      <c r="W32" s="1322"/>
      <c r="X32" s="1322"/>
      <c r="Y32" s="1322"/>
      <c r="Z32" s="1322"/>
      <c r="AA32" s="1322"/>
      <c r="AB32" s="1322"/>
      <c r="AC32" s="1322"/>
      <c r="AD32" s="1322"/>
      <c r="AE32" s="1322"/>
      <c r="AF32" s="1322"/>
      <c r="AG32" s="1322"/>
      <c r="AH32" s="1322"/>
      <c r="AI32" s="1322"/>
      <c r="AJ32" s="1322"/>
      <c r="AK32" s="1322"/>
      <c r="AL32" s="1322"/>
      <c r="AM32" s="1322"/>
      <c r="AN32" s="1322"/>
      <c r="AO32" s="1322"/>
      <c r="AP32" s="1322"/>
      <c r="AQ32" s="1322"/>
      <c r="AR32" s="1322"/>
      <c r="AS32" s="1322"/>
      <c r="AT32" s="1322"/>
      <c r="AU32" s="1322"/>
      <c r="AV32" s="1322"/>
      <c r="AW32" s="1322"/>
      <c r="AX32" s="1322"/>
      <c r="AY32" s="1322"/>
      <c r="AZ32" s="1322"/>
    </row>
    <row r="33" spans="1:52" x14ac:dyDescent="0.25">
      <c r="A33" s="1322"/>
      <c r="B33" s="1322"/>
      <c r="C33" s="1322"/>
      <c r="D33" s="1322"/>
      <c r="E33" s="1322"/>
      <c r="F33" s="1322"/>
      <c r="G33" s="1322"/>
      <c r="H33" s="1322"/>
      <c r="I33" s="1322"/>
      <c r="J33" s="1322"/>
      <c r="K33" s="1322"/>
      <c r="L33" s="1322"/>
      <c r="M33" s="1322"/>
      <c r="N33" s="1322"/>
      <c r="O33" s="1322"/>
      <c r="P33" s="1322"/>
      <c r="Q33" s="1322"/>
      <c r="R33" s="1322"/>
      <c r="S33" s="1322"/>
      <c r="T33" s="1322"/>
      <c r="U33" s="1322"/>
      <c r="V33" s="1322"/>
      <c r="W33" s="1322"/>
      <c r="X33" s="1322"/>
      <c r="Y33" s="1322"/>
      <c r="Z33" s="1322"/>
      <c r="AA33" s="1322"/>
      <c r="AB33" s="1322"/>
      <c r="AC33" s="1322"/>
      <c r="AD33" s="1322"/>
      <c r="AE33" s="1322"/>
      <c r="AF33" s="1322"/>
      <c r="AG33" s="1322"/>
      <c r="AH33" s="1322"/>
      <c r="AI33" s="1322"/>
      <c r="AJ33" s="1322"/>
      <c r="AK33" s="1322"/>
      <c r="AL33" s="1322"/>
      <c r="AM33" s="1322"/>
      <c r="AN33" s="1322"/>
      <c r="AO33" s="1322"/>
      <c r="AP33" s="1322"/>
      <c r="AQ33" s="1322"/>
      <c r="AR33" s="1322"/>
      <c r="AS33" s="1322"/>
      <c r="AT33" s="1322"/>
      <c r="AU33" s="1322"/>
      <c r="AV33" s="1322"/>
      <c r="AW33" s="1322"/>
      <c r="AX33" s="1322"/>
      <c r="AY33" s="1322"/>
      <c r="AZ33" s="1322"/>
    </row>
    <row r="34" spans="1:52" x14ac:dyDescent="0.25">
      <c r="A34" s="1322"/>
      <c r="B34" s="1322"/>
      <c r="C34" s="1322"/>
      <c r="D34" s="1322"/>
      <c r="E34" s="1322"/>
      <c r="F34" s="1322"/>
      <c r="G34" s="1322"/>
      <c r="H34" s="1322"/>
      <c r="I34" s="1322"/>
      <c r="J34" s="1322"/>
      <c r="K34" s="1322"/>
      <c r="L34" s="1322"/>
      <c r="M34" s="1322"/>
      <c r="N34" s="1322"/>
      <c r="O34" s="1322"/>
      <c r="P34" s="1322"/>
      <c r="Q34" s="1322"/>
      <c r="R34" s="1322"/>
      <c r="S34" s="1322"/>
      <c r="T34" s="1322"/>
      <c r="U34" s="1322"/>
      <c r="V34" s="1322"/>
      <c r="W34" s="1322"/>
      <c r="X34" s="1322"/>
      <c r="Y34" s="1322"/>
      <c r="Z34" s="1322"/>
      <c r="AA34" s="1322"/>
      <c r="AB34" s="1322"/>
      <c r="AC34" s="1322"/>
      <c r="AD34" s="1322"/>
      <c r="AE34" s="1322"/>
      <c r="AF34" s="1322"/>
      <c r="AG34" s="1322"/>
      <c r="AH34" s="1322"/>
      <c r="AI34" s="1322"/>
      <c r="AJ34" s="1322"/>
      <c r="AK34" s="1322"/>
      <c r="AL34" s="1322"/>
      <c r="AM34" s="1322"/>
      <c r="AN34" s="1322"/>
      <c r="AO34" s="1322"/>
      <c r="AP34" s="1322"/>
      <c r="AQ34" s="1322"/>
      <c r="AR34" s="1322"/>
      <c r="AS34" s="1322"/>
      <c r="AT34" s="1322"/>
      <c r="AU34" s="1322"/>
      <c r="AV34" s="1322"/>
      <c r="AW34" s="1322"/>
      <c r="AX34" s="1322"/>
      <c r="AY34" s="1322"/>
      <c r="AZ34" s="1322"/>
    </row>
    <row r="35" spans="1:52" x14ac:dyDescent="0.25">
      <c r="A35" s="1322"/>
      <c r="B35" s="1322"/>
      <c r="C35" s="1322"/>
      <c r="D35" s="1322"/>
      <c r="E35" s="1322"/>
      <c r="F35" s="1322"/>
      <c r="G35" s="1322"/>
      <c r="H35" s="1322"/>
      <c r="I35" s="1322"/>
      <c r="J35" s="1322"/>
      <c r="K35" s="1322"/>
      <c r="L35" s="1322"/>
      <c r="M35" s="1322"/>
      <c r="N35" s="1322"/>
      <c r="O35" s="1322"/>
      <c r="P35" s="1322"/>
      <c r="Q35" s="1322"/>
      <c r="R35" s="1322"/>
      <c r="S35" s="1322"/>
      <c r="T35" s="1322"/>
      <c r="U35" s="1322"/>
      <c r="V35" s="1322"/>
      <c r="W35" s="1322"/>
      <c r="X35" s="1322"/>
      <c r="Y35" s="1322"/>
      <c r="Z35" s="1322"/>
      <c r="AA35" s="1322"/>
      <c r="AB35" s="1322"/>
      <c r="AC35" s="1322"/>
      <c r="AD35" s="1322"/>
      <c r="AE35" s="1322"/>
      <c r="AF35" s="1322"/>
      <c r="AG35" s="1322"/>
      <c r="AH35" s="1322"/>
      <c r="AI35" s="1322"/>
      <c r="AJ35" s="1322"/>
      <c r="AK35" s="1322"/>
      <c r="AL35" s="1322"/>
      <c r="AM35" s="1322"/>
      <c r="AN35" s="1322"/>
      <c r="AO35" s="1322"/>
      <c r="AP35" s="1322"/>
      <c r="AQ35" s="1322"/>
      <c r="AR35" s="1322"/>
      <c r="AS35" s="1322"/>
      <c r="AT35" s="1322"/>
      <c r="AU35" s="1322"/>
      <c r="AV35" s="1322"/>
      <c r="AW35" s="1322"/>
      <c r="AX35" s="1322"/>
      <c r="AY35" s="1322"/>
      <c r="AZ35" s="1322"/>
    </row>
    <row r="36" spans="1:52" x14ac:dyDescent="0.25">
      <c r="A36" s="1322"/>
      <c r="B36" s="1322"/>
      <c r="C36" s="1322"/>
      <c r="D36" s="1322"/>
      <c r="E36" s="1322"/>
      <c r="F36" s="1322"/>
      <c r="G36" s="1322"/>
      <c r="H36" s="1322"/>
      <c r="I36" s="1322"/>
      <c r="J36" s="1322"/>
      <c r="K36" s="1322"/>
      <c r="L36" s="1322"/>
      <c r="M36" s="1322"/>
      <c r="N36" s="1322"/>
      <c r="O36" s="1322"/>
      <c r="P36" s="1322"/>
      <c r="Q36" s="1322"/>
      <c r="R36" s="1322"/>
      <c r="S36" s="1322"/>
      <c r="T36" s="1322"/>
      <c r="U36" s="1322"/>
      <c r="V36" s="1322"/>
      <c r="W36" s="1322"/>
      <c r="X36" s="1322"/>
      <c r="Y36" s="1322"/>
      <c r="Z36" s="1322"/>
      <c r="AA36" s="1322"/>
      <c r="AB36" s="1322"/>
      <c r="AC36" s="1322"/>
      <c r="AD36" s="1322"/>
      <c r="AE36" s="1322"/>
      <c r="AF36" s="1322"/>
      <c r="AG36" s="1322"/>
      <c r="AH36" s="1322"/>
      <c r="AI36" s="1322"/>
      <c r="AJ36" s="1322"/>
      <c r="AK36" s="1322"/>
      <c r="AL36" s="1322"/>
      <c r="AM36" s="1322"/>
      <c r="AN36" s="1322"/>
      <c r="AO36" s="1322"/>
      <c r="AP36" s="1322"/>
      <c r="AQ36" s="1322"/>
      <c r="AR36" s="1322"/>
      <c r="AS36" s="1322"/>
      <c r="AT36" s="1322"/>
      <c r="AU36" s="1322"/>
      <c r="AV36" s="1322"/>
      <c r="AW36" s="1322"/>
      <c r="AX36" s="1322"/>
      <c r="AY36" s="1322"/>
      <c r="AZ36" s="1322"/>
    </row>
    <row r="37" spans="1:52" x14ac:dyDescent="0.25">
      <c r="A37" s="1322"/>
      <c r="B37" s="1322"/>
      <c r="C37" s="1322"/>
      <c r="D37" s="1322"/>
      <c r="E37" s="1322"/>
      <c r="F37" s="1322"/>
      <c r="G37" s="1322"/>
      <c r="H37" s="1322"/>
      <c r="I37" s="1322"/>
      <c r="J37" s="1322"/>
      <c r="K37" s="1322"/>
      <c r="L37" s="1322"/>
      <c r="M37" s="1322"/>
      <c r="N37" s="1322"/>
      <c r="O37" s="1322"/>
      <c r="P37" s="1322"/>
      <c r="Q37" s="1322"/>
      <c r="R37" s="1322"/>
      <c r="S37" s="1322"/>
      <c r="T37" s="1322"/>
      <c r="U37" s="1322"/>
      <c r="V37" s="1322"/>
      <c r="W37" s="1322"/>
      <c r="X37" s="1322"/>
      <c r="Y37" s="1322"/>
      <c r="Z37" s="1322"/>
      <c r="AA37" s="1322"/>
      <c r="AB37" s="1322"/>
      <c r="AC37" s="1322"/>
      <c r="AD37" s="1322"/>
      <c r="AE37" s="1322"/>
      <c r="AF37" s="1322"/>
      <c r="AG37" s="1322"/>
      <c r="AH37" s="1322"/>
      <c r="AI37" s="1322"/>
      <c r="AJ37" s="1322"/>
      <c r="AK37" s="1322"/>
      <c r="AL37" s="1322"/>
      <c r="AM37" s="1322"/>
      <c r="AN37" s="1322"/>
      <c r="AO37" s="1322"/>
      <c r="AP37" s="1322"/>
      <c r="AQ37" s="1322"/>
      <c r="AR37" s="1322"/>
      <c r="AS37" s="1322"/>
      <c r="AT37" s="1322"/>
      <c r="AU37" s="1322"/>
      <c r="AV37" s="1322"/>
      <c r="AW37" s="1322"/>
      <c r="AX37" s="1322"/>
      <c r="AY37" s="1322"/>
      <c r="AZ37" s="1322"/>
    </row>
    <row r="38" spans="1:52" x14ac:dyDescent="0.25">
      <c r="A38" s="1322"/>
      <c r="B38" s="1322"/>
      <c r="C38" s="1322"/>
      <c r="D38" s="1322"/>
      <c r="E38" s="1322"/>
      <c r="F38" s="1322"/>
      <c r="G38" s="1322"/>
      <c r="H38" s="1322"/>
      <c r="I38" s="1322"/>
      <c r="J38" s="1322"/>
      <c r="K38" s="1322"/>
      <c r="L38" s="1322"/>
      <c r="M38" s="1322"/>
      <c r="N38" s="1322"/>
      <c r="O38" s="1322"/>
      <c r="P38" s="1322"/>
      <c r="Q38" s="1322"/>
      <c r="R38" s="1322"/>
      <c r="S38" s="1322"/>
      <c r="T38" s="1322"/>
      <c r="U38" s="1322"/>
      <c r="V38" s="1322"/>
      <c r="W38" s="1322"/>
      <c r="X38" s="1322"/>
      <c r="Y38" s="1322"/>
      <c r="Z38" s="1322"/>
      <c r="AA38" s="1322"/>
      <c r="AB38" s="1322"/>
      <c r="AC38" s="1322"/>
      <c r="AD38" s="1322"/>
      <c r="AE38" s="1322"/>
      <c r="AF38" s="1322"/>
      <c r="AG38" s="1322"/>
      <c r="AH38" s="1322"/>
      <c r="AI38" s="1322"/>
      <c r="AJ38" s="1322"/>
      <c r="AK38" s="1322"/>
      <c r="AL38" s="1322"/>
      <c r="AM38" s="1322"/>
      <c r="AN38" s="1322"/>
      <c r="AO38" s="1322"/>
      <c r="AP38" s="1322"/>
      <c r="AQ38" s="1322"/>
      <c r="AR38" s="1322"/>
      <c r="AS38" s="1322"/>
      <c r="AT38" s="1322"/>
      <c r="AU38" s="1322"/>
      <c r="AV38" s="1322"/>
      <c r="AW38" s="1322"/>
      <c r="AX38" s="1322"/>
      <c r="AY38" s="1322"/>
      <c r="AZ38" s="1322"/>
    </row>
    <row r="39" spans="1:52" x14ac:dyDescent="0.25">
      <c r="A39" s="1322"/>
      <c r="B39" s="1322"/>
      <c r="C39" s="1322"/>
      <c r="D39" s="1322"/>
      <c r="E39" s="1322"/>
      <c r="F39" s="1322"/>
      <c r="G39" s="1322"/>
      <c r="H39" s="1322"/>
      <c r="I39" s="1322"/>
      <c r="J39" s="1322"/>
      <c r="K39" s="1322"/>
      <c r="L39" s="1322"/>
      <c r="M39" s="1322"/>
      <c r="N39" s="1322"/>
      <c r="O39" s="1322"/>
      <c r="P39" s="1322"/>
      <c r="Q39" s="1322"/>
      <c r="R39" s="1322"/>
      <c r="S39" s="1322"/>
      <c r="T39" s="1322"/>
      <c r="U39" s="1322"/>
      <c r="V39" s="1322"/>
      <c r="W39" s="1322"/>
      <c r="X39" s="1322"/>
      <c r="Y39" s="1322"/>
      <c r="Z39" s="1322"/>
      <c r="AA39" s="1322"/>
      <c r="AB39" s="1322"/>
      <c r="AC39" s="1322"/>
      <c r="AD39" s="1322"/>
      <c r="AE39" s="1322"/>
      <c r="AF39" s="1322"/>
      <c r="AG39" s="1322"/>
      <c r="AH39" s="1322"/>
      <c r="AI39" s="1322"/>
      <c r="AJ39" s="1322"/>
      <c r="AK39" s="1322"/>
      <c r="AL39" s="1322"/>
      <c r="AM39" s="1322"/>
      <c r="AN39" s="1322"/>
      <c r="AO39" s="1322"/>
      <c r="AP39" s="1322"/>
      <c r="AQ39" s="1322"/>
      <c r="AR39" s="1322"/>
      <c r="AS39" s="1322"/>
      <c r="AT39" s="1322"/>
      <c r="AU39" s="1322"/>
      <c r="AV39" s="1322"/>
      <c r="AW39" s="1322"/>
      <c r="AX39" s="1322"/>
      <c r="AY39" s="1322"/>
      <c r="AZ39" s="1322"/>
    </row>
    <row r="40" spans="1:52" x14ac:dyDescent="0.25">
      <c r="A40" s="1322"/>
      <c r="B40" s="1322"/>
      <c r="C40" s="1322"/>
      <c r="D40" s="1322"/>
      <c r="E40" s="1322"/>
      <c r="F40" s="1322"/>
      <c r="G40" s="1322"/>
      <c r="H40" s="1322"/>
      <c r="I40" s="1322"/>
      <c r="J40" s="1322"/>
      <c r="K40" s="1322"/>
      <c r="L40" s="1322"/>
      <c r="M40" s="1322"/>
      <c r="N40" s="1322"/>
      <c r="O40" s="1322"/>
      <c r="P40" s="1322"/>
      <c r="Q40" s="1322"/>
      <c r="R40" s="1322"/>
      <c r="S40" s="1322"/>
      <c r="T40" s="1322"/>
      <c r="U40" s="1322"/>
      <c r="V40" s="1322"/>
      <c r="W40" s="1322"/>
      <c r="X40" s="1322"/>
      <c r="Y40" s="1322"/>
      <c r="Z40" s="1322"/>
      <c r="AA40" s="1322"/>
      <c r="AB40" s="1322"/>
      <c r="AC40" s="1322"/>
      <c r="AD40" s="1322"/>
      <c r="AE40" s="1322"/>
      <c r="AF40" s="1322"/>
      <c r="AG40" s="1322"/>
      <c r="AH40" s="1322"/>
      <c r="AI40" s="1322"/>
      <c r="AJ40" s="1322"/>
      <c r="AK40" s="1322"/>
      <c r="AL40" s="1322"/>
      <c r="AM40" s="1322"/>
      <c r="AN40" s="1322"/>
      <c r="AO40" s="1322"/>
      <c r="AP40" s="1322"/>
      <c r="AQ40" s="1322"/>
      <c r="AR40" s="1322"/>
      <c r="AS40" s="1322"/>
      <c r="AT40" s="1322"/>
      <c r="AU40" s="1322"/>
      <c r="AV40" s="1322"/>
      <c r="AW40" s="1322"/>
      <c r="AX40" s="1322"/>
      <c r="AY40" s="1322"/>
      <c r="AZ40" s="1322"/>
    </row>
    <row r="41" spans="1:52" x14ac:dyDescent="0.25">
      <c r="A41" s="1322"/>
      <c r="B41" s="1322"/>
      <c r="C41" s="1322"/>
      <c r="D41" s="1322"/>
      <c r="E41" s="1322"/>
      <c r="F41" s="1322"/>
      <c r="G41" s="1322"/>
      <c r="H41" s="1322"/>
      <c r="I41" s="1322"/>
      <c r="J41" s="1322"/>
      <c r="K41" s="1322"/>
      <c r="L41" s="1322"/>
      <c r="M41" s="1322"/>
      <c r="N41" s="1322"/>
      <c r="O41" s="1322"/>
      <c r="P41" s="1322"/>
      <c r="Q41" s="1322"/>
      <c r="R41" s="1322"/>
      <c r="S41" s="1322"/>
      <c r="T41" s="1322"/>
      <c r="U41" s="1322"/>
      <c r="V41" s="1322"/>
      <c r="W41" s="1322"/>
      <c r="X41" s="1322"/>
      <c r="Y41" s="1322"/>
      <c r="Z41" s="1322"/>
      <c r="AA41" s="1322"/>
      <c r="AB41" s="1322"/>
      <c r="AC41" s="1322"/>
      <c r="AD41" s="1322"/>
      <c r="AE41" s="1322"/>
      <c r="AF41" s="1322"/>
      <c r="AG41" s="1322"/>
      <c r="AH41" s="1322"/>
      <c r="AI41" s="1322"/>
      <c r="AJ41" s="1322"/>
      <c r="AK41" s="1322"/>
      <c r="AL41" s="1322"/>
      <c r="AM41" s="1322"/>
      <c r="AN41" s="1322"/>
      <c r="AO41" s="1322"/>
      <c r="AP41" s="1322"/>
      <c r="AQ41" s="1322"/>
      <c r="AR41" s="1322"/>
      <c r="AS41" s="1322"/>
      <c r="AT41" s="1322"/>
      <c r="AU41" s="1322"/>
      <c r="AV41" s="1322"/>
      <c r="AW41" s="1322"/>
      <c r="AX41" s="1322"/>
      <c r="AY41" s="1322"/>
      <c r="AZ41" s="1322"/>
    </row>
    <row r="42" spans="1:52" x14ac:dyDescent="0.25">
      <c r="A42" s="1322"/>
      <c r="B42" s="1322"/>
      <c r="C42" s="1322"/>
      <c r="D42" s="1322"/>
      <c r="E42" s="1322"/>
      <c r="F42" s="1322"/>
      <c r="G42" s="1322"/>
      <c r="H42" s="1322"/>
      <c r="I42" s="1322"/>
      <c r="J42" s="1322"/>
      <c r="K42" s="1322"/>
      <c r="L42" s="1322"/>
      <c r="M42" s="1322"/>
      <c r="N42" s="1322"/>
      <c r="O42" s="1322"/>
      <c r="P42" s="1322"/>
      <c r="Q42" s="1322"/>
      <c r="R42" s="1322"/>
      <c r="S42" s="1322"/>
      <c r="T42" s="1322"/>
      <c r="U42" s="1322"/>
      <c r="V42" s="1322"/>
      <c r="W42" s="1322"/>
      <c r="X42" s="1322"/>
      <c r="Y42" s="1322"/>
      <c r="Z42" s="1322"/>
      <c r="AA42" s="1322"/>
      <c r="AB42" s="1322"/>
      <c r="AC42" s="1322"/>
      <c r="AD42" s="1322"/>
      <c r="AE42" s="1322"/>
      <c r="AF42" s="1322"/>
      <c r="AG42" s="1322"/>
      <c r="AH42" s="1322"/>
      <c r="AI42" s="1322"/>
      <c r="AJ42" s="1322"/>
      <c r="AK42" s="1322"/>
      <c r="AL42" s="1322"/>
      <c r="AM42" s="1322"/>
      <c r="AN42" s="1322"/>
      <c r="AO42" s="1322"/>
      <c r="AP42" s="1322"/>
      <c r="AQ42" s="1322"/>
      <c r="AR42" s="1322"/>
      <c r="AS42" s="1322"/>
      <c r="AT42" s="1322"/>
      <c r="AU42" s="1322"/>
      <c r="AV42" s="1322"/>
      <c r="AW42" s="1322"/>
      <c r="AX42" s="1322"/>
      <c r="AY42" s="1322"/>
      <c r="AZ42" s="1322"/>
    </row>
    <row r="43" spans="1:52" x14ac:dyDescent="0.25">
      <c r="A43" s="1322"/>
      <c r="B43" s="1322"/>
      <c r="C43" s="1322"/>
      <c r="D43" s="1322"/>
      <c r="E43" s="1322"/>
      <c r="F43" s="1322"/>
      <c r="G43" s="1322"/>
      <c r="H43" s="1322"/>
      <c r="I43" s="1322"/>
      <c r="J43" s="1322"/>
      <c r="K43" s="1322"/>
      <c r="L43" s="1322"/>
      <c r="M43" s="1322"/>
      <c r="N43" s="1322"/>
      <c r="O43" s="1322"/>
      <c r="P43" s="1322"/>
      <c r="Q43" s="1322"/>
      <c r="R43" s="1322"/>
      <c r="S43" s="1322"/>
      <c r="T43" s="1322"/>
      <c r="U43" s="1322"/>
      <c r="V43" s="1322"/>
      <c r="W43" s="1322"/>
      <c r="X43" s="1322"/>
      <c r="Y43" s="1322"/>
      <c r="Z43" s="1322"/>
      <c r="AA43" s="1322"/>
      <c r="AB43" s="1322"/>
      <c r="AC43" s="1322"/>
      <c r="AD43" s="1322"/>
      <c r="AE43" s="1322"/>
      <c r="AF43" s="1322"/>
      <c r="AG43" s="1322"/>
      <c r="AH43" s="1322"/>
      <c r="AI43" s="1322"/>
      <c r="AJ43" s="1322"/>
      <c r="AK43" s="1322"/>
      <c r="AL43" s="1322"/>
      <c r="AM43" s="1322"/>
      <c r="AN43" s="1322"/>
      <c r="AO43" s="1322"/>
      <c r="AP43" s="1322"/>
      <c r="AQ43" s="1322"/>
      <c r="AR43" s="1322"/>
      <c r="AS43" s="1322"/>
      <c r="AT43" s="1322"/>
      <c r="AU43" s="1322"/>
      <c r="AV43" s="1322"/>
      <c r="AW43" s="1322"/>
      <c r="AX43" s="1322"/>
      <c r="AY43" s="1322"/>
      <c r="AZ43" s="1322"/>
    </row>
    <row r="44" spans="1:52" x14ac:dyDescent="0.25">
      <c r="A44" s="1322"/>
      <c r="B44" s="1322"/>
      <c r="C44" s="1322"/>
      <c r="D44" s="1322"/>
      <c r="E44" s="1322"/>
      <c r="F44" s="1322"/>
      <c r="G44" s="1322"/>
      <c r="H44" s="1322"/>
      <c r="I44" s="1322"/>
      <c r="J44" s="1322"/>
      <c r="K44" s="1322"/>
      <c r="L44" s="1322"/>
      <c r="M44" s="1322"/>
      <c r="N44" s="1322"/>
      <c r="O44" s="1322"/>
      <c r="P44" s="1322"/>
      <c r="Q44" s="1322"/>
      <c r="R44" s="1322"/>
      <c r="S44" s="1322"/>
      <c r="T44" s="1322"/>
      <c r="U44" s="1322"/>
      <c r="V44" s="1322"/>
      <c r="W44" s="1322"/>
      <c r="X44" s="1322"/>
      <c r="Y44" s="1322"/>
      <c r="Z44" s="1322"/>
      <c r="AA44" s="1322"/>
      <c r="AB44" s="1322"/>
      <c r="AC44" s="1322"/>
      <c r="AD44" s="1322"/>
      <c r="AE44" s="1322"/>
      <c r="AF44" s="1322"/>
      <c r="AG44" s="1322"/>
      <c r="AH44" s="1322"/>
      <c r="AI44" s="1322"/>
      <c r="AJ44" s="1322"/>
      <c r="AK44" s="1322"/>
      <c r="AL44" s="1322"/>
      <c r="AM44" s="1322"/>
      <c r="AN44" s="1322"/>
      <c r="AO44" s="1322"/>
      <c r="AP44" s="1322"/>
      <c r="AQ44" s="1322"/>
      <c r="AR44" s="1322"/>
      <c r="AS44" s="1322"/>
      <c r="AT44" s="1322"/>
      <c r="AU44" s="1322"/>
      <c r="AV44" s="1322"/>
      <c r="AW44" s="1322"/>
      <c r="AX44" s="1322"/>
      <c r="AY44" s="1322"/>
      <c r="AZ44" s="1322"/>
    </row>
    <row r="45" spans="1:52" x14ac:dyDescent="0.25">
      <c r="A45" s="1322"/>
      <c r="B45" s="1322"/>
      <c r="C45" s="1322"/>
      <c r="D45" s="1322"/>
      <c r="E45" s="1322"/>
      <c r="F45" s="1322"/>
      <c r="G45" s="1322"/>
      <c r="H45" s="1322"/>
      <c r="I45" s="1322"/>
      <c r="J45" s="1322"/>
      <c r="K45" s="1322"/>
      <c r="L45" s="1322"/>
      <c r="M45" s="1322"/>
      <c r="N45" s="1322"/>
      <c r="O45" s="1322"/>
      <c r="P45" s="1322"/>
      <c r="Q45" s="1322"/>
      <c r="R45" s="1322"/>
      <c r="S45" s="1322"/>
      <c r="T45" s="1322"/>
      <c r="U45" s="1322"/>
      <c r="V45" s="1322"/>
      <c r="W45" s="1322"/>
      <c r="X45" s="1322"/>
      <c r="Y45" s="1322"/>
      <c r="Z45" s="1322"/>
      <c r="AA45" s="1322"/>
      <c r="AB45" s="1322"/>
      <c r="AC45" s="1322"/>
      <c r="AD45" s="1322"/>
      <c r="AE45" s="1322"/>
      <c r="AF45" s="1322"/>
      <c r="AG45" s="1322"/>
      <c r="AH45" s="1322"/>
      <c r="AI45" s="1322"/>
      <c r="AJ45" s="1322"/>
      <c r="AK45" s="1322"/>
      <c r="AL45" s="1322"/>
      <c r="AM45" s="1322"/>
      <c r="AN45" s="1322"/>
      <c r="AO45" s="1322"/>
      <c r="AP45" s="1322"/>
      <c r="AQ45" s="1322"/>
      <c r="AR45" s="1322"/>
      <c r="AS45" s="1322"/>
      <c r="AT45" s="1322"/>
      <c r="AU45" s="1322"/>
      <c r="AV45" s="1322"/>
      <c r="AW45" s="1322"/>
      <c r="AX45" s="1322"/>
      <c r="AY45" s="1322"/>
      <c r="AZ45" s="1322"/>
    </row>
    <row r="46" spans="1:52" x14ac:dyDescent="0.25">
      <c r="A46" s="1322"/>
      <c r="B46" s="1322"/>
      <c r="C46" s="1322"/>
      <c r="D46" s="1322"/>
      <c r="E46" s="1322"/>
      <c r="F46" s="1322"/>
      <c r="G46" s="1322"/>
      <c r="H46" s="1322"/>
      <c r="I46" s="1322"/>
      <c r="J46" s="1322"/>
      <c r="K46" s="1322"/>
      <c r="L46" s="1322"/>
      <c r="M46" s="1322"/>
      <c r="N46" s="1322"/>
      <c r="O46" s="1322"/>
      <c r="P46" s="1322"/>
      <c r="Q46" s="1322"/>
      <c r="R46" s="1322"/>
      <c r="S46" s="1322"/>
      <c r="T46" s="1322"/>
      <c r="U46" s="1322"/>
      <c r="V46" s="1322"/>
      <c r="W46" s="1322"/>
      <c r="X46" s="1322"/>
      <c r="Y46" s="1322"/>
      <c r="Z46" s="1322"/>
      <c r="AA46" s="1322"/>
      <c r="AB46" s="1322"/>
      <c r="AC46" s="1322"/>
      <c r="AD46" s="1322"/>
      <c r="AE46" s="1322"/>
      <c r="AF46" s="1322"/>
      <c r="AG46" s="1322"/>
      <c r="AH46" s="1322"/>
      <c r="AI46" s="1322"/>
      <c r="AJ46" s="1322"/>
      <c r="AK46" s="1322"/>
      <c r="AL46" s="1322"/>
      <c r="AM46" s="1322"/>
      <c r="AN46" s="1322"/>
      <c r="AO46" s="1322"/>
      <c r="AP46" s="1322"/>
      <c r="AQ46" s="1322"/>
      <c r="AR46" s="1322"/>
      <c r="AS46" s="1322"/>
      <c r="AT46" s="1322"/>
      <c r="AU46" s="1322"/>
      <c r="AV46" s="1322"/>
      <c r="AW46" s="1322"/>
      <c r="AX46" s="1322"/>
      <c r="AY46" s="1322"/>
      <c r="AZ46" s="1322"/>
    </row>
    <row r="47" spans="1:52" x14ac:dyDescent="0.25">
      <c r="A47" s="1322"/>
      <c r="B47" s="1322"/>
      <c r="C47" s="1322"/>
      <c r="D47" s="1322"/>
      <c r="E47" s="1322"/>
      <c r="F47" s="1322"/>
      <c r="G47" s="1322"/>
      <c r="H47" s="1322"/>
      <c r="I47" s="1322"/>
      <c r="J47" s="1322"/>
      <c r="K47" s="1322"/>
      <c r="L47" s="1322"/>
      <c r="M47" s="1322"/>
      <c r="N47" s="1322"/>
      <c r="O47" s="1322"/>
      <c r="P47" s="1322"/>
      <c r="Q47" s="1322"/>
      <c r="R47" s="1322"/>
      <c r="S47" s="1322"/>
      <c r="T47" s="1322"/>
      <c r="U47" s="1322"/>
      <c r="V47" s="1322"/>
      <c r="W47" s="1322"/>
      <c r="X47" s="1322"/>
      <c r="Y47" s="1322"/>
      <c r="Z47" s="1322"/>
      <c r="AA47" s="1322"/>
      <c r="AB47" s="1322"/>
      <c r="AC47" s="1322"/>
      <c r="AD47" s="1322"/>
      <c r="AE47" s="1322"/>
      <c r="AF47" s="1322"/>
      <c r="AG47" s="1322"/>
      <c r="AH47" s="1322"/>
      <c r="AI47" s="1322"/>
      <c r="AJ47" s="1322"/>
      <c r="AK47" s="1322"/>
      <c r="AL47" s="1322"/>
      <c r="AM47" s="1322"/>
      <c r="AN47" s="1322"/>
      <c r="AO47" s="1322"/>
      <c r="AP47" s="1322"/>
      <c r="AQ47" s="1322"/>
      <c r="AR47" s="1322"/>
      <c r="AS47" s="1322"/>
      <c r="AT47" s="1322"/>
      <c r="AU47" s="1322"/>
      <c r="AV47" s="1322"/>
      <c r="AW47" s="1322"/>
      <c r="AX47" s="1322"/>
      <c r="AY47" s="1322"/>
      <c r="AZ47" s="1322"/>
    </row>
    <row r="48" spans="1:52" x14ac:dyDescent="0.25">
      <c r="A48" s="1322"/>
      <c r="B48" s="1322"/>
      <c r="C48" s="1322"/>
      <c r="D48" s="1322"/>
      <c r="E48" s="1322"/>
      <c r="F48" s="1322"/>
      <c r="G48" s="1322"/>
      <c r="H48" s="1322"/>
      <c r="I48" s="1322"/>
      <c r="J48" s="1322"/>
      <c r="K48" s="1322"/>
      <c r="L48" s="1322"/>
      <c r="M48" s="1322"/>
      <c r="N48" s="1322"/>
      <c r="O48" s="1322"/>
      <c r="P48" s="1322"/>
      <c r="Q48" s="1322"/>
      <c r="R48" s="1322"/>
      <c r="S48" s="1322"/>
      <c r="T48" s="1322"/>
      <c r="U48" s="1322"/>
      <c r="V48" s="1322"/>
      <c r="W48" s="1322"/>
      <c r="X48" s="1322"/>
      <c r="Y48" s="1322"/>
      <c r="Z48" s="1322"/>
      <c r="AA48" s="1322"/>
      <c r="AB48" s="1322"/>
      <c r="AC48" s="1322"/>
      <c r="AD48" s="1322"/>
      <c r="AE48" s="1322"/>
      <c r="AF48" s="1322"/>
      <c r="AG48" s="1322"/>
      <c r="AH48" s="1322"/>
      <c r="AI48" s="1322"/>
      <c r="AJ48" s="1322"/>
      <c r="AK48" s="1322"/>
      <c r="AL48" s="1322"/>
      <c r="AM48" s="1322"/>
      <c r="AN48" s="1322"/>
      <c r="AO48" s="1322"/>
      <c r="AP48" s="1322"/>
      <c r="AQ48" s="1322"/>
      <c r="AR48" s="1322"/>
      <c r="AS48" s="1322"/>
      <c r="AT48" s="1322"/>
      <c r="AU48" s="1322"/>
      <c r="AV48" s="1322"/>
      <c r="AW48" s="1322"/>
      <c r="AX48" s="1322"/>
      <c r="AY48" s="1322"/>
      <c r="AZ48" s="1322"/>
    </row>
    <row r="49" spans="1:52" x14ac:dyDescent="0.25">
      <c r="A49" s="1322"/>
      <c r="B49" s="1322"/>
      <c r="C49" s="1322"/>
      <c r="D49" s="1322"/>
      <c r="E49" s="1322"/>
      <c r="F49" s="1322"/>
      <c r="G49" s="1322"/>
      <c r="H49" s="1322"/>
      <c r="I49" s="1322"/>
      <c r="J49" s="1322"/>
      <c r="K49" s="1322"/>
      <c r="L49" s="1322"/>
      <c r="M49" s="1322"/>
      <c r="N49" s="1322"/>
      <c r="O49" s="1322"/>
      <c r="P49" s="1322"/>
      <c r="Q49" s="1322"/>
      <c r="R49" s="1322"/>
      <c r="S49" s="1322"/>
      <c r="T49" s="1322"/>
      <c r="U49" s="1322"/>
      <c r="V49" s="1322"/>
      <c r="W49" s="1322"/>
      <c r="X49" s="1322"/>
      <c r="Y49" s="1322"/>
      <c r="Z49" s="1322"/>
      <c r="AA49" s="1322"/>
      <c r="AB49" s="1322"/>
      <c r="AC49" s="1322"/>
      <c r="AD49" s="1322"/>
      <c r="AE49" s="1322"/>
      <c r="AF49" s="1322"/>
      <c r="AG49" s="1322"/>
      <c r="AH49" s="1322"/>
      <c r="AI49" s="1322"/>
      <c r="AJ49" s="1322"/>
      <c r="AK49" s="1322"/>
      <c r="AL49" s="1322"/>
      <c r="AM49" s="1322"/>
      <c r="AN49" s="1322"/>
      <c r="AO49" s="1322"/>
      <c r="AP49" s="1322"/>
      <c r="AQ49" s="1322"/>
      <c r="AR49" s="1322"/>
      <c r="AS49" s="1322"/>
      <c r="AT49" s="1322"/>
      <c r="AU49" s="1322"/>
      <c r="AV49" s="1322"/>
      <c r="AW49" s="1322"/>
      <c r="AX49" s="1322"/>
      <c r="AY49" s="1322"/>
      <c r="AZ49" s="1322"/>
    </row>
    <row r="50" spans="1:52" x14ac:dyDescent="0.25">
      <c r="A50" s="1322"/>
      <c r="B50" s="1322"/>
      <c r="C50" s="1322"/>
      <c r="D50" s="1322"/>
      <c r="E50" s="1322"/>
      <c r="F50" s="1322"/>
      <c r="G50" s="1322"/>
      <c r="H50" s="1322"/>
      <c r="I50" s="1322"/>
      <c r="J50" s="1322"/>
      <c r="K50" s="1322"/>
      <c r="L50" s="1322"/>
      <c r="M50" s="1322"/>
      <c r="N50" s="1322"/>
      <c r="O50" s="1322"/>
      <c r="P50" s="1322"/>
      <c r="Q50" s="1322"/>
      <c r="R50" s="1322"/>
      <c r="S50" s="1322"/>
      <c r="T50" s="1322"/>
      <c r="U50" s="1322"/>
      <c r="V50" s="1322"/>
      <c r="W50" s="1322"/>
      <c r="X50" s="1322"/>
      <c r="Y50" s="1322"/>
      <c r="Z50" s="1322"/>
      <c r="AA50" s="1322"/>
      <c r="AB50" s="1322"/>
      <c r="AC50" s="1322"/>
      <c r="AD50" s="1322"/>
      <c r="AE50" s="1322"/>
      <c r="AF50" s="1322"/>
      <c r="AG50" s="1322"/>
      <c r="AH50" s="1322"/>
      <c r="AI50" s="1322"/>
      <c r="AJ50" s="1322"/>
      <c r="AK50" s="1322"/>
      <c r="AL50" s="1322"/>
      <c r="AM50" s="1322"/>
      <c r="AN50" s="1322"/>
      <c r="AO50" s="1322"/>
      <c r="AP50" s="1322"/>
      <c r="AQ50" s="1322"/>
      <c r="AR50" s="1322"/>
      <c r="AS50" s="1322"/>
      <c r="AT50" s="1322"/>
      <c r="AU50" s="1322"/>
      <c r="AV50" s="1322"/>
      <c r="AW50" s="1322"/>
      <c r="AX50" s="1322"/>
      <c r="AY50" s="1322"/>
      <c r="AZ50" s="1322"/>
    </row>
    <row r="51" spans="1:52" x14ac:dyDescent="0.25">
      <c r="A51" s="1322"/>
      <c r="B51" s="1322"/>
      <c r="C51" s="1322"/>
      <c r="D51" s="1322"/>
      <c r="E51" s="1322"/>
      <c r="F51" s="1322"/>
      <c r="G51" s="1322"/>
      <c r="H51" s="1322"/>
      <c r="I51" s="1322"/>
      <c r="J51" s="1322"/>
      <c r="K51" s="1322"/>
      <c r="L51" s="1322"/>
      <c r="M51" s="1322"/>
      <c r="N51" s="1322"/>
      <c r="O51" s="1322"/>
      <c r="P51" s="1322"/>
      <c r="Q51" s="1322"/>
      <c r="R51" s="1322"/>
      <c r="S51" s="1322"/>
      <c r="T51" s="1322"/>
      <c r="U51" s="1322"/>
      <c r="V51" s="1322"/>
      <c r="W51" s="1322"/>
      <c r="X51" s="1322"/>
      <c r="Y51" s="1322"/>
      <c r="Z51" s="1322"/>
      <c r="AA51" s="1322"/>
      <c r="AB51" s="1322"/>
      <c r="AC51" s="1322"/>
      <c r="AD51" s="1322"/>
      <c r="AE51" s="1322"/>
      <c r="AF51" s="1322"/>
      <c r="AG51" s="1322"/>
      <c r="AH51" s="1322"/>
      <c r="AI51" s="1322"/>
      <c r="AJ51" s="1322"/>
      <c r="AK51" s="1322"/>
      <c r="AL51" s="1322"/>
      <c r="AM51" s="1322"/>
      <c r="AN51" s="1322"/>
      <c r="AO51" s="1322"/>
      <c r="AP51" s="1322"/>
      <c r="AQ51" s="1322"/>
      <c r="AR51" s="1322"/>
      <c r="AS51" s="1322"/>
      <c r="AT51" s="1322"/>
      <c r="AU51" s="1322"/>
      <c r="AV51" s="1322"/>
      <c r="AW51" s="1322"/>
      <c r="AX51" s="1322"/>
      <c r="AY51" s="1322"/>
      <c r="AZ51" s="1322"/>
    </row>
    <row r="52" spans="1:52" x14ac:dyDescent="0.25">
      <c r="A52" s="1322"/>
      <c r="B52" s="1322"/>
      <c r="C52" s="1322"/>
      <c r="D52" s="1322"/>
      <c r="E52" s="1322"/>
      <c r="F52" s="1322"/>
      <c r="G52" s="1322"/>
      <c r="H52" s="1322"/>
      <c r="I52" s="1322"/>
      <c r="J52" s="1322"/>
      <c r="K52" s="1322"/>
      <c r="L52" s="1322"/>
      <c r="M52" s="1322"/>
      <c r="N52" s="1322"/>
      <c r="O52" s="1322"/>
      <c r="P52" s="1322"/>
      <c r="Q52" s="1322"/>
      <c r="R52" s="1322"/>
      <c r="S52" s="1322"/>
      <c r="T52" s="1322"/>
      <c r="U52" s="1322"/>
      <c r="V52" s="1322"/>
      <c r="W52" s="1322"/>
      <c r="X52" s="1322"/>
      <c r="Y52" s="1322"/>
      <c r="Z52" s="1322"/>
      <c r="AA52" s="1322"/>
      <c r="AB52" s="1322"/>
      <c r="AC52" s="1322"/>
      <c r="AD52" s="1322"/>
      <c r="AE52" s="1322"/>
      <c r="AF52" s="1322"/>
      <c r="AG52" s="1322"/>
      <c r="AH52" s="1322"/>
      <c r="AI52" s="1322"/>
      <c r="AJ52" s="1322"/>
      <c r="AK52" s="1322"/>
      <c r="AL52" s="1322"/>
      <c r="AM52" s="1322"/>
      <c r="AN52" s="1322"/>
      <c r="AO52" s="1322"/>
      <c r="AP52" s="1322"/>
      <c r="AQ52" s="1322"/>
      <c r="AR52" s="1322"/>
      <c r="AS52" s="1322"/>
      <c r="AT52" s="1322"/>
      <c r="AU52" s="1322"/>
      <c r="AV52" s="1322"/>
      <c r="AW52" s="1322"/>
      <c r="AX52" s="1322"/>
      <c r="AY52" s="1322"/>
      <c r="AZ52" s="1322"/>
    </row>
    <row r="53" spans="1:52" x14ac:dyDescent="0.25">
      <c r="A53" s="1322"/>
      <c r="B53" s="1322"/>
      <c r="C53" s="1322"/>
      <c r="D53" s="1322"/>
      <c r="E53" s="1322"/>
      <c r="F53" s="1322"/>
      <c r="G53" s="1322"/>
      <c r="H53" s="1322"/>
      <c r="I53" s="1322"/>
      <c r="J53" s="1322"/>
      <c r="K53" s="1322"/>
      <c r="L53" s="1322"/>
      <c r="M53" s="1322"/>
      <c r="N53" s="1322"/>
      <c r="O53" s="1322"/>
      <c r="P53" s="1322"/>
      <c r="Q53" s="1322"/>
      <c r="R53" s="1322"/>
      <c r="S53" s="1322"/>
      <c r="T53" s="1322"/>
      <c r="U53" s="1322"/>
      <c r="V53" s="1322"/>
      <c r="W53" s="1322"/>
      <c r="X53" s="1322"/>
      <c r="Y53" s="1322"/>
      <c r="Z53" s="1322"/>
      <c r="AA53" s="1322"/>
      <c r="AB53" s="1322"/>
      <c r="AC53" s="1322"/>
      <c r="AD53" s="1322"/>
      <c r="AE53" s="1322"/>
      <c r="AF53" s="1322"/>
      <c r="AG53" s="1322"/>
      <c r="AH53" s="1322"/>
      <c r="AI53" s="1322"/>
      <c r="AJ53" s="1322"/>
      <c r="AK53" s="1322"/>
      <c r="AL53" s="1322"/>
      <c r="AM53" s="1322"/>
      <c r="AN53" s="1322"/>
      <c r="AO53" s="1322"/>
      <c r="AP53" s="1322"/>
      <c r="AQ53" s="1322"/>
      <c r="AR53" s="1322"/>
      <c r="AS53" s="1322"/>
      <c r="AT53" s="1322"/>
      <c r="AU53" s="1322"/>
      <c r="AV53" s="1322"/>
      <c r="AW53" s="1322"/>
      <c r="AX53" s="1322"/>
      <c r="AY53" s="1322"/>
      <c r="AZ53" s="1322"/>
    </row>
    <row r="54" spans="1:52" x14ac:dyDescent="0.25">
      <c r="A54" s="1322"/>
      <c r="B54" s="1322"/>
      <c r="C54" s="1322"/>
      <c r="D54" s="1322"/>
      <c r="E54" s="1322"/>
      <c r="F54" s="1322"/>
      <c r="G54" s="1322"/>
      <c r="H54" s="1322"/>
      <c r="I54" s="1322"/>
      <c r="J54" s="1322"/>
      <c r="K54" s="1322"/>
      <c r="L54" s="1322"/>
      <c r="M54" s="1322"/>
      <c r="N54" s="1322"/>
      <c r="O54" s="1322"/>
      <c r="P54" s="1322"/>
      <c r="Q54" s="1322"/>
      <c r="R54" s="1322"/>
      <c r="S54" s="1322"/>
      <c r="T54" s="1322"/>
      <c r="U54" s="1322"/>
      <c r="V54" s="1322"/>
      <c r="W54" s="1322"/>
      <c r="X54" s="1322"/>
      <c r="Y54" s="1322"/>
      <c r="Z54" s="1322"/>
      <c r="AA54" s="1322"/>
      <c r="AB54" s="1322"/>
      <c r="AC54" s="1322"/>
      <c r="AD54" s="1322"/>
      <c r="AE54" s="1322"/>
      <c r="AF54" s="1322"/>
      <c r="AG54" s="1322"/>
      <c r="AH54" s="1322"/>
      <c r="AI54" s="1322"/>
      <c r="AJ54" s="1322"/>
      <c r="AK54" s="1322"/>
      <c r="AL54" s="1322"/>
      <c r="AM54" s="1322"/>
      <c r="AN54" s="1322"/>
      <c r="AO54" s="1322"/>
      <c r="AP54" s="1322"/>
      <c r="AQ54" s="1322"/>
      <c r="AR54" s="1322"/>
      <c r="AS54" s="1322"/>
      <c r="AT54" s="1322"/>
      <c r="AU54" s="1322"/>
      <c r="AV54" s="1322"/>
      <c r="AW54" s="1322"/>
      <c r="AX54" s="1322"/>
      <c r="AY54" s="1322"/>
      <c r="AZ54" s="1322"/>
    </row>
    <row r="55" spans="1:52" x14ac:dyDescent="0.25">
      <c r="A55" s="1322"/>
      <c r="B55" s="1322"/>
      <c r="C55" s="1322"/>
      <c r="D55" s="1322"/>
      <c r="E55" s="1322"/>
      <c r="F55" s="1322"/>
      <c r="G55" s="1322"/>
      <c r="H55" s="1322"/>
      <c r="I55" s="1322"/>
      <c r="J55" s="1322"/>
      <c r="K55" s="1322"/>
      <c r="L55" s="1322"/>
      <c r="M55" s="1322"/>
      <c r="N55" s="1322"/>
      <c r="O55" s="1322"/>
      <c r="P55" s="1322"/>
      <c r="Q55" s="1322"/>
      <c r="R55" s="1322"/>
      <c r="S55" s="1322"/>
      <c r="T55" s="1322"/>
      <c r="U55" s="1322"/>
      <c r="V55" s="1322"/>
      <c r="W55" s="1322"/>
      <c r="X55" s="1322"/>
      <c r="Y55" s="1322"/>
      <c r="Z55" s="1322"/>
      <c r="AA55" s="1322"/>
      <c r="AB55" s="1322"/>
      <c r="AC55" s="1322"/>
      <c r="AD55" s="1322"/>
      <c r="AE55" s="1322"/>
      <c r="AF55" s="1322"/>
      <c r="AG55" s="1322"/>
      <c r="AH55" s="1322"/>
      <c r="AI55" s="1322"/>
      <c r="AJ55" s="1322"/>
      <c r="AK55" s="1322"/>
      <c r="AL55" s="1322"/>
      <c r="AM55" s="1322"/>
      <c r="AN55" s="1322"/>
      <c r="AO55" s="1322"/>
      <c r="AP55" s="1322"/>
      <c r="AQ55" s="1322"/>
      <c r="AR55" s="1322"/>
      <c r="AS55" s="1322"/>
      <c r="AT55" s="1322"/>
      <c r="AU55" s="1322"/>
      <c r="AV55" s="1322"/>
      <c r="AW55" s="1322"/>
      <c r="AX55" s="1322"/>
      <c r="AY55" s="1322"/>
      <c r="AZ55" s="1322"/>
    </row>
    <row r="56" spans="1:52" x14ac:dyDescent="0.25">
      <c r="A56" s="1322"/>
      <c r="B56" s="1322"/>
      <c r="C56" s="1322"/>
      <c r="D56" s="1322"/>
      <c r="E56" s="1322"/>
      <c r="F56" s="1322"/>
      <c r="G56" s="1322"/>
      <c r="H56" s="1322"/>
      <c r="I56" s="1322"/>
      <c r="J56" s="1322"/>
      <c r="K56" s="1322"/>
      <c r="L56" s="1322"/>
      <c r="M56" s="1322"/>
      <c r="N56" s="1322"/>
      <c r="O56" s="1322"/>
      <c r="P56" s="1322"/>
      <c r="Q56" s="1322"/>
      <c r="R56" s="1322"/>
      <c r="S56" s="1322"/>
      <c r="T56" s="1322"/>
      <c r="U56" s="1322"/>
      <c r="V56" s="1322"/>
      <c r="W56" s="1322"/>
      <c r="X56" s="1322"/>
      <c r="Y56" s="1322"/>
      <c r="Z56" s="1322"/>
      <c r="AA56" s="1322"/>
      <c r="AB56" s="1322"/>
      <c r="AC56" s="1322"/>
      <c r="AD56" s="1322"/>
      <c r="AE56" s="1322"/>
      <c r="AF56" s="1322"/>
      <c r="AG56" s="1322"/>
      <c r="AH56" s="1322"/>
      <c r="AI56" s="1322"/>
      <c r="AJ56" s="1322"/>
      <c r="AK56" s="1322"/>
      <c r="AL56" s="1322"/>
      <c r="AM56" s="1322"/>
      <c r="AN56" s="1322"/>
      <c r="AO56" s="1322"/>
      <c r="AP56" s="1322"/>
      <c r="AQ56" s="1322"/>
      <c r="AR56" s="1322"/>
      <c r="AS56" s="1322"/>
      <c r="AT56" s="1322"/>
      <c r="AU56" s="1322"/>
      <c r="AV56" s="1322"/>
      <c r="AW56" s="1322"/>
      <c r="AX56" s="1322"/>
      <c r="AY56" s="1322"/>
      <c r="AZ56" s="1322"/>
    </row>
    <row r="57" spans="1:52" x14ac:dyDescent="0.25">
      <c r="A57" s="1322"/>
      <c r="B57" s="1322"/>
      <c r="C57" s="1322"/>
      <c r="D57" s="1322"/>
      <c r="E57" s="1322"/>
      <c r="F57" s="1322"/>
      <c r="G57" s="1322"/>
      <c r="H57" s="1322"/>
      <c r="I57" s="1322"/>
      <c r="J57" s="1322"/>
      <c r="K57" s="1322"/>
      <c r="L57" s="1322"/>
      <c r="M57" s="1322"/>
      <c r="N57" s="1322"/>
      <c r="O57" s="1322"/>
      <c r="P57" s="1322"/>
      <c r="Q57" s="1322"/>
      <c r="R57" s="1322"/>
      <c r="S57" s="1322"/>
      <c r="T57" s="1322"/>
      <c r="U57" s="1322"/>
      <c r="V57" s="1322"/>
      <c r="W57" s="1322"/>
      <c r="X57" s="1322"/>
      <c r="Y57" s="1322"/>
      <c r="Z57" s="1322"/>
      <c r="AA57" s="1322"/>
      <c r="AB57" s="1322"/>
      <c r="AC57" s="1322"/>
      <c r="AD57" s="1322"/>
      <c r="AE57" s="1322"/>
      <c r="AF57" s="1322"/>
      <c r="AG57" s="1322"/>
      <c r="AH57" s="1322"/>
      <c r="AI57" s="1322"/>
      <c r="AJ57" s="1322"/>
      <c r="AK57" s="1322"/>
      <c r="AL57" s="1322"/>
      <c r="AM57" s="1322"/>
      <c r="AN57" s="1322"/>
      <c r="AO57" s="1322"/>
      <c r="AP57" s="1322"/>
      <c r="AQ57" s="1322"/>
      <c r="AR57" s="1322"/>
      <c r="AS57" s="1322"/>
      <c r="AT57" s="1322"/>
      <c r="AU57" s="1322"/>
      <c r="AV57" s="1322"/>
      <c r="AW57" s="1322"/>
      <c r="AX57" s="1322"/>
      <c r="AY57" s="1322"/>
      <c r="AZ57" s="1322"/>
    </row>
    <row r="58" spans="1:52" x14ac:dyDescent="0.25">
      <c r="A58" s="1322"/>
      <c r="B58" s="1322"/>
      <c r="C58" s="1322"/>
      <c r="D58" s="1322"/>
      <c r="E58" s="1322"/>
      <c r="F58" s="1322"/>
      <c r="G58" s="1322"/>
      <c r="H58" s="1322"/>
      <c r="I58" s="1322"/>
      <c r="J58" s="1322"/>
      <c r="K58" s="1322"/>
      <c r="L58" s="1322"/>
      <c r="M58" s="1322"/>
      <c r="N58" s="1322"/>
      <c r="O58" s="1322"/>
      <c r="P58" s="1322"/>
      <c r="Q58" s="1322"/>
      <c r="R58" s="1322"/>
      <c r="S58" s="1322"/>
      <c r="T58" s="1322"/>
      <c r="U58" s="1322"/>
      <c r="V58" s="1322"/>
      <c r="W58" s="1322"/>
      <c r="X58" s="1322"/>
      <c r="Y58" s="1322"/>
      <c r="Z58" s="1322"/>
      <c r="AA58" s="1322"/>
      <c r="AB58" s="1322"/>
      <c r="AC58" s="1322"/>
      <c r="AD58" s="1322"/>
      <c r="AE58" s="1322"/>
      <c r="AF58" s="1322"/>
      <c r="AG58" s="1322"/>
      <c r="AH58" s="1322"/>
      <c r="AI58" s="1322"/>
      <c r="AJ58" s="1322"/>
      <c r="AK58" s="1322"/>
      <c r="AL58" s="1322"/>
      <c r="AM58" s="1322"/>
      <c r="AN58" s="1322"/>
      <c r="AO58" s="1322"/>
      <c r="AP58" s="1322"/>
      <c r="AQ58" s="1322"/>
      <c r="AR58" s="1322"/>
      <c r="AS58" s="1322"/>
      <c r="AT58" s="1322"/>
      <c r="AU58" s="1322"/>
      <c r="AV58" s="1322"/>
      <c r="AW58" s="1322"/>
      <c r="AX58" s="1322"/>
      <c r="AY58" s="1322"/>
      <c r="AZ58" s="1322"/>
    </row>
    <row r="59" spans="1:52" x14ac:dyDescent="0.25">
      <c r="A59" s="1322"/>
      <c r="B59" s="1322"/>
      <c r="C59" s="1322"/>
      <c r="D59" s="1322"/>
      <c r="E59" s="1322"/>
      <c r="F59" s="1322"/>
      <c r="G59" s="1322"/>
      <c r="H59" s="1322"/>
      <c r="I59" s="1322"/>
      <c r="J59" s="1322"/>
      <c r="K59" s="1322"/>
      <c r="L59" s="1322"/>
      <c r="M59" s="1322"/>
      <c r="N59" s="1322"/>
      <c r="O59" s="1322"/>
      <c r="P59" s="1322"/>
      <c r="Q59" s="1322"/>
      <c r="R59" s="1322"/>
      <c r="S59" s="1322"/>
      <c r="T59" s="1322"/>
      <c r="U59" s="1322"/>
      <c r="V59" s="1322"/>
      <c r="W59" s="1322"/>
      <c r="X59" s="1322"/>
      <c r="Y59" s="1322"/>
      <c r="Z59" s="1322"/>
      <c r="AA59" s="1322"/>
      <c r="AB59" s="1322"/>
      <c r="AC59" s="1322"/>
      <c r="AD59" s="1322"/>
      <c r="AE59" s="1322"/>
      <c r="AF59" s="1322"/>
      <c r="AG59" s="1322"/>
      <c r="AH59" s="1322"/>
      <c r="AI59" s="1322"/>
      <c r="AJ59" s="1322"/>
      <c r="AK59" s="1322"/>
      <c r="AL59" s="1322"/>
      <c r="AM59" s="1322"/>
      <c r="AN59" s="1322"/>
      <c r="AO59" s="1322"/>
      <c r="AP59" s="1322"/>
      <c r="AQ59" s="1322"/>
      <c r="AR59" s="1322"/>
      <c r="AS59" s="1322"/>
      <c r="AT59" s="1322"/>
      <c r="AU59" s="1322"/>
      <c r="AV59" s="1322"/>
      <c r="AW59" s="1322"/>
      <c r="AX59" s="1322"/>
      <c r="AY59" s="1322"/>
      <c r="AZ59" s="1322"/>
    </row>
    <row r="60" spans="1:52" x14ac:dyDescent="0.25">
      <c r="A60" s="1322"/>
      <c r="B60" s="1322"/>
      <c r="C60" s="1322"/>
      <c r="D60" s="1322"/>
      <c r="E60" s="1322"/>
      <c r="F60" s="1322"/>
      <c r="G60" s="1322"/>
      <c r="H60" s="1322"/>
      <c r="I60" s="1322"/>
      <c r="J60" s="1322"/>
      <c r="K60" s="1322"/>
      <c r="L60" s="1322"/>
      <c r="M60" s="1322"/>
      <c r="N60" s="1322"/>
      <c r="O60" s="1322"/>
      <c r="P60" s="1322"/>
      <c r="Q60" s="1322"/>
      <c r="R60" s="1322"/>
      <c r="S60" s="1322"/>
      <c r="T60" s="1322"/>
      <c r="U60" s="1322"/>
      <c r="V60" s="1322"/>
      <c r="W60" s="1322"/>
      <c r="X60" s="1322"/>
      <c r="Y60" s="1322"/>
      <c r="Z60" s="1322"/>
      <c r="AA60" s="1322"/>
      <c r="AB60" s="1322"/>
      <c r="AC60" s="1322"/>
      <c r="AD60" s="1322"/>
      <c r="AE60" s="1322"/>
      <c r="AF60" s="1322"/>
      <c r="AG60" s="1322"/>
      <c r="AH60" s="1322"/>
      <c r="AI60" s="1322"/>
      <c r="AJ60" s="1322"/>
      <c r="AK60" s="1322"/>
      <c r="AL60" s="1322"/>
      <c r="AM60" s="1322"/>
      <c r="AN60" s="1322"/>
      <c r="AO60" s="1322"/>
      <c r="AP60" s="1322"/>
      <c r="AQ60" s="1322"/>
      <c r="AR60" s="1322"/>
      <c r="AS60" s="1322"/>
      <c r="AT60" s="1322"/>
      <c r="AU60" s="1322"/>
      <c r="AV60" s="1322"/>
      <c r="AW60" s="1322"/>
      <c r="AX60" s="1322"/>
      <c r="AY60" s="1322"/>
      <c r="AZ60" s="1322"/>
    </row>
    <row r="61" spans="1:52" x14ac:dyDescent="0.25">
      <c r="A61" s="1322"/>
      <c r="B61" s="1322"/>
      <c r="C61" s="1322"/>
      <c r="D61" s="1322"/>
      <c r="E61" s="1322"/>
      <c r="F61" s="1322"/>
      <c r="G61" s="1322"/>
      <c r="H61" s="1322"/>
      <c r="I61" s="1322"/>
      <c r="J61" s="1322"/>
      <c r="K61" s="1322"/>
      <c r="L61" s="1322"/>
      <c r="M61" s="1322"/>
      <c r="N61" s="1322"/>
      <c r="O61" s="1322"/>
      <c r="P61" s="1322"/>
      <c r="Q61" s="1322"/>
      <c r="R61" s="1322"/>
      <c r="S61" s="1322"/>
      <c r="T61" s="1322"/>
      <c r="U61" s="1322"/>
      <c r="V61" s="1322"/>
      <c r="W61" s="1322"/>
      <c r="X61" s="1322"/>
      <c r="Y61" s="1322"/>
      <c r="Z61" s="1322"/>
      <c r="AA61" s="1322"/>
      <c r="AB61" s="1322"/>
      <c r="AC61" s="1322"/>
      <c r="AD61" s="1322"/>
      <c r="AE61" s="1322"/>
      <c r="AF61" s="1322"/>
      <c r="AG61" s="1322"/>
      <c r="AH61" s="1322"/>
      <c r="AI61" s="1322"/>
      <c r="AJ61" s="1322"/>
      <c r="AK61" s="1322"/>
      <c r="AL61" s="1322"/>
      <c r="AM61" s="1322"/>
      <c r="AN61" s="1322"/>
      <c r="AO61" s="1322"/>
      <c r="AP61" s="1322"/>
      <c r="AQ61" s="1322"/>
      <c r="AR61" s="1322"/>
      <c r="AS61" s="1322"/>
      <c r="AT61" s="1322"/>
      <c r="AU61" s="1322"/>
      <c r="AV61" s="1322"/>
      <c r="AW61" s="1322"/>
      <c r="AX61" s="1322"/>
      <c r="AY61" s="1322"/>
      <c r="AZ61" s="1322"/>
    </row>
    <row r="62" spans="1:52" x14ac:dyDescent="0.25">
      <c r="A62" s="1322"/>
      <c r="B62" s="1322"/>
      <c r="C62" s="1322"/>
      <c r="D62" s="1322"/>
      <c r="E62" s="1322"/>
      <c r="F62" s="1322"/>
      <c r="G62" s="1322"/>
      <c r="H62" s="1322"/>
      <c r="I62" s="1322"/>
      <c r="J62" s="1322"/>
      <c r="K62" s="1322"/>
      <c r="L62" s="1322"/>
      <c r="M62" s="1322"/>
      <c r="N62" s="1322"/>
      <c r="O62" s="1322"/>
      <c r="P62" s="1322"/>
      <c r="Q62" s="1322"/>
      <c r="R62" s="1322"/>
      <c r="S62" s="1322"/>
      <c r="T62" s="1322"/>
      <c r="U62" s="1322"/>
      <c r="V62" s="1322"/>
      <c r="W62" s="1322"/>
      <c r="X62" s="1322"/>
      <c r="Y62" s="1322"/>
      <c r="Z62" s="1322"/>
      <c r="AA62" s="1322"/>
      <c r="AB62" s="1322"/>
      <c r="AC62" s="1322"/>
      <c r="AD62" s="1322"/>
      <c r="AE62" s="1322"/>
      <c r="AF62" s="1322"/>
      <c r="AG62" s="1322"/>
      <c r="AH62" s="1322"/>
      <c r="AI62" s="1322"/>
      <c r="AJ62" s="1322"/>
      <c r="AK62" s="1322"/>
      <c r="AL62" s="1322"/>
      <c r="AM62" s="1322"/>
      <c r="AN62" s="1322"/>
      <c r="AO62" s="1322"/>
      <c r="AP62" s="1322"/>
      <c r="AQ62" s="1322"/>
      <c r="AR62" s="1322"/>
      <c r="AS62" s="1322"/>
      <c r="AT62" s="1322"/>
      <c r="AU62" s="1322"/>
      <c r="AV62" s="1322"/>
      <c r="AW62" s="1322"/>
      <c r="AX62" s="1322"/>
      <c r="AY62" s="1322"/>
      <c r="AZ62" s="1322"/>
    </row>
    <row r="63" spans="1:52" x14ac:dyDescent="0.25">
      <c r="A63" s="1322"/>
      <c r="B63" s="1322"/>
      <c r="C63" s="1322"/>
      <c r="D63" s="1322"/>
      <c r="E63" s="1322"/>
      <c r="F63" s="1322"/>
      <c r="G63" s="1322"/>
      <c r="H63" s="1322"/>
      <c r="I63" s="1322"/>
      <c r="J63" s="1322"/>
      <c r="K63" s="1322"/>
      <c r="L63" s="1322"/>
      <c r="M63" s="1322"/>
      <c r="N63" s="1322"/>
      <c r="O63" s="1322"/>
      <c r="P63" s="1322"/>
      <c r="Q63" s="1322"/>
      <c r="R63" s="1322"/>
      <c r="S63" s="1322"/>
      <c r="T63" s="1322"/>
      <c r="U63" s="1322"/>
      <c r="V63" s="1322"/>
      <c r="W63" s="1322"/>
      <c r="X63" s="1322"/>
      <c r="Y63" s="1322"/>
      <c r="Z63" s="1322"/>
      <c r="AA63" s="1322"/>
      <c r="AB63" s="1322"/>
      <c r="AC63" s="1322"/>
      <c r="AD63" s="1322"/>
      <c r="AE63" s="1322"/>
      <c r="AF63" s="1322"/>
      <c r="AG63" s="1322"/>
      <c r="AH63" s="1322"/>
      <c r="AI63" s="1322"/>
      <c r="AJ63" s="1322"/>
      <c r="AK63" s="1322"/>
      <c r="AL63" s="1322"/>
      <c r="AM63" s="1322"/>
      <c r="AN63" s="1322"/>
      <c r="AO63" s="1322"/>
      <c r="AP63" s="1322"/>
      <c r="AQ63" s="1322"/>
      <c r="AR63" s="1322"/>
      <c r="AS63" s="1322"/>
      <c r="AT63" s="1322"/>
      <c r="AU63" s="1322"/>
      <c r="AV63" s="1322"/>
      <c r="AW63" s="1322"/>
      <c r="AX63" s="1322"/>
      <c r="AY63" s="1322"/>
      <c r="AZ63" s="1322"/>
    </row>
    <row r="64" spans="1:52" x14ac:dyDescent="0.25">
      <c r="A64" s="1322"/>
      <c r="B64" s="1322"/>
      <c r="C64" s="1322"/>
      <c r="D64" s="1322"/>
      <c r="E64" s="1322"/>
      <c r="F64" s="1322"/>
      <c r="G64" s="1322"/>
      <c r="H64" s="1322"/>
      <c r="I64" s="1322"/>
      <c r="J64" s="1322"/>
      <c r="K64" s="1322"/>
      <c r="L64" s="1322"/>
      <c r="M64" s="1322"/>
      <c r="N64" s="1322"/>
      <c r="O64" s="1322"/>
      <c r="P64" s="1322"/>
      <c r="Q64" s="1322"/>
      <c r="R64" s="1322"/>
      <c r="S64" s="1322"/>
      <c r="T64" s="1322"/>
      <c r="U64" s="1322"/>
      <c r="V64" s="1322"/>
      <c r="W64" s="1322"/>
      <c r="X64" s="1322"/>
      <c r="Y64" s="1322"/>
      <c r="Z64" s="1322"/>
      <c r="AA64" s="1322"/>
      <c r="AB64" s="1322"/>
      <c r="AC64" s="1322"/>
      <c r="AD64" s="1322"/>
      <c r="AE64" s="1322"/>
      <c r="AF64" s="1322"/>
      <c r="AG64" s="1322"/>
      <c r="AH64" s="1322"/>
      <c r="AI64" s="1322"/>
      <c r="AJ64" s="1322"/>
      <c r="AK64" s="1322"/>
      <c r="AL64" s="1322"/>
      <c r="AM64" s="1322"/>
      <c r="AN64" s="1322"/>
      <c r="AO64" s="1322"/>
      <c r="AP64" s="1322"/>
      <c r="AQ64" s="1322"/>
      <c r="AR64" s="1322"/>
      <c r="AS64" s="1322"/>
      <c r="AT64" s="1322"/>
      <c r="AU64" s="1322"/>
      <c r="AV64" s="1322"/>
      <c r="AW64" s="1322"/>
      <c r="AX64" s="1322"/>
      <c r="AY64" s="1322"/>
      <c r="AZ64" s="1322"/>
    </row>
    <row r="65" spans="1:52" x14ac:dyDescent="0.25">
      <c r="A65" s="1322"/>
      <c r="B65" s="1322"/>
      <c r="C65" s="1322"/>
      <c r="D65" s="1322"/>
      <c r="E65" s="1322"/>
      <c r="F65" s="1322"/>
      <c r="G65" s="1322"/>
      <c r="H65" s="1322"/>
      <c r="I65" s="1322"/>
      <c r="J65" s="1322"/>
      <c r="K65" s="1322"/>
      <c r="L65" s="1322"/>
      <c r="M65" s="1322"/>
      <c r="N65" s="1322"/>
      <c r="O65" s="1322"/>
      <c r="P65" s="1322"/>
      <c r="Q65" s="1322"/>
      <c r="R65" s="1322"/>
      <c r="S65" s="1322"/>
      <c r="T65" s="1322"/>
      <c r="U65" s="1322"/>
      <c r="V65" s="1322"/>
      <c r="W65" s="1322"/>
      <c r="X65" s="1322"/>
      <c r="Y65" s="1322"/>
      <c r="Z65" s="1322"/>
      <c r="AA65" s="1322"/>
      <c r="AB65" s="1322"/>
      <c r="AC65" s="1322"/>
      <c r="AD65" s="1322"/>
      <c r="AE65" s="1322"/>
      <c r="AF65" s="1322"/>
      <c r="AG65" s="1322"/>
      <c r="AH65" s="1322"/>
      <c r="AI65" s="1322"/>
      <c r="AJ65" s="1322"/>
      <c r="AK65" s="1322"/>
      <c r="AL65" s="1322"/>
      <c r="AM65" s="1322"/>
      <c r="AN65" s="1322"/>
      <c r="AO65" s="1322"/>
      <c r="AP65" s="1322"/>
      <c r="AQ65" s="1322"/>
      <c r="AR65" s="1322"/>
      <c r="AS65" s="1322"/>
      <c r="AT65" s="1322"/>
      <c r="AU65" s="1322"/>
      <c r="AV65" s="1322"/>
      <c r="AW65" s="1322"/>
      <c r="AX65" s="1322"/>
      <c r="AY65" s="1322"/>
      <c r="AZ65" s="1322"/>
    </row>
    <row r="66" spans="1:52" x14ac:dyDescent="0.25">
      <c r="A66" s="1322"/>
      <c r="B66" s="1322"/>
      <c r="C66" s="1322"/>
      <c r="D66" s="1322"/>
      <c r="E66" s="1322"/>
      <c r="F66" s="1322"/>
      <c r="G66" s="1322"/>
      <c r="H66" s="1322"/>
      <c r="I66" s="1322"/>
      <c r="J66" s="1322"/>
      <c r="K66" s="1322"/>
      <c r="L66" s="1322"/>
      <c r="M66" s="1322"/>
      <c r="N66" s="1322"/>
      <c r="O66" s="1322"/>
      <c r="P66" s="1322"/>
      <c r="Q66" s="1322"/>
      <c r="R66" s="1322"/>
      <c r="S66" s="1322"/>
      <c r="T66" s="1322"/>
      <c r="U66" s="1322"/>
      <c r="V66" s="1322"/>
      <c r="W66" s="1322"/>
      <c r="X66" s="1322"/>
      <c r="Y66" s="1322"/>
      <c r="Z66" s="1322"/>
      <c r="AA66" s="1322"/>
      <c r="AB66" s="1322"/>
      <c r="AC66" s="1322"/>
      <c r="AD66" s="1322"/>
      <c r="AE66" s="1322"/>
      <c r="AF66" s="1322"/>
      <c r="AG66" s="1322"/>
      <c r="AH66" s="1322"/>
      <c r="AI66" s="1322"/>
      <c r="AJ66" s="1322"/>
      <c r="AK66" s="1322"/>
      <c r="AL66" s="1322"/>
      <c r="AM66" s="1322"/>
      <c r="AN66" s="1322"/>
      <c r="AO66" s="1322"/>
      <c r="AP66" s="1322"/>
      <c r="AQ66" s="1322"/>
      <c r="AR66" s="1322"/>
      <c r="AS66" s="1322"/>
      <c r="AT66" s="1322"/>
      <c r="AU66" s="1322"/>
      <c r="AV66" s="1322"/>
      <c r="AW66" s="1322"/>
      <c r="AX66" s="1322"/>
      <c r="AY66" s="1322"/>
      <c r="AZ66" s="1322"/>
    </row>
    <row r="67" spans="1:52" x14ac:dyDescent="0.25">
      <c r="A67" s="1322"/>
      <c r="B67" s="1322"/>
      <c r="C67" s="1322"/>
      <c r="D67" s="1322"/>
      <c r="E67" s="1322"/>
      <c r="F67" s="1322"/>
      <c r="G67" s="1322"/>
      <c r="H67" s="1322"/>
      <c r="I67" s="1322"/>
      <c r="J67" s="1322"/>
      <c r="K67" s="1322"/>
      <c r="L67" s="1322"/>
      <c r="M67" s="1322"/>
      <c r="N67" s="1322"/>
      <c r="O67" s="1322"/>
      <c r="P67" s="1322"/>
      <c r="Q67" s="1322"/>
      <c r="R67" s="1322"/>
      <c r="S67" s="1322"/>
      <c r="T67" s="1322"/>
      <c r="U67" s="1322"/>
      <c r="V67" s="1322"/>
      <c r="W67" s="1322"/>
      <c r="X67" s="1322"/>
      <c r="Y67" s="1322"/>
      <c r="Z67" s="1322"/>
      <c r="AA67" s="1322"/>
      <c r="AB67" s="1322"/>
      <c r="AC67" s="1322"/>
      <c r="AD67" s="1322"/>
      <c r="AE67" s="1322"/>
      <c r="AF67" s="1322"/>
      <c r="AG67" s="1322"/>
      <c r="AH67" s="1322"/>
      <c r="AI67" s="1322"/>
      <c r="AJ67" s="1322"/>
      <c r="AK67" s="1322"/>
      <c r="AL67" s="1322"/>
      <c r="AM67" s="1322"/>
      <c r="AN67" s="1322"/>
      <c r="AO67" s="1322"/>
      <c r="AP67" s="1322"/>
      <c r="AQ67" s="1322"/>
      <c r="AR67" s="1322"/>
      <c r="AS67" s="1322"/>
      <c r="AT67" s="1322"/>
      <c r="AU67" s="1322"/>
      <c r="AV67" s="1322"/>
      <c r="AW67" s="1322"/>
      <c r="AX67" s="1322"/>
      <c r="AY67" s="1322"/>
      <c r="AZ67" s="1322"/>
    </row>
    <row r="68" spans="1:52" x14ac:dyDescent="0.25">
      <c r="A68" s="1322"/>
      <c r="B68" s="1322"/>
      <c r="C68" s="1322"/>
      <c r="D68" s="1322"/>
      <c r="E68" s="1322"/>
      <c r="F68" s="1322"/>
      <c r="G68" s="1322"/>
      <c r="H68" s="1322"/>
      <c r="I68" s="1322"/>
      <c r="J68" s="1322"/>
      <c r="K68" s="1322"/>
      <c r="L68" s="1322"/>
      <c r="M68" s="1322"/>
      <c r="N68" s="1322"/>
      <c r="O68" s="1322"/>
      <c r="P68" s="1322"/>
      <c r="Q68" s="1322"/>
      <c r="R68" s="1322"/>
      <c r="S68" s="1322"/>
      <c r="T68" s="1322"/>
      <c r="U68" s="1322"/>
      <c r="V68" s="1322"/>
      <c r="W68" s="1322"/>
      <c r="X68" s="1322"/>
      <c r="Y68" s="1322"/>
      <c r="Z68" s="1322"/>
      <c r="AA68" s="1322"/>
      <c r="AB68" s="1322"/>
      <c r="AC68" s="1322"/>
      <c r="AD68" s="1322"/>
      <c r="AE68" s="1322"/>
      <c r="AF68" s="1322"/>
      <c r="AG68" s="1322"/>
      <c r="AH68" s="1322"/>
      <c r="AI68" s="1322"/>
      <c r="AJ68" s="1322"/>
      <c r="AK68" s="1322"/>
      <c r="AL68" s="1322"/>
      <c r="AM68" s="1322"/>
      <c r="AN68" s="1322"/>
      <c r="AO68" s="1322"/>
      <c r="AP68" s="1322"/>
      <c r="AQ68" s="1322"/>
      <c r="AR68" s="1322"/>
      <c r="AS68" s="1322"/>
      <c r="AT68" s="1322"/>
      <c r="AU68" s="1322"/>
      <c r="AV68" s="1322"/>
      <c r="AW68" s="1322"/>
      <c r="AX68" s="1322"/>
      <c r="AY68" s="1322"/>
      <c r="AZ68" s="1322"/>
    </row>
    <row r="69" spans="1:52" x14ac:dyDescent="0.25">
      <c r="A69" s="1322"/>
      <c r="B69" s="1322"/>
      <c r="C69" s="1322"/>
      <c r="D69" s="1322"/>
      <c r="E69" s="1322"/>
      <c r="F69" s="1322"/>
      <c r="G69" s="1322"/>
      <c r="H69" s="1322"/>
      <c r="I69" s="1322"/>
      <c r="J69" s="1322"/>
      <c r="K69" s="1322"/>
      <c r="L69" s="1322"/>
      <c r="M69" s="1322"/>
      <c r="N69" s="1322"/>
      <c r="O69" s="1322"/>
      <c r="P69" s="1322"/>
      <c r="Q69" s="1322"/>
      <c r="R69" s="1322"/>
      <c r="S69" s="1322"/>
      <c r="T69" s="1322"/>
      <c r="U69" s="1322"/>
      <c r="V69" s="1322"/>
      <c r="W69" s="1322"/>
      <c r="X69" s="1322"/>
      <c r="Y69" s="1322"/>
      <c r="Z69" s="1322"/>
      <c r="AA69" s="1322"/>
      <c r="AB69" s="1322"/>
      <c r="AC69" s="1322"/>
      <c r="AD69" s="1322"/>
      <c r="AE69" s="1322"/>
      <c r="AF69" s="1322"/>
      <c r="AG69" s="1322"/>
      <c r="AH69" s="1322"/>
      <c r="AI69" s="1322"/>
      <c r="AJ69" s="1322"/>
      <c r="AK69" s="1322"/>
      <c r="AL69" s="1322"/>
      <c r="AM69" s="1322"/>
      <c r="AN69" s="1322"/>
      <c r="AO69" s="1322"/>
      <c r="AP69" s="1322"/>
      <c r="AQ69" s="1322"/>
      <c r="AR69" s="1322"/>
      <c r="AS69" s="1322"/>
      <c r="AT69" s="1322"/>
      <c r="AU69" s="1322"/>
      <c r="AV69" s="1322"/>
      <c r="AW69" s="1322"/>
      <c r="AX69" s="1322"/>
      <c r="AY69" s="1322"/>
      <c r="AZ69" s="1322"/>
    </row>
    <row r="70" spans="1:52" x14ac:dyDescent="0.25">
      <c r="A70" s="1322"/>
      <c r="B70" s="1322"/>
      <c r="C70" s="1322"/>
      <c r="D70" s="1322"/>
      <c r="E70" s="1322"/>
      <c r="F70" s="1322"/>
      <c r="G70" s="1322"/>
      <c r="H70" s="1322"/>
      <c r="I70" s="1322"/>
      <c r="J70" s="1322"/>
      <c r="K70" s="1322"/>
      <c r="L70" s="1322"/>
      <c r="M70" s="1322"/>
      <c r="N70" s="1322"/>
      <c r="O70" s="1322"/>
      <c r="P70" s="1322"/>
      <c r="Q70" s="1322"/>
      <c r="R70" s="1322"/>
      <c r="S70" s="1322"/>
      <c r="T70" s="1322"/>
      <c r="U70" s="1322"/>
      <c r="V70" s="1322"/>
      <c r="W70" s="1322"/>
      <c r="X70" s="1322"/>
      <c r="Y70" s="1322"/>
      <c r="Z70" s="1322"/>
      <c r="AA70" s="1322"/>
      <c r="AB70" s="1322"/>
      <c r="AC70" s="1322"/>
      <c r="AD70" s="1322"/>
      <c r="AE70" s="1322"/>
      <c r="AF70" s="1322"/>
      <c r="AG70" s="1322"/>
      <c r="AH70" s="1322"/>
      <c r="AI70" s="1322"/>
      <c r="AJ70" s="1322"/>
      <c r="AK70" s="1322"/>
      <c r="AL70" s="1322"/>
      <c r="AM70" s="1322"/>
      <c r="AN70" s="1322"/>
      <c r="AO70" s="1322"/>
      <c r="AP70" s="1322"/>
      <c r="AQ70" s="1322"/>
      <c r="AR70" s="1322"/>
      <c r="AS70" s="1322"/>
      <c r="AT70" s="1322"/>
      <c r="AU70" s="1322"/>
      <c r="AV70" s="1322"/>
      <c r="AW70" s="1322"/>
      <c r="AX70" s="1322"/>
      <c r="AY70" s="1322"/>
      <c r="AZ70" s="1322"/>
    </row>
    <row r="71" spans="1:52" x14ac:dyDescent="0.25">
      <c r="A71" s="1322"/>
      <c r="B71" s="1322"/>
      <c r="C71" s="1322"/>
      <c r="D71" s="1322"/>
      <c r="E71" s="1322"/>
      <c r="F71" s="1322"/>
      <c r="G71" s="1322"/>
      <c r="H71" s="1322"/>
      <c r="I71" s="1322"/>
      <c r="J71" s="1322"/>
      <c r="K71" s="1322"/>
      <c r="L71" s="1322"/>
      <c r="M71" s="1322"/>
      <c r="N71" s="1322"/>
      <c r="O71" s="1322"/>
      <c r="P71" s="1322"/>
      <c r="Q71" s="1322"/>
      <c r="R71" s="1322"/>
      <c r="S71" s="1322"/>
      <c r="T71" s="1322"/>
      <c r="U71" s="1322"/>
      <c r="V71" s="1322"/>
      <c r="W71" s="1322"/>
      <c r="X71" s="1322"/>
      <c r="Y71" s="1322"/>
      <c r="Z71" s="1322"/>
      <c r="AA71" s="1322"/>
      <c r="AB71" s="1322"/>
      <c r="AC71" s="1322"/>
      <c r="AD71" s="1322"/>
      <c r="AE71" s="1322"/>
      <c r="AF71" s="1322"/>
      <c r="AG71" s="1322"/>
      <c r="AH71" s="1322"/>
      <c r="AI71" s="1322"/>
      <c r="AJ71" s="1322"/>
      <c r="AK71" s="1322"/>
      <c r="AL71" s="1322"/>
      <c r="AM71" s="1322"/>
      <c r="AN71" s="1322"/>
      <c r="AO71" s="1322"/>
      <c r="AP71" s="1322"/>
      <c r="AQ71" s="1322"/>
      <c r="AR71" s="1322"/>
      <c r="AS71" s="1322"/>
      <c r="AT71" s="1322"/>
      <c r="AU71" s="1322"/>
      <c r="AV71" s="1322"/>
      <c r="AW71" s="1322"/>
      <c r="AX71" s="1322"/>
      <c r="AY71" s="1322"/>
      <c r="AZ71" s="1322"/>
    </row>
    <row r="72" spans="1:52" x14ac:dyDescent="0.25">
      <c r="A72" s="1322"/>
      <c r="B72" s="1322"/>
      <c r="C72" s="1322"/>
      <c r="D72" s="1322"/>
      <c r="E72" s="1322"/>
      <c r="F72" s="1322"/>
      <c r="G72" s="1322"/>
      <c r="H72" s="1322"/>
      <c r="I72" s="1322"/>
      <c r="J72" s="1322"/>
      <c r="K72" s="1322"/>
      <c r="L72" s="1322"/>
      <c r="M72" s="1322"/>
      <c r="N72" s="1322"/>
      <c r="O72" s="1322"/>
      <c r="P72" s="1322"/>
      <c r="Q72" s="1322"/>
      <c r="R72" s="1322"/>
      <c r="S72" s="1322"/>
      <c r="T72" s="1322"/>
      <c r="U72" s="1322"/>
      <c r="V72" s="1322"/>
      <c r="W72" s="1322"/>
      <c r="X72" s="1322"/>
      <c r="Y72" s="1322"/>
      <c r="Z72" s="1322"/>
      <c r="AA72" s="1322"/>
      <c r="AB72" s="1322"/>
      <c r="AC72" s="1322"/>
      <c r="AD72" s="1322"/>
      <c r="AE72" s="1322"/>
      <c r="AF72" s="1322"/>
      <c r="AG72" s="1322"/>
      <c r="AH72" s="1322"/>
      <c r="AI72" s="1322"/>
      <c r="AJ72" s="1322"/>
      <c r="AK72" s="1322"/>
      <c r="AL72" s="1322"/>
      <c r="AM72" s="1322"/>
      <c r="AN72" s="1322"/>
      <c r="AO72" s="1322"/>
      <c r="AP72" s="1322"/>
      <c r="AQ72" s="1322"/>
      <c r="AR72" s="1322"/>
      <c r="AS72" s="1322"/>
      <c r="AT72" s="1322"/>
      <c r="AU72" s="1322"/>
      <c r="AV72" s="1322"/>
      <c r="AW72" s="1322"/>
      <c r="AX72" s="1322"/>
      <c r="AY72" s="1322"/>
      <c r="AZ72" s="1322"/>
    </row>
    <row r="73" spans="1:52" x14ac:dyDescent="0.25">
      <c r="A73" s="1322"/>
      <c r="B73" s="1322"/>
      <c r="C73" s="1322"/>
      <c r="D73" s="1322"/>
      <c r="E73" s="1322"/>
      <c r="F73" s="1322"/>
      <c r="G73" s="1322"/>
      <c r="H73" s="1322"/>
      <c r="I73" s="1322"/>
      <c r="J73" s="1322"/>
      <c r="K73" s="1322"/>
      <c r="L73" s="1322"/>
      <c r="M73" s="1322"/>
      <c r="N73" s="1322"/>
      <c r="O73" s="1322"/>
      <c r="P73" s="1322"/>
      <c r="Q73" s="1322"/>
      <c r="R73" s="1322"/>
      <c r="S73" s="1322"/>
      <c r="T73" s="1322"/>
      <c r="U73" s="1322"/>
      <c r="V73" s="1322"/>
      <c r="W73" s="1322"/>
      <c r="X73" s="1322"/>
      <c r="Y73" s="1322"/>
      <c r="Z73" s="1322"/>
      <c r="AA73" s="1322"/>
      <c r="AB73" s="1322"/>
      <c r="AC73" s="1322"/>
      <c r="AD73" s="1322"/>
      <c r="AE73" s="1322"/>
      <c r="AF73" s="1322"/>
      <c r="AG73" s="1322"/>
      <c r="AH73" s="1322"/>
      <c r="AI73" s="1322"/>
      <c r="AJ73" s="1322"/>
      <c r="AK73" s="1322"/>
      <c r="AL73" s="1322"/>
      <c r="AM73" s="1322"/>
      <c r="AN73" s="1322"/>
      <c r="AO73" s="1322"/>
      <c r="AP73" s="1322"/>
      <c r="AQ73" s="1322"/>
      <c r="AR73" s="1322"/>
      <c r="AS73" s="1322"/>
      <c r="AT73" s="1322"/>
      <c r="AU73" s="1322"/>
      <c r="AV73" s="1322"/>
      <c r="AW73" s="1322"/>
      <c r="AX73" s="1322"/>
      <c r="AY73" s="1322"/>
      <c r="AZ73" s="1322"/>
    </row>
    <row r="74" spans="1:52" x14ac:dyDescent="0.25">
      <c r="A74" s="1322"/>
      <c r="B74" s="1322"/>
      <c r="C74" s="1322"/>
      <c r="D74" s="1322"/>
      <c r="E74" s="1322"/>
      <c r="F74" s="1322"/>
      <c r="G74" s="1322"/>
      <c r="H74" s="1322"/>
      <c r="I74" s="1322"/>
      <c r="J74" s="1322"/>
      <c r="K74" s="1322"/>
      <c r="L74" s="1322"/>
      <c r="M74" s="1322"/>
      <c r="N74" s="1322"/>
      <c r="O74" s="1322"/>
      <c r="P74" s="1322"/>
      <c r="Q74" s="1322"/>
      <c r="R74" s="1322"/>
      <c r="S74" s="1322"/>
      <c r="T74" s="1322"/>
      <c r="U74" s="1322"/>
      <c r="V74" s="1322"/>
      <c r="W74" s="1322"/>
      <c r="X74" s="1322"/>
      <c r="Y74" s="1322"/>
      <c r="Z74" s="1322"/>
      <c r="AA74" s="1322"/>
      <c r="AB74" s="1322"/>
      <c r="AC74" s="1322"/>
      <c r="AD74" s="1322"/>
      <c r="AE74" s="1322"/>
      <c r="AF74" s="1322"/>
      <c r="AG74" s="1322"/>
      <c r="AH74" s="1322"/>
      <c r="AI74" s="1322"/>
      <c r="AJ74" s="1322"/>
      <c r="AK74" s="1322"/>
      <c r="AL74" s="1322"/>
      <c r="AM74" s="1322"/>
      <c r="AN74" s="1322"/>
      <c r="AO74" s="1322"/>
      <c r="AP74" s="1322"/>
      <c r="AQ74" s="1322"/>
      <c r="AR74" s="1322"/>
      <c r="AS74" s="1322"/>
      <c r="AT74" s="1322"/>
      <c r="AU74" s="1322"/>
      <c r="AV74" s="1322"/>
      <c r="AW74" s="1322"/>
      <c r="AX74" s="1322"/>
      <c r="AY74" s="1322"/>
      <c r="AZ74" s="1322"/>
    </row>
    <row r="75" spans="1:52" x14ac:dyDescent="0.25">
      <c r="A75" s="1322"/>
      <c r="B75" s="1322"/>
      <c r="C75" s="1322"/>
      <c r="D75" s="1322"/>
      <c r="E75" s="1322"/>
      <c r="F75" s="1322"/>
      <c r="G75" s="1322"/>
      <c r="H75" s="1322"/>
      <c r="I75" s="1322"/>
      <c r="J75" s="1322"/>
      <c r="K75" s="1322"/>
      <c r="L75" s="1322"/>
      <c r="M75" s="1322"/>
      <c r="N75" s="1322"/>
      <c r="O75" s="1322"/>
      <c r="P75" s="1322"/>
      <c r="Q75" s="1322"/>
      <c r="R75" s="1322"/>
      <c r="S75" s="1322"/>
      <c r="T75" s="1322"/>
      <c r="U75" s="1322"/>
      <c r="V75" s="1322"/>
      <c r="W75" s="1322"/>
      <c r="X75" s="1322"/>
      <c r="Y75" s="1322"/>
      <c r="Z75" s="1322"/>
      <c r="AA75" s="1322"/>
      <c r="AB75" s="1322"/>
      <c r="AC75" s="1322"/>
      <c r="AD75" s="1322"/>
      <c r="AE75" s="1322"/>
      <c r="AF75" s="1322"/>
      <c r="AG75" s="1322"/>
      <c r="AH75" s="1322"/>
      <c r="AI75" s="1322"/>
      <c r="AJ75" s="1322"/>
      <c r="AK75" s="1322"/>
      <c r="AL75" s="1322"/>
      <c r="AM75" s="1322"/>
      <c r="AN75" s="1322"/>
      <c r="AO75" s="1322"/>
      <c r="AP75" s="1322"/>
      <c r="AQ75" s="1322"/>
      <c r="AR75" s="1322"/>
      <c r="AS75" s="1322"/>
      <c r="AT75" s="1322"/>
      <c r="AU75" s="1322"/>
      <c r="AV75" s="1322"/>
      <c r="AW75" s="1322"/>
      <c r="AX75" s="1322"/>
      <c r="AY75" s="1322"/>
      <c r="AZ75" s="1322"/>
    </row>
    <row r="76" spans="1:52" x14ac:dyDescent="0.25">
      <c r="A76" s="1322"/>
      <c r="B76" s="1322"/>
      <c r="C76" s="1322"/>
      <c r="D76" s="1322"/>
      <c r="E76" s="1322"/>
      <c r="F76" s="1322"/>
      <c r="G76" s="1322"/>
      <c r="H76" s="1322"/>
      <c r="I76" s="1322"/>
      <c r="J76" s="1322"/>
      <c r="K76" s="1322"/>
      <c r="L76" s="1322"/>
      <c r="M76" s="1322"/>
      <c r="N76" s="1322"/>
      <c r="O76" s="1322"/>
      <c r="P76" s="1322"/>
      <c r="Q76" s="1322"/>
      <c r="R76" s="1322"/>
      <c r="S76" s="1322"/>
      <c r="T76" s="1322"/>
      <c r="U76" s="1322"/>
      <c r="V76" s="1322"/>
      <c r="W76" s="1322"/>
      <c r="X76" s="1322"/>
      <c r="Y76" s="1322"/>
      <c r="Z76" s="1322"/>
      <c r="AA76" s="1322"/>
      <c r="AB76" s="1322"/>
      <c r="AC76" s="1322"/>
      <c r="AD76" s="1322"/>
      <c r="AE76" s="1322"/>
      <c r="AF76" s="1322"/>
      <c r="AG76" s="1322"/>
      <c r="AH76" s="1322"/>
      <c r="AI76" s="1322"/>
      <c r="AJ76" s="1322"/>
      <c r="AK76" s="1322"/>
      <c r="AL76" s="1322"/>
      <c r="AM76" s="1322"/>
      <c r="AN76" s="1322"/>
      <c r="AO76" s="1322"/>
      <c r="AP76" s="1322"/>
      <c r="AQ76" s="1322"/>
      <c r="AR76" s="1322"/>
      <c r="AS76" s="1322"/>
      <c r="AT76" s="1322"/>
      <c r="AU76" s="1322"/>
      <c r="AV76" s="1322"/>
      <c r="AW76" s="1322"/>
      <c r="AX76" s="1322"/>
      <c r="AY76" s="1322"/>
      <c r="AZ76" s="1322"/>
    </row>
    <row r="77" spans="1:52" x14ac:dyDescent="0.25">
      <c r="A77" s="1322"/>
      <c r="B77" s="1322"/>
      <c r="C77" s="1322"/>
      <c r="D77" s="1322"/>
      <c r="E77" s="1322"/>
      <c r="F77" s="1322"/>
      <c r="G77" s="1322"/>
      <c r="H77" s="1322"/>
      <c r="I77" s="1322"/>
      <c r="J77" s="1322"/>
      <c r="K77" s="1322"/>
      <c r="L77" s="1322"/>
      <c r="M77" s="1322"/>
      <c r="N77" s="1322"/>
      <c r="O77" s="1322"/>
      <c r="P77" s="1322"/>
      <c r="Q77" s="1322"/>
      <c r="R77" s="1322"/>
      <c r="S77" s="1322"/>
      <c r="T77" s="1322"/>
      <c r="U77" s="1322"/>
      <c r="V77" s="1322"/>
      <c r="W77" s="1322"/>
      <c r="X77" s="1322"/>
      <c r="Y77" s="1322"/>
      <c r="Z77" s="1322"/>
      <c r="AA77" s="1322"/>
      <c r="AB77" s="1322"/>
      <c r="AC77" s="1322"/>
      <c r="AD77" s="1322"/>
      <c r="AE77" s="1322"/>
      <c r="AF77" s="1322"/>
      <c r="AG77" s="1322"/>
      <c r="AH77" s="1322"/>
      <c r="AI77" s="1322"/>
      <c r="AJ77" s="1322"/>
      <c r="AK77" s="1322"/>
      <c r="AL77" s="1322"/>
      <c r="AM77" s="1322"/>
      <c r="AN77" s="1322"/>
      <c r="AO77" s="1322"/>
      <c r="AP77" s="1322"/>
      <c r="AQ77" s="1322"/>
      <c r="AR77" s="1322"/>
      <c r="AS77" s="1322"/>
      <c r="AT77" s="1322"/>
      <c r="AU77" s="1322"/>
      <c r="AV77" s="1322"/>
      <c r="AW77" s="1322"/>
      <c r="AX77" s="1322"/>
      <c r="AY77" s="1322"/>
      <c r="AZ77" s="1322"/>
    </row>
    <row r="78" spans="1:52" x14ac:dyDescent="0.25">
      <c r="A78" s="1322"/>
      <c r="B78" s="1322"/>
      <c r="C78" s="1322"/>
      <c r="D78" s="1322"/>
      <c r="E78" s="1322"/>
      <c r="F78" s="1322"/>
      <c r="G78" s="1322"/>
      <c r="H78" s="1322"/>
      <c r="I78" s="1322"/>
      <c r="J78" s="1322"/>
      <c r="K78" s="1322"/>
      <c r="L78" s="1322"/>
      <c r="M78" s="1322"/>
      <c r="N78" s="1322"/>
      <c r="O78" s="1322"/>
      <c r="P78" s="1322"/>
      <c r="Q78" s="1322"/>
      <c r="R78" s="1322"/>
      <c r="S78" s="1322"/>
      <c r="T78" s="1322"/>
      <c r="U78" s="1322"/>
      <c r="V78" s="1322"/>
      <c r="W78" s="1322"/>
      <c r="X78" s="1322"/>
      <c r="Y78" s="1322"/>
      <c r="Z78" s="1322"/>
      <c r="AA78" s="1322"/>
      <c r="AB78" s="1322"/>
      <c r="AC78" s="1322"/>
      <c r="AD78" s="1322"/>
      <c r="AE78" s="1322"/>
      <c r="AF78" s="1322"/>
      <c r="AG78" s="1322"/>
      <c r="AH78" s="1322"/>
      <c r="AI78" s="1322"/>
      <c r="AJ78" s="1322"/>
      <c r="AK78" s="1322"/>
      <c r="AL78" s="1322"/>
      <c r="AM78" s="1322"/>
      <c r="AN78" s="1322"/>
      <c r="AO78" s="1322"/>
      <c r="AP78" s="1322"/>
      <c r="AQ78" s="1322"/>
      <c r="AR78" s="1322"/>
      <c r="AS78" s="1322"/>
      <c r="AT78" s="1322"/>
      <c r="AU78" s="1322"/>
      <c r="AV78" s="1322"/>
      <c r="AW78" s="1322"/>
      <c r="AX78" s="1322"/>
      <c r="AY78" s="1322"/>
      <c r="AZ78" s="1322"/>
    </row>
    <row r="79" spans="1:52" x14ac:dyDescent="0.25">
      <c r="A79" s="1322"/>
      <c r="B79" s="1322"/>
      <c r="C79" s="1322"/>
      <c r="D79" s="1322"/>
      <c r="E79" s="1322"/>
      <c r="F79" s="1322"/>
      <c r="G79" s="1322"/>
      <c r="H79" s="1322"/>
      <c r="I79" s="1322"/>
      <c r="J79" s="1322"/>
      <c r="K79" s="1322"/>
      <c r="L79" s="1322"/>
      <c r="M79" s="1322"/>
      <c r="N79" s="1322"/>
      <c r="O79" s="1322"/>
      <c r="P79" s="1322"/>
      <c r="Q79" s="1322"/>
      <c r="R79" s="1322"/>
      <c r="S79" s="1322"/>
      <c r="T79" s="1322"/>
      <c r="U79" s="1322"/>
      <c r="V79" s="1322"/>
      <c r="W79" s="1322"/>
      <c r="X79" s="1322"/>
      <c r="Y79" s="1322"/>
      <c r="Z79" s="1322"/>
      <c r="AA79" s="1322"/>
      <c r="AB79" s="1322"/>
      <c r="AC79" s="1322"/>
      <c r="AD79" s="1322"/>
      <c r="AE79" s="1322"/>
      <c r="AF79" s="1322"/>
      <c r="AG79" s="1322"/>
      <c r="AH79" s="1322"/>
      <c r="AI79" s="1322"/>
      <c r="AJ79" s="1322"/>
      <c r="AK79" s="1322"/>
      <c r="AL79" s="1322"/>
      <c r="AM79" s="1322"/>
      <c r="AN79" s="1322"/>
      <c r="AO79" s="1322"/>
      <c r="AP79" s="1322"/>
      <c r="AQ79" s="1322"/>
      <c r="AR79" s="1322"/>
      <c r="AS79" s="1322"/>
      <c r="AT79" s="1322"/>
      <c r="AU79" s="1322"/>
      <c r="AV79" s="1322"/>
      <c r="AW79" s="1322"/>
      <c r="AX79" s="1322"/>
      <c r="AY79" s="1322"/>
      <c r="AZ79" s="1322"/>
    </row>
    <row r="80" spans="1:52" x14ac:dyDescent="0.25">
      <c r="A80" s="1322"/>
      <c r="B80" s="1322"/>
      <c r="C80" s="1322"/>
      <c r="D80" s="1322"/>
      <c r="E80" s="1322"/>
      <c r="F80" s="1322"/>
      <c r="G80" s="1322"/>
      <c r="H80" s="1322"/>
      <c r="I80" s="1322"/>
      <c r="J80" s="1322"/>
      <c r="K80" s="1322"/>
      <c r="L80" s="1322"/>
      <c r="M80" s="1322"/>
      <c r="N80" s="1322"/>
      <c r="O80" s="1322"/>
      <c r="P80" s="1322"/>
      <c r="Q80" s="1322"/>
      <c r="R80" s="1322"/>
      <c r="S80" s="1322"/>
      <c r="T80" s="1322"/>
      <c r="U80" s="1322"/>
      <c r="V80" s="1322"/>
      <c r="W80" s="1322"/>
      <c r="X80" s="1322"/>
      <c r="Y80" s="1322"/>
      <c r="Z80" s="1322"/>
      <c r="AA80" s="1322"/>
      <c r="AB80" s="1322"/>
      <c r="AC80" s="1322"/>
      <c r="AD80" s="1322"/>
      <c r="AE80" s="1322"/>
      <c r="AF80" s="1322"/>
      <c r="AG80" s="1322"/>
      <c r="AH80" s="1322"/>
      <c r="AI80" s="1322"/>
      <c r="AJ80" s="1322"/>
      <c r="AK80" s="1322"/>
      <c r="AL80" s="1322"/>
      <c r="AM80" s="1322"/>
      <c r="AN80" s="1322"/>
      <c r="AO80" s="1322"/>
      <c r="AP80" s="1322"/>
      <c r="AQ80" s="1322"/>
      <c r="AR80" s="1322"/>
      <c r="AS80" s="1322"/>
      <c r="AT80" s="1322"/>
      <c r="AU80" s="1322"/>
      <c r="AV80" s="1322"/>
      <c r="AW80" s="1322"/>
      <c r="AX80" s="1322"/>
      <c r="AY80" s="1322"/>
      <c r="AZ80" s="1322"/>
    </row>
    <row r="81" spans="1:52" x14ac:dyDescent="0.25">
      <c r="A81" s="1322"/>
      <c r="B81" s="1322"/>
      <c r="C81" s="1322"/>
      <c r="D81" s="1322"/>
      <c r="E81" s="1322"/>
      <c r="F81" s="1322"/>
      <c r="G81" s="1322"/>
      <c r="H81" s="1322"/>
      <c r="I81" s="1322"/>
      <c r="J81" s="1322"/>
      <c r="K81" s="1322"/>
      <c r="L81" s="1322"/>
      <c r="M81" s="1322"/>
      <c r="N81" s="1322"/>
      <c r="O81" s="1322"/>
      <c r="P81" s="1322"/>
      <c r="Q81" s="1322"/>
      <c r="R81" s="1322"/>
      <c r="S81" s="1322"/>
      <c r="T81" s="1322"/>
      <c r="U81" s="1322"/>
      <c r="V81" s="1322"/>
      <c r="W81" s="1322"/>
      <c r="X81" s="1322"/>
      <c r="Y81" s="1322"/>
      <c r="Z81" s="1322"/>
      <c r="AA81" s="1322"/>
      <c r="AB81" s="1322"/>
      <c r="AC81" s="1322"/>
      <c r="AD81" s="1322"/>
      <c r="AE81" s="1322"/>
      <c r="AF81" s="1322"/>
      <c r="AG81" s="1322"/>
      <c r="AH81" s="1322"/>
      <c r="AI81" s="1322"/>
      <c r="AJ81" s="1322"/>
      <c r="AK81" s="1322"/>
      <c r="AL81" s="1322"/>
      <c r="AM81" s="1322"/>
      <c r="AN81" s="1322"/>
      <c r="AO81" s="1322"/>
      <c r="AP81" s="1322"/>
      <c r="AQ81" s="1322"/>
      <c r="AR81" s="1322"/>
      <c r="AS81" s="1322"/>
      <c r="AT81" s="1322"/>
      <c r="AU81" s="1322"/>
      <c r="AV81" s="1322"/>
      <c r="AW81" s="1322"/>
      <c r="AX81" s="1322"/>
      <c r="AY81" s="1322"/>
      <c r="AZ81" s="1322"/>
    </row>
    <row r="82" spans="1:52" x14ac:dyDescent="0.25">
      <c r="A82" s="1322"/>
      <c r="B82" s="1322"/>
      <c r="C82" s="1322"/>
      <c r="D82" s="1322"/>
      <c r="E82" s="1322"/>
      <c r="F82" s="1322"/>
      <c r="G82" s="1322"/>
      <c r="H82" s="1322"/>
      <c r="I82" s="1322"/>
      <c r="J82" s="1322"/>
      <c r="K82" s="1322"/>
      <c r="L82" s="1322"/>
      <c r="M82" s="1322"/>
      <c r="N82" s="1322"/>
      <c r="O82" s="1322"/>
      <c r="P82" s="1322"/>
      <c r="Q82" s="1322"/>
      <c r="R82" s="1322"/>
      <c r="S82" s="1322"/>
      <c r="T82" s="1322"/>
      <c r="U82" s="1322"/>
      <c r="V82" s="1322"/>
      <c r="W82" s="1322"/>
      <c r="X82" s="1322"/>
      <c r="Y82" s="1322"/>
      <c r="Z82" s="1322"/>
      <c r="AA82" s="1322"/>
      <c r="AB82" s="1322"/>
      <c r="AC82" s="1322"/>
      <c r="AD82" s="1322"/>
      <c r="AE82" s="1322"/>
      <c r="AF82" s="1322"/>
      <c r="AG82" s="1322"/>
      <c r="AH82" s="1322"/>
      <c r="AI82" s="1322"/>
      <c r="AJ82" s="1322"/>
      <c r="AK82" s="1322"/>
      <c r="AL82" s="1322"/>
      <c r="AM82" s="1322"/>
      <c r="AN82" s="1322"/>
      <c r="AO82" s="1322"/>
      <c r="AP82" s="1322"/>
      <c r="AQ82" s="1322"/>
      <c r="AR82" s="1322"/>
      <c r="AS82" s="1322"/>
      <c r="AT82" s="1322"/>
      <c r="AU82" s="1322"/>
      <c r="AV82" s="1322"/>
      <c r="AW82" s="1322"/>
      <c r="AX82" s="1322"/>
      <c r="AY82" s="1322"/>
      <c r="AZ82" s="1322"/>
    </row>
    <row r="83" spans="1:52" x14ac:dyDescent="0.25">
      <c r="A83" s="1322"/>
      <c r="B83" s="1322"/>
      <c r="C83" s="1322"/>
      <c r="D83" s="1322"/>
      <c r="E83" s="1322"/>
      <c r="F83" s="1322"/>
      <c r="G83" s="1322"/>
      <c r="H83" s="1322"/>
      <c r="I83" s="1322"/>
      <c r="J83" s="1322"/>
      <c r="K83" s="1322"/>
      <c r="L83" s="1322"/>
      <c r="M83" s="1322"/>
      <c r="N83" s="1322"/>
      <c r="O83" s="1322"/>
      <c r="P83" s="1322"/>
      <c r="Q83" s="1322"/>
      <c r="R83" s="1322"/>
      <c r="S83" s="1322"/>
      <c r="T83" s="1322"/>
      <c r="U83" s="1322"/>
      <c r="V83" s="1322"/>
      <c r="W83" s="1322"/>
      <c r="X83" s="1322"/>
      <c r="Y83" s="1322"/>
      <c r="Z83" s="1322"/>
      <c r="AA83" s="1322"/>
      <c r="AB83" s="1322"/>
      <c r="AC83" s="1322"/>
      <c r="AD83" s="1322"/>
      <c r="AE83" s="1322"/>
      <c r="AF83" s="1322"/>
      <c r="AG83" s="1322"/>
      <c r="AH83" s="1322"/>
      <c r="AI83" s="1322"/>
      <c r="AJ83" s="1322"/>
      <c r="AK83" s="1322"/>
      <c r="AL83" s="1322"/>
      <c r="AM83" s="1322"/>
      <c r="AN83" s="1322"/>
      <c r="AO83" s="1322"/>
      <c r="AP83" s="1322"/>
      <c r="AQ83" s="1322"/>
      <c r="AR83" s="1322"/>
      <c r="AS83" s="1322"/>
      <c r="AT83" s="1322"/>
      <c r="AU83" s="1322"/>
      <c r="AV83" s="1322"/>
      <c r="AW83" s="1322"/>
      <c r="AX83" s="1322"/>
      <c r="AY83" s="1322"/>
      <c r="AZ83" s="1322"/>
    </row>
    <row r="84" spans="1:52" x14ac:dyDescent="0.25">
      <c r="A84" s="1322"/>
      <c r="B84" s="1322"/>
      <c r="C84" s="1322"/>
      <c r="D84" s="1322"/>
      <c r="E84" s="1322"/>
      <c r="F84" s="1322"/>
      <c r="G84" s="1322"/>
      <c r="H84" s="1322"/>
      <c r="I84" s="1322"/>
      <c r="J84" s="1322"/>
      <c r="K84" s="1322"/>
      <c r="L84" s="1322"/>
      <c r="M84" s="1322"/>
      <c r="N84" s="1322"/>
      <c r="O84" s="1322"/>
      <c r="P84" s="1322"/>
      <c r="Q84" s="1322"/>
      <c r="R84" s="1322"/>
      <c r="S84" s="1322"/>
      <c r="T84" s="1322"/>
      <c r="U84" s="1322"/>
      <c r="V84" s="1322"/>
      <c r="W84" s="1322"/>
      <c r="X84" s="1322"/>
      <c r="Y84" s="1322"/>
      <c r="Z84" s="1322"/>
      <c r="AA84" s="1322"/>
      <c r="AB84" s="1322"/>
      <c r="AC84" s="1322"/>
      <c r="AD84" s="1322"/>
      <c r="AE84" s="1322"/>
      <c r="AF84" s="1322"/>
      <c r="AG84" s="1322"/>
      <c r="AH84" s="1322"/>
      <c r="AI84" s="1322"/>
      <c r="AJ84" s="1322"/>
      <c r="AK84" s="1322"/>
      <c r="AL84" s="1322"/>
      <c r="AM84" s="1322"/>
      <c r="AN84" s="1322"/>
      <c r="AO84" s="1322"/>
      <c r="AP84" s="1322"/>
      <c r="AQ84" s="1322"/>
      <c r="AR84" s="1322"/>
      <c r="AS84" s="1322"/>
      <c r="AT84" s="1322"/>
      <c r="AU84" s="1322"/>
      <c r="AV84" s="1322"/>
      <c r="AW84" s="1322"/>
      <c r="AX84" s="1322"/>
      <c r="AY84" s="1322"/>
      <c r="AZ84" s="1322"/>
    </row>
    <row r="85" spans="1:52" x14ac:dyDescent="0.25">
      <c r="A85" s="1322"/>
      <c r="B85" s="1322"/>
      <c r="C85" s="1322"/>
      <c r="D85" s="1322"/>
      <c r="E85" s="1322"/>
      <c r="F85" s="1322"/>
      <c r="G85" s="1322"/>
      <c r="H85" s="1322"/>
      <c r="I85" s="1322"/>
      <c r="J85" s="1322"/>
      <c r="K85" s="1322"/>
      <c r="L85" s="1322"/>
      <c r="M85" s="1322"/>
      <c r="N85" s="1322"/>
      <c r="O85" s="1322"/>
      <c r="P85" s="1322"/>
      <c r="Q85" s="1322"/>
      <c r="R85" s="1322"/>
      <c r="S85" s="1322"/>
      <c r="T85" s="1322"/>
      <c r="U85" s="1322"/>
      <c r="V85" s="1322"/>
      <c r="W85" s="1322"/>
      <c r="X85" s="1322"/>
      <c r="Y85" s="1322"/>
      <c r="Z85" s="1322"/>
      <c r="AA85" s="1322"/>
      <c r="AB85" s="1322"/>
      <c r="AC85" s="1322"/>
      <c r="AD85" s="1322"/>
      <c r="AE85" s="1322"/>
      <c r="AF85" s="1322"/>
      <c r="AG85" s="1322"/>
      <c r="AH85" s="1322"/>
      <c r="AI85" s="1322"/>
      <c r="AJ85" s="1322"/>
      <c r="AK85" s="1322"/>
      <c r="AL85" s="1322"/>
      <c r="AM85" s="1322"/>
      <c r="AN85" s="1322"/>
      <c r="AO85" s="1322"/>
      <c r="AP85" s="1322"/>
      <c r="AQ85" s="1322"/>
      <c r="AR85" s="1322"/>
      <c r="AS85" s="1322"/>
      <c r="AT85" s="1322"/>
      <c r="AU85" s="1322"/>
      <c r="AV85" s="1322"/>
      <c r="AW85" s="1322"/>
      <c r="AX85" s="1322"/>
      <c r="AY85" s="1322"/>
      <c r="AZ85" s="1322"/>
    </row>
    <row r="86" spans="1:52" x14ac:dyDescent="0.25">
      <c r="A86" s="1322"/>
      <c r="B86" s="1322"/>
      <c r="C86" s="1322"/>
      <c r="D86" s="1322"/>
      <c r="E86" s="1322"/>
      <c r="F86" s="1322"/>
      <c r="G86" s="1322"/>
      <c r="H86" s="1322"/>
      <c r="I86" s="1322"/>
      <c r="J86" s="1322"/>
      <c r="K86" s="1322"/>
      <c r="L86" s="1322"/>
      <c r="M86" s="1322"/>
      <c r="N86" s="1322"/>
      <c r="O86" s="1322"/>
      <c r="P86" s="1322"/>
      <c r="Q86" s="1322"/>
      <c r="R86" s="1322"/>
      <c r="S86" s="1322"/>
      <c r="T86" s="1322"/>
      <c r="U86" s="1322"/>
      <c r="V86" s="1322"/>
      <c r="W86" s="1322"/>
      <c r="X86" s="1322"/>
      <c r="Y86" s="1322"/>
      <c r="Z86" s="1322"/>
      <c r="AA86" s="1322"/>
      <c r="AB86" s="1322"/>
      <c r="AC86" s="1322"/>
      <c r="AD86" s="1322"/>
      <c r="AE86" s="1322"/>
      <c r="AF86" s="1322"/>
      <c r="AG86" s="1322"/>
      <c r="AH86" s="1322"/>
      <c r="AI86" s="1322"/>
      <c r="AJ86" s="1322"/>
      <c r="AK86" s="1322"/>
      <c r="AL86" s="1322"/>
      <c r="AM86" s="1322"/>
      <c r="AN86" s="1322"/>
      <c r="AO86" s="1322"/>
      <c r="AP86" s="1322"/>
      <c r="AQ86" s="1322"/>
      <c r="AR86" s="1322"/>
      <c r="AS86" s="1322"/>
      <c r="AT86" s="1322"/>
      <c r="AU86" s="1322"/>
      <c r="AV86" s="1322"/>
      <c r="AW86" s="1322"/>
      <c r="AX86" s="1322"/>
      <c r="AY86" s="1322"/>
      <c r="AZ86" s="1322"/>
    </row>
    <row r="87" spans="1:52" x14ac:dyDescent="0.25">
      <c r="A87" s="1322"/>
      <c r="B87" s="1322"/>
      <c r="C87" s="1322"/>
      <c r="D87" s="1322"/>
      <c r="E87" s="1322"/>
      <c r="F87" s="1322"/>
      <c r="G87" s="1322"/>
      <c r="H87" s="1322"/>
      <c r="I87" s="1322"/>
      <c r="J87" s="1322"/>
      <c r="K87" s="1322"/>
      <c r="L87" s="1322"/>
      <c r="M87" s="1322"/>
      <c r="N87" s="1322"/>
      <c r="O87" s="1322"/>
      <c r="P87" s="1322"/>
      <c r="Q87" s="1322"/>
      <c r="R87" s="1322"/>
      <c r="S87" s="1322"/>
      <c r="T87" s="1322"/>
      <c r="U87" s="1322"/>
      <c r="V87" s="1322"/>
      <c r="W87" s="1322"/>
      <c r="X87" s="1322"/>
      <c r="Y87" s="1322"/>
      <c r="Z87" s="1322"/>
      <c r="AA87" s="1322"/>
      <c r="AB87" s="1322"/>
      <c r="AC87" s="1322"/>
      <c r="AD87" s="1322"/>
      <c r="AE87" s="1322"/>
      <c r="AF87" s="1322"/>
      <c r="AG87" s="1322"/>
      <c r="AH87" s="1322"/>
      <c r="AI87" s="1322"/>
      <c r="AJ87" s="1322"/>
      <c r="AK87" s="1322"/>
      <c r="AL87" s="1322"/>
      <c r="AM87" s="1322"/>
      <c r="AN87" s="1322"/>
      <c r="AO87" s="1322"/>
      <c r="AP87" s="1322"/>
      <c r="AQ87" s="1322"/>
      <c r="AR87" s="1322"/>
      <c r="AS87" s="1322"/>
      <c r="AT87" s="1322"/>
      <c r="AU87" s="1322"/>
      <c r="AV87" s="1322"/>
      <c r="AW87" s="1322"/>
      <c r="AX87" s="1322"/>
      <c r="AY87" s="1322"/>
      <c r="AZ87" s="1322"/>
    </row>
    <row r="88" spans="1:52" x14ac:dyDescent="0.25">
      <c r="A88" s="1322"/>
      <c r="B88" s="1322"/>
      <c r="C88" s="1322"/>
      <c r="D88" s="1322"/>
      <c r="E88" s="1322"/>
      <c r="F88" s="1322"/>
      <c r="G88" s="1322"/>
      <c r="H88" s="1322"/>
      <c r="I88" s="1322"/>
      <c r="J88" s="1322"/>
      <c r="K88" s="1322"/>
      <c r="L88" s="1322"/>
      <c r="M88" s="1322"/>
      <c r="N88" s="1322"/>
      <c r="O88" s="1322"/>
      <c r="P88" s="1322"/>
      <c r="Q88" s="1322"/>
      <c r="R88" s="1322"/>
      <c r="S88" s="1322"/>
      <c r="T88" s="1322"/>
      <c r="U88" s="1322"/>
      <c r="V88" s="1322"/>
      <c r="W88" s="1322"/>
      <c r="X88" s="1322"/>
      <c r="Y88" s="1322"/>
      <c r="Z88" s="1322"/>
      <c r="AA88" s="1322"/>
      <c r="AB88" s="1322"/>
      <c r="AC88" s="1322"/>
      <c r="AD88" s="1322"/>
      <c r="AE88" s="1322"/>
      <c r="AF88" s="1322"/>
      <c r="AG88" s="1322"/>
      <c r="AH88" s="1322"/>
      <c r="AI88" s="1322"/>
      <c r="AJ88" s="1322"/>
      <c r="AK88" s="1322"/>
      <c r="AL88" s="1322"/>
      <c r="AM88" s="1322"/>
      <c r="AN88" s="1322"/>
      <c r="AO88" s="1322"/>
      <c r="AP88" s="1322"/>
      <c r="AQ88" s="1322"/>
      <c r="AR88" s="1322"/>
      <c r="AS88" s="1322"/>
      <c r="AT88" s="1322"/>
      <c r="AU88" s="1322"/>
      <c r="AV88" s="1322"/>
      <c r="AW88" s="1322"/>
      <c r="AX88" s="1322"/>
      <c r="AY88" s="1322"/>
      <c r="AZ88" s="1322"/>
    </row>
    <row r="89" spans="1:52" x14ac:dyDescent="0.25">
      <c r="A89" s="1322"/>
      <c r="B89" s="1322"/>
      <c r="C89" s="1322"/>
      <c r="D89" s="1322"/>
      <c r="E89" s="1322"/>
      <c r="F89" s="1322"/>
      <c r="G89" s="1322"/>
      <c r="H89" s="1322"/>
      <c r="I89" s="1322"/>
      <c r="J89" s="1322"/>
      <c r="K89" s="1322"/>
      <c r="L89" s="1322"/>
      <c r="M89" s="1322"/>
      <c r="N89" s="1322"/>
      <c r="O89" s="1322"/>
      <c r="P89" s="1322"/>
      <c r="Q89" s="1322"/>
      <c r="R89" s="1322"/>
      <c r="S89" s="1322"/>
      <c r="T89" s="1322"/>
      <c r="U89" s="1322"/>
      <c r="V89" s="1322"/>
      <c r="W89" s="1322"/>
      <c r="X89" s="1322"/>
      <c r="Y89" s="1322"/>
      <c r="Z89" s="1322"/>
      <c r="AA89" s="1322"/>
      <c r="AB89" s="1322"/>
      <c r="AC89" s="1322"/>
      <c r="AD89" s="1322"/>
      <c r="AE89" s="1322"/>
      <c r="AF89" s="1322"/>
      <c r="AG89" s="1322"/>
      <c r="AH89" s="1322"/>
      <c r="AI89" s="1322"/>
      <c r="AJ89" s="1322"/>
      <c r="AK89" s="1322"/>
      <c r="AL89" s="1322"/>
      <c r="AM89" s="1322"/>
      <c r="AN89" s="1322"/>
      <c r="AO89" s="1322"/>
      <c r="AP89" s="1322"/>
      <c r="AQ89" s="1322"/>
      <c r="AR89" s="1322"/>
      <c r="AS89" s="1322"/>
      <c r="AT89" s="1322"/>
      <c r="AU89" s="1322"/>
      <c r="AV89" s="1322"/>
      <c r="AW89" s="1322"/>
      <c r="AX89" s="1322"/>
      <c r="AY89" s="1322"/>
      <c r="AZ89" s="1322"/>
    </row>
    <row r="90" spans="1:52" x14ac:dyDescent="0.25">
      <c r="A90" s="1322"/>
      <c r="B90" s="1322"/>
      <c r="C90" s="1322"/>
      <c r="D90" s="1322"/>
      <c r="E90" s="1322"/>
      <c r="F90" s="1322"/>
      <c r="G90" s="1322"/>
      <c r="H90" s="1322"/>
      <c r="I90" s="1322"/>
      <c r="J90" s="1322"/>
      <c r="K90" s="1322"/>
      <c r="L90" s="1322"/>
      <c r="M90" s="1322"/>
      <c r="N90" s="1322"/>
      <c r="O90" s="1322"/>
      <c r="P90" s="1322"/>
      <c r="Q90" s="1322"/>
      <c r="R90" s="1322"/>
      <c r="S90" s="1322"/>
      <c r="T90" s="1322"/>
      <c r="U90" s="1322"/>
      <c r="V90" s="1322"/>
      <c r="W90" s="1322"/>
      <c r="X90" s="1322"/>
      <c r="Y90" s="1322"/>
      <c r="Z90" s="1322"/>
      <c r="AA90" s="1322"/>
      <c r="AB90" s="1322"/>
      <c r="AC90" s="1322"/>
      <c r="AD90" s="1322"/>
      <c r="AE90" s="1322"/>
      <c r="AF90" s="1322"/>
      <c r="AG90" s="1322"/>
      <c r="AH90" s="1322"/>
      <c r="AI90" s="1322"/>
      <c r="AJ90" s="1322"/>
      <c r="AK90" s="1322"/>
      <c r="AL90" s="1322"/>
      <c r="AM90" s="1322"/>
      <c r="AN90" s="1322"/>
      <c r="AO90" s="1322"/>
      <c r="AP90" s="1322"/>
      <c r="AQ90" s="1322"/>
      <c r="AR90" s="1322"/>
      <c r="AS90" s="1322"/>
      <c r="AT90" s="1322"/>
      <c r="AU90" s="1322"/>
      <c r="AV90" s="1322"/>
      <c r="AW90" s="1322"/>
      <c r="AX90" s="1322"/>
      <c r="AY90" s="1322"/>
      <c r="AZ90" s="1322"/>
    </row>
    <row r="91" spans="1:52" x14ac:dyDescent="0.25">
      <c r="A91" s="1322"/>
      <c r="B91" s="1322"/>
      <c r="C91" s="1322"/>
      <c r="D91" s="1322"/>
      <c r="E91" s="1322"/>
      <c r="F91" s="1322"/>
      <c r="G91" s="1322"/>
      <c r="H91" s="1322"/>
      <c r="I91" s="1322"/>
      <c r="J91" s="1322"/>
      <c r="K91" s="1322"/>
      <c r="L91" s="1322"/>
      <c r="M91" s="1322"/>
      <c r="N91" s="1322"/>
      <c r="O91" s="1322"/>
      <c r="P91" s="1322"/>
      <c r="Q91" s="1322"/>
      <c r="R91" s="1322"/>
      <c r="S91" s="1322"/>
      <c r="T91" s="1322"/>
      <c r="U91" s="1322"/>
      <c r="V91" s="1322"/>
      <c r="W91" s="1322"/>
      <c r="X91" s="1322"/>
      <c r="Y91" s="1322"/>
      <c r="Z91" s="1322"/>
      <c r="AA91" s="1322"/>
      <c r="AB91" s="1322"/>
      <c r="AC91" s="1322"/>
      <c r="AD91" s="1322"/>
      <c r="AE91" s="1322"/>
      <c r="AF91" s="1322"/>
      <c r="AG91" s="1322"/>
      <c r="AH91" s="1322"/>
      <c r="AI91" s="1322"/>
      <c r="AJ91" s="1322"/>
      <c r="AK91" s="1322"/>
      <c r="AL91" s="1322"/>
      <c r="AM91" s="1322"/>
      <c r="AN91" s="1322"/>
      <c r="AO91" s="1322"/>
      <c r="AP91" s="1322"/>
      <c r="AQ91" s="1322"/>
      <c r="AR91" s="1322"/>
      <c r="AS91" s="1322"/>
      <c r="AT91" s="1322"/>
      <c r="AU91" s="1322"/>
      <c r="AV91" s="1322"/>
      <c r="AW91" s="1322"/>
      <c r="AX91" s="1322"/>
      <c r="AY91" s="1322"/>
      <c r="AZ91" s="1322"/>
    </row>
    <row r="92" spans="1:52" x14ac:dyDescent="0.25">
      <c r="A92" s="1322"/>
      <c r="B92" s="1322"/>
      <c r="C92" s="1322"/>
      <c r="D92" s="1322"/>
      <c r="E92" s="1322"/>
      <c r="F92" s="1322"/>
      <c r="G92" s="1322"/>
      <c r="H92" s="1322"/>
      <c r="I92" s="1322"/>
      <c r="J92" s="1322"/>
      <c r="K92" s="1322"/>
      <c r="L92" s="1322"/>
      <c r="M92" s="1322"/>
      <c r="N92" s="1322"/>
      <c r="O92" s="1322"/>
      <c r="P92" s="1322"/>
      <c r="Q92" s="1322"/>
      <c r="R92" s="1322"/>
      <c r="S92" s="1322"/>
      <c r="T92" s="1322"/>
      <c r="U92" s="1322"/>
      <c r="V92" s="1322"/>
      <c r="W92" s="1322"/>
      <c r="X92" s="1322"/>
      <c r="Y92" s="1322"/>
      <c r="Z92" s="1322"/>
      <c r="AA92" s="1322"/>
      <c r="AB92" s="1322"/>
      <c r="AC92" s="1322"/>
      <c r="AD92" s="1322"/>
      <c r="AE92" s="1322"/>
      <c r="AF92" s="1322"/>
      <c r="AG92" s="1322"/>
      <c r="AH92" s="1322"/>
      <c r="AI92" s="1322"/>
      <c r="AJ92" s="1322"/>
      <c r="AK92" s="1322"/>
      <c r="AL92" s="1322"/>
      <c r="AM92" s="1322"/>
      <c r="AN92" s="1322"/>
      <c r="AO92" s="1322"/>
      <c r="AP92" s="1322"/>
      <c r="AQ92" s="1322"/>
      <c r="AR92" s="1322"/>
      <c r="AS92" s="1322"/>
      <c r="AT92" s="1322"/>
      <c r="AU92" s="1322"/>
      <c r="AV92" s="1322"/>
      <c r="AW92" s="1322"/>
      <c r="AX92" s="1322"/>
      <c r="AY92" s="1322"/>
      <c r="AZ92" s="1322"/>
    </row>
    <row r="93" spans="1:52" x14ac:dyDescent="0.25">
      <c r="A93" s="1322"/>
      <c r="B93" s="1322"/>
      <c r="C93" s="1322"/>
      <c r="D93" s="1322"/>
      <c r="E93" s="1322"/>
      <c r="F93" s="1322"/>
      <c r="G93" s="1322"/>
      <c r="H93" s="1322"/>
      <c r="I93" s="1322"/>
      <c r="J93" s="1322"/>
      <c r="K93" s="1322"/>
      <c r="L93" s="1322"/>
      <c r="M93" s="1322"/>
      <c r="N93" s="1322"/>
      <c r="O93" s="1322"/>
      <c r="P93" s="1322"/>
      <c r="Q93" s="1322"/>
      <c r="R93" s="1322"/>
      <c r="S93" s="1322"/>
      <c r="T93" s="1322"/>
      <c r="U93" s="1322"/>
      <c r="V93" s="1322"/>
      <c r="W93" s="1322"/>
      <c r="X93" s="1322"/>
      <c r="Y93" s="1322"/>
      <c r="Z93" s="1322"/>
      <c r="AA93" s="1322"/>
      <c r="AB93" s="1322"/>
      <c r="AC93" s="1322"/>
      <c r="AD93" s="1322"/>
      <c r="AE93" s="1322"/>
      <c r="AF93" s="1322"/>
      <c r="AG93" s="1322"/>
      <c r="AH93" s="1322"/>
      <c r="AI93" s="1322"/>
      <c r="AJ93" s="1322"/>
      <c r="AK93" s="1322"/>
      <c r="AL93" s="1322"/>
      <c r="AM93" s="1322"/>
      <c r="AN93" s="1322"/>
      <c r="AO93" s="1322"/>
      <c r="AP93" s="1322"/>
      <c r="AQ93" s="1322"/>
      <c r="AR93" s="1322"/>
      <c r="AS93" s="1322"/>
      <c r="AT93" s="1322"/>
      <c r="AU93" s="1322"/>
      <c r="AV93" s="1322"/>
      <c r="AW93" s="1322"/>
      <c r="AX93" s="1322"/>
      <c r="AY93" s="1322"/>
      <c r="AZ93" s="1322"/>
    </row>
    <row r="94" spans="1:52" x14ac:dyDescent="0.25">
      <c r="A94" s="1322"/>
      <c r="B94" s="1322"/>
      <c r="C94" s="1322"/>
      <c r="D94" s="1322"/>
      <c r="E94" s="1322"/>
      <c r="F94" s="1322"/>
      <c r="G94" s="1322"/>
      <c r="H94" s="1322"/>
      <c r="I94" s="1322"/>
      <c r="J94" s="1322"/>
      <c r="K94" s="1322"/>
      <c r="L94" s="1322"/>
      <c r="M94" s="1322"/>
      <c r="N94" s="1322"/>
      <c r="O94" s="1322"/>
      <c r="P94" s="1322"/>
      <c r="Q94" s="1322"/>
      <c r="R94" s="1322"/>
      <c r="S94" s="1322"/>
      <c r="T94" s="1322"/>
      <c r="U94" s="1322"/>
      <c r="V94" s="1322"/>
      <c r="W94" s="1322"/>
      <c r="X94" s="1322"/>
      <c r="Y94" s="1322"/>
      <c r="Z94" s="1322"/>
      <c r="AA94" s="1322"/>
      <c r="AB94" s="1322"/>
      <c r="AC94" s="1322"/>
      <c r="AD94" s="1322"/>
      <c r="AE94" s="1322"/>
      <c r="AF94" s="1322"/>
      <c r="AG94" s="1322"/>
      <c r="AH94" s="1322"/>
      <c r="AI94" s="1322"/>
      <c r="AJ94" s="1322"/>
      <c r="AK94" s="1322"/>
      <c r="AL94" s="1322"/>
      <c r="AM94" s="1322"/>
      <c r="AN94" s="1322"/>
      <c r="AO94" s="1322"/>
      <c r="AP94" s="1322"/>
      <c r="AQ94" s="1322"/>
      <c r="AR94" s="1322"/>
      <c r="AS94" s="1322"/>
      <c r="AT94" s="1322"/>
      <c r="AU94" s="1322"/>
      <c r="AV94" s="1322"/>
      <c r="AW94" s="1322"/>
      <c r="AX94" s="1322"/>
      <c r="AY94" s="1322"/>
      <c r="AZ94" s="1322"/>
    </row>
    <row r="95" spans="1:52" x14ac:dyDescent="0.25">
      <c r="A95" s="1322"/>
      <c r="B95" s="1322"/>
      <c r="C95" s="1322"/>
      <c r="D95" s="1322"/>
      <c r="E95" s="1322"/>
      <c r="F95" s="1322"/>
      <c r="G95" s="1322"/>
      <c r="H95" s="1322"/>
      <c r="I95" s="1322"/>
      <c r="J95" s="1322"/>
      <c r="K95" s="1322"/>
      <c r="L95" s="1322"/>
      <c r="M95" s="1322"/>
      <c r="N95" s="1322"/>
      <c r="O95" s="1322"/>
      <c r="P95" s="1322"/>
      <c r="Q95" s="1322"/>
      <c r="R95" s="1322"/>
      <c r="S95" s="1322"/>
      <c r="T95" s="1322"/>
      <c r="U95" s="1322"/>
      <c r="V95" s="1322"/>
      <c r="W95" s="1322"/>
      <c r="X95" s="1322"/>
      <c r="Y95" s="1322"/>
      <c r="Z95" s="1322"/>
      <c r="AA95" s="1322"/>
      <c r="AB95" s="1322"/>
      <c r="AC95" s="1322"/>
      <c r="AD95" s="1322"/>
      <c r="AE95" s="1322"/>
      <c r="AF95" s="1322"/>
      <c r="AG95" s="1322"/>
      <c r="AH95" s="1322"/>
      <c r="AI95" s="1322"/>
      <c r="AJ95" s="1322"/>
      <c r="AK95" s="1322"/>
      <c r="AL95" s="1322"/>
      <c r="AM95" s="1322"/>
      <c r="AN95" s="1322"/>
      <c r="AO95" s="1322"/>
      <c r="AP95" s="1322"/>
      <c r="AQ95" s="1322"/>
      <c r="AR95" s="1322"/>
      <c r="AS95" s="1322"/>
      <c r="AT95" s="1322"/>
      <c r="AU95" s="1322"/>
      <c r="AV95" s="1322"/>
      <c r="AW95" s="1322"/>
      <c r="AX95" s="1322"/>
      <c r="AY95" s="1322"/>
      <c r="AZ95" s="1322"/>
    </row>
    <row r="96" spans="1:52" x14ac:dyDescent="0.25">
      <c r="A96" s="1322"/>
      <c r="B96" s="1322"/>
      <c r="C96" s="1322"/>
      <c r="D96" s="1322"/>
      <c r="E96" s="1322"/>
      <c r="F96" s="1322"/>
      <c r="G96" s="1322"/>
      <c r="H96" s="1322"/>
      <c r="I96" s="1322"/>
      <c r="J96" s="1322"/>
      <c r="K96" s="1322"/>
      <c r="L96" s="1322"/>
      <c r="M96" s="1322"/>
      <c r="N96" s="1322"/>
      <c r="O96" s="1322"/>
      <c r="P96" s="1322"/>
      <c r="Q96" s="1322"/>
      <c r="R96" s="1322"/>
      <c r="S96" s="1322"/>
      <c r="T96" s="1322"/>
      <c r="U96" s="1322"/>
      <c r="V96" s="1322"/>
      <c r="W96" s="1322"/>
      <c r="X96" s="1322"/>
      <c r="Y96" s="1322"/>
      <c r="Z96" s="1322"/>
      <c r="AA96" s="1322"/>
      <c r="AB96" s="1322"/>
      <c r="AC96" s="1322"/>
      <c r="AD96" s="1322"/>
      <c r="AE96" s="1322"/>
      <c r="AF96" s="1322"/>
      <c r="AG96" s="1322"/>
      <c r="AH96" s="1322"/>
      <c r="AI96" s="1322"/>
      <c r="AJ96" s="1322"/>
      <c r="AK96" s="1322"/>
      <c r="AL96" s="1322"/>
      <c r="AM96" s="1322"/>
      <c r="AN96" s="1322"/>
      <c r="AO96" s="1322"/>
      <c r="AP96" s="1322"/>
      <c r="AQ96" s="1322"/>
      <c r="AR96" s="1322"/>
      <c r="AS96" s="1322"/>
      <c r="AT96" s="1322"/>
      <c r="AU96" s="1322"/>
      <c r="AV96" s="1322"/>
      <c r="AW96" s="1322"/>
      <c r="AX96" s="1322"/>
      <c r="AY96" s="1322"/>
      <c r="AZ96" s="1322"/>
    </row>
    <row r="97" spans="1:52" x14ac:dyDescent="0.25">
      <c r="A97" s="1322"/>
      <c r="B97" s="1322"/>
      <c r="C97" s="1322"/>
      <c r="D97" s="1322"/>
      <c r="E97" s="1322"/>
      <c r="F97" s="1322"/>
      <c r="G97" s="1322"/>
      <c r="H97" s="1322"/>
      <c r="I97" s="1322"/>
      <c r="J97" s="1322"/>
      <c r="K97" s="1322"/>
      <c r="L97" s="1322"/>
      <c r="M97" s="1322"/>
      <c r="N97" s="1322"/>
      <c r="O97" s="1322"/>
      <c r="P97" s="1322"/>
      <c r="Q97" s="1322"/>
      <c r="R97" s="1322"/>
      <c r="S97" s="1322"/>
      <c r="T97" s="1322"/>
      <c r="U97" s="1322"/>
      <c r="V97" s="1322"/>
      <c r="W97" s="1322"/>
      <c r="X97" s="1322"/>
      <c r="Y97" s="1322"/>
      <c r="Z97" s="1322"/>
      <c r="AA97" s="1322"/>
      <c r="AB97" s="1322"/>
      <c r="AC97" s="1322"/>
      <c r="AD97" s="1322"/>
      <c r="AE97" s="1322"/>
      <c r="AF97" s="1322"/>
      <c r="AG97" s="1322"/>
      <c r="AH97" s="1322"/>
      <c r="AI97" s="1322"/>
      <c r="AJ97" s="1322"/>
      <c r="AK97" s="1322"/>
      <c r="AL97" s="1322"/>
      <c r="AM97" s="1322"/>
      <c r="AN97" s="1322"/>
      <c r="AO97" s="1322"/>
      <c r="AP97" s="1322"/>
      <c r="AQ97" s="1322"/>
      <c r="AR97" s="1322"/>
      <c r="AS97" s="1322"/>
      <c r="AT97" s="1322"/>
      <c r="AU97" s="1322"/>
      <c r="AV97" s="1322"/>
      <c r="AW97" s="1322"/>
      <c r="AX97" s="1322"/>
      <c r="AY97" s="1322"/>
      <c r="AZ97" s="1322"/>
    </row>
    <row r="98" spans="1:52" x14ac:dyDescent="0.25">
      <c r="A98" s="1322"/>
      <c r="B98" s="1322"/>
      <c r="C98" s="1322"/>
      <c r="D98" s="1322"/>
      <c r="E98" s="1322"/>
      <c r="F98" s="1322"/>
      <c r="G98" s="1322"/>
      <c r="H98" s="1322"/>
      <c r="I98" s="1322"/>
      <c r="J98" s="1322"/>
      <c r="K98" s="1322"/>
      <c r="L98" s="1322"/>
      <c r="M98" s="1322"/>
      <c r="N98" s="1322"/>
      <c r="O98" s="1322"/>
      <c r="P98" s="1322"/>
      <c r="Q98" s="1322"/>
      <c r="R98" s="1322"/>
      <c r="S98" s="1322"/>
      <c r="T98" s="1322"/>
      <c r="U98" s="1322"/>
      <c r="V98" s="1322"/>
      <c r="W98" s="1322"/>
      <c r="X98" s="1322"/>
      <c r="Y98" s="1322"/>
      <c r="Z98" s="1322"/>
      <c r="AA98" s="1322"/>
      <c r="AB98" s="1322"/>
      <c r="AC98" s="1322"/>
      <c r="AD98" s="1322"/>
      <c r="AE98" s="1322"/>
      <c r="AF98" s="1322"/>
      <c r="AG98" s="1322"/>
      <c r="AH98" s="1322"/>
      <c r="AI98" s="1322"/>
      <c r="AJ98" s="1322"/>
      <c r="AK98" s="1322"/>
      <c r="AL98" s="1322"/>
      <c r="AM98" s="1322"/>
      <c r="AN98" s="1322"/>
      <c r="AO98" s="1322"/>
      <c r="AP98" s="1322"/>
      <c r="AQ98" s="1322"/>
      <c r="AR98" s="1322"/>
      <c r="AS98" s="1322"/>
      <c r="AT98" s="1322"/>
      <c r="AU98" s="1322"/>
      <c r="AV98" s="1322"/>
      <c r="AW98" s="1322"/>
      <c r="AX98" s="1322"/>
      <c r="AY98" s="1322"/>
      <c r="AZ98" s="1322"/>
    </row>
    <row r="99" spans="1:52" x14ac:dyDescent="0.25">
      <c r="A99" s="1322"/>
      <c r="B99" s="1322"/>
      <c r="C99" s="1322"/>
      <c r="D99" s="1322"/>
      <c r="E99" s="1322"/>
      <c r="F99" s="1322"/>
      <c r="G99" s="1322"/>
      <c r="H99" s="1322"/>
      <c r="I99" s="1322"/>
      <c r="J99" s="1322"/>
      <c r="K99" s="1322"/>
      <c r="L99" s="1322"/>
      <c r="M99" s="1322"/>
      <c r="N99" s="1322"/>
      <c r="O99" s="1322"/>
      <c r="P99" s="1322"/>
      <c r="Q99" s="1322"/>
      <c r="R99" s="1322"/>
      <c r="S99" s="1322"/>
      <c r="T99" s="1322"/>
      <c r="U99" s="1322"/>
      <c r="V99" s="1322"/>
      <c r="W99" s="1322"/>
      <c r="X99" s="1322"/>
      <c r="Y99" s="1322"/>
      <c r="Z99" s="1322"/>
      <c r="AA99" s="1322"/>
      <c r="AB99" s="1322"/>
      <c r="AC99" s="1322"/>
      <c r="AD99" s="1322"/>
      <c r="AE99" s="1322"/>
      <c r="AF99" s="1322"/>
      <c r="AG99" s="1322"/>
      <c r="AH99" s="1322"/>
      <c r="AI99" s="1322"/>
      <c r="AJ99" s="1322"/>
      <c r="AK99" s="1322"/>
      <c r="AL99" s="1322"/>
      <c r="AM99" s="1322"/>
      <c r="AN99" s="1322"/>
      <c r="AO99" s="1322"/>
      <c r="AP99" s="1322"/>
      <c r="AQ99" s="1322"/>
      <c r="AR99" s="1322"/>
      <c r="AS99" s="1322"/>
      <c r="AT99" s="1322"/>
      <c r="AU99" s="1322"/>
      <c r="AV99" s="1322"/>
      <c r="AW99" s="1322"/>
      <c r="AX99" s="1322"/>
      <c r="AY99" s="1322"/>
      <c r="AZ99" s="1322"/>
    </row>
    <row r="100" spans="1:52" x14ac:dyDescent="0.25">
      <c r="A100" s="1322"/>
      <c r="B100" s="1322"/>
      <c r="C100" s="1322"/>
      <c r="D100" s="1322"/>
      <c r="E100" s="1322"/>
      <c r="F100" s="1322"/>
      <c r="G100" s="1322"/>
      <c r="H100" s="1322"/>
      <c r="I100" s="1322"/>
      <c r="J100" s="1322"/>
      <c r="K100" s="1322"/>
      <c r="L100" s="1322"/>
      <c r="M100" s="1322"/>
      <c r="N100" s="1322"/>
      <c r="O100" s="1322"/>
      <c r="P100" s="1322"/>
      <c r="Q100" s="1322"/>
      <c r="R100" s="1322"/>
      <c r="S100" s="1322"/>
      <c r="T100" s="1322"/>
      <c r="U100" s="1322"/>
      <c r="V100" s="1322"/>
      <c r="W100" s="1322"/>
      <c r="X100" s="1322"/>
      <c r="Y100" s="1322"/>
      <c r="Z100" s="1322"/>
      <c r="AA100" s="1322"/>
      <c r="AB100" s="1322"/>
      <c r="AC100" s="1322"/>
      <c r="AD100" s="1322"/>
      <c r="AE100" s="1322"/>
      <c r="AF100" s="1322"/>
      <c r="AG100" s="1322"/>
      <c r="AH100" s="1322"/>
      <c r="AI100" s="1322"/>
      <c r="AJ100" s="1322"/>
      <c r="AK100" s="1322"/>
      <c r="AL100" s="1322"/>
      <c r="AM100" s="1322"/>
      <c r="AN100" s="1322"/>
      <c r="AO100" s="1322"/>
      <c r="AP100" s="1322"/>
      <c r="AQ100" s="1322"/>
      <c r="AR100" s="1322"/>
      <c r="AS100" s="1322"/>
      <c r="AT100" s="1322"/>
      <c r="AU100" s="1322"/>
      <c r="AV100" s="1322"/>
      <c r="AW100" s="1322"/>
      <c r="AX100" s="1322"/>
      <c r="AY100" s="1322"/>
      <c r="AZ100" s="1322"/>
    </row>
  </sheetData>
  <sheetProtection formatCells="0" formatColumns="0" formatRows="0" insertColumns="0" insertRows="0"/>
  <mergeCells count="6">
    <mergeCell ref="A13:B13"/>
    <mergeCell ref="A24:B24"/>
    <mergeCell ref="A25:B25"/>
    <mergeCell ref="A23:B23"/>
    <mergeCell ref="A22:B22"/>
    <mergeCell ref="A21:B21"/>
  </mergeCells>
  <dataValidations count="1">
    <dataValidation operator="lessThan" allowBlank="1" showInputMessage="1" showErrorMessage="1" sqref="A1:H29" xr:uid="{06F7C89F-6940-4F70-AD99-33008FBB04B1}"/>
  </dataValidations>
  <printOptions horizontalCentered="1"/>
  <pageMargins left="0.78740157480314965" right="0.78740157480314965" top="1.1811023622047245" bottom="0.78740157480314965" header="0.31496062992125984" footer="0.31496062992125984"/>
  <pageSetup paperSize="9" scale="80" fitToHeight="0" orientation="portrait" r:id="rId1"/>
  <headerFooter>
    <oddHeader>&amp;R&amp;"-,Fett"&amp;14ANLAGE 10</oddHead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pageSetUpPr fitToPage="1"/>
  </sheetPr>
  <dimension ref="A1:JO602"/>
  <sheetViews>
    <sheetView zoomScaleNormal="100" workbookViewId="0">
      <pane ySplit="3" topLeftCell="A164" activePane="bottomLeft" state="frozen"/>
      <selection pane="bottomLeft" activeCell="BF206" sqref="BF206"/>
    </sheetView>
  </sheetViews>
  <sheetFormatPr baseColWidth="10" defaultColWidth="11.5" defaultRowHeight="12.75" outlineLevelRow="1" outlineLevelCol="2" x14ac:dyDescent="0.2"/>
  <cols>
    <col min="1" max="1" width="6.375" style="26" customWidth="1"/>
    <col min="2" max="2" width="33.75" style="25" customWidth="1"/>
    <col min="3" max="3" width="9.75" style="29" bestFit="1" customWidth="1"/>
    <col min="4" max="4" width="7.375" style="36" customWidth="1"/>
    <col min="5" max="5" width="12.125" style="37" bestFit="1" customWidth="1"/>
    <col min="6" max="6" width="13.625" style="37" bestFit="1" customWidth="1"/>
    <col min="7" max="7" width="12.125" style="27" bestFit="1" customWidth="1"/>
    <col min="8" max="8" width="13.875" style="27" bestFit="1" customWidth="1"/>
    <col min="9" max="9" width="5.375" style="107" customWidth="1"/>
    <col min="10" max="11" width="3.125" style="27" hidden="1" customWidth="1"/>
    <col min="12" max="12" width="9.375" style="27" hidden="1" customWidth="1"/>
    <col min="13" max="13" width="8.25" style="27" hidden="1" customWidth="1"/>
    <col min="14" max="14" width="3.125" style="37" hidden="1" customWidth="1"/>
    <col min="15" max="15" width="11.875" style="531" bestFit="1" customWidth="1"/>
    <col min="16" max="16" width="13.625" style="531" bestFit="1" customWidth="1"/>
    <col min="17" max="18" width="11.625" style="531" hidden="1" customWidth="1" outlineLevel="1"/>
    <col min="19" max="19" width="3.125" style="531" customWidth="1" collapsed="1"/>
    <col min="20" max="20" width="10.625" style="531" hidden="1" customWidth="1" outlineLevel="1"/>
    <col min="21" max="22" width="11.375" style="531" hidden="1" customWidth="1" outlineLevel="1"/>
    <col min="23" max="23" width="12.75" style="531" hidden="1" customWidth="1" outlineLevel="1"/>
    <col min="24" max="24" width="10.625" style="531" hidden="1" customWidth="1" outlineLevel="1"/>
    <col min="25" max="25" width="13.875" style="531" hidden="1" customWidth="1" outlineLevel="1"/>
    <col min="26" max="27" width="10.625" style="531" hidden="1" customWidth="1" outlineLevel="2"/>
    <col min="28" max="28" width="3.125" style="27" hidden="1" customWidth="1" outlineLevel="1" collapsed="1"/>
    <col min="29" max="29" width="3.125" style="27" customWidth="1" collapsed="1"/>
    <col min="30" max="30" width="12.25" style="37" hidden="1" customWidth="1" outlineLevel="1"/>
    <col min="31" max="33" width="12.25" style="37" hidden="1" customWidth="1" outlineLevel="2"/>
    <col min="34" max="34" width="11.625" style="37" hidden="1" customWidth="1" outlineLevel="1" collapsed="1"/>
    <col min="35" max="37" width="11.625" style="37" hidden="1" customWidth="1" outlineLevel="2"/>
    <col min="38" max="38" width="11.625" style="37" hidden="1" customWidth="1" outlineLevel="1" collapsed="1"/>
    <col min="39" max="41" width="11.625" style="37" hidden="1" customWidth="1" outlineLevel="2"/>
    <col min="42" max="42" width="12.625" style="23" hidden="1" customWidth="1" outlineLevel="1" collapsed="1"/>
    <col min="43" max="44" width="12.625" style="23" hidden="1" customWidth="1" outlineLevel="2"/>
    <col min="45" max="45" width="4.5" style="24" hidden="1" customWidth="1" outlineLevel="1" collapsed="1"/>
    <col min="46" max="46" width="4.5" style="24" customWidth="1" collapsed="1"/>
    <col min="47" max="48" width="9.25" style="108" hidden="1" customWidth="1"/>
    <col min="49" max="50" width="12.75" style="108" hidden="1" customWidth="1"/>
    <col min="51" max="51" width="13.5" style="108" hidden="1" customWidth="1"/>
    <col min="52" max="52" width="12.75" style="108" hidden="1" customWidth="1"/>
    <col min="53" max="53" width="5.625" style="108" hidden="1" customWidth="1"/>
    <col min="54" max="54" width="49.75" style="23" hidden="1" customWidth="1"/>
    <col min="55" max="55" width="52" style="144" hidden="1" customWidth="1"/>
    <col min="56" max="16384" width="11.5" style="23"/>
  </cols>
  <sheetData>
    <row r="1" spans="1:83" s="22" customFormat="1" ht="18.75" thickBot="1" x14ac:dyDescent="0.25">
      <c r="A1" s="439" t="str">
        <f>Stammblatt!A1</f>
        <v>Test</v>
      </c>
      <c r="B1" s="293"/>
      <c r="C1" s="294"/>
      <c r="D1" s="295"/>
      <c r="E1" s="296"/>
      <c r="F1" s="296"/>
      <c r="G1" s="153"/>
      <c r="H1" s="153"/>
      <c r="I1" s="298"/>
      <c r="J1" s="297"/>
      <c r="K1" s="297"/>
      <c r="L1" s="297"/>
      <c r="M1" s="297"/>
      <c r="N1" s="296"/>
      <c r="O1" s="1442"/>
      <c r="P1" s="1442"/>
      <c r="Q1" s="1442"/>
      <c r="R1" s="1442"/>
      <c r="S1" s="674"/>
      <c r="T1" s="1439"/>
      <c r="U1" s="1439"/>
      <c r="V1" s="1439"/>
      <c r="W1" s="1439"/>
      <c r="X1" s="1439"/>
      <c r="Y1" s="498"/>
      <c r="Z1" s="499"/>
      <c r="AA1" s="499"/>
      <c r="AB1" s="495"/>
      <c r="AC1" s="297"/>
      <c r="AD1" s="1425" t="str">
        <f>IF(Stammblatt!$L$4=1,"Ko-Partner","Co-partner")</f>
        <v>Ko-Partner</v>
      </c>
      <c r="AE1" s="1426"/>
      <c r="AF1" s="1426"/>
      <c r="AG1" s="1426"/>
      <c r="AH1" s="1426"/>
      <c r="AI1" s="1426"/>
      <c r="AJ1" s="1426"/>
      <c r="AK1" s="1426"/>
      <c r="AL1" s="1426"/>
      <c r="AM1" s="1426"/>
      <c r="AN1" s="1426"/>
      <c r="AO1" s="1427"/>
      <c r="AP1" s="797"/>
      <c r="AQ1" s="796"/>
      <c r="AR1" s="796"/>
      <c r="AS1" s="299"/>
      <c r="AT1" s="299"/>
      <c r="AU1" s="300"/>
      <c r="AV1" s="300"/>
      <c r="AW1" s="300"/>
      <c r="AX1" s="300"/>
      <c r="AY1" s="300"/>
      <c r="AZ1" s="300"/>
      <c r="BA1" s="300"/>
      <c r="BB1" s="301"/>
      <c r="BC1" s="215"/>
      <c r="BD1" s="301"/>
      <c r="BE1" s="301"/>
      <c r="BF1" s="301"/>
      <c r="BG1" s="301"/>
      <c r="BH1" s="301"/>
      <c r="BI1" s="301"/>
      <c r="BJ1" s="301"/>
      <c r="BK1" s="301"/>
      <c r="BL1" s="301"/>
      <c r="BM1" s="301"/>
      <c r="BN1" s="301"/>
      <c r="BO1" s="301"/>
      <c r="BP1" s="301"/>
      <c r="BQ1" s="301"/>
      <c r="BR1" s="301"/>
      <c r="BS1" s="301"/>
      <c r="BT1" s="301"/>
      <c r="BU1" s="301"/>
      <c r="BV1" s="301"/>
      <c r="BW1" s="301"/>
      <c r="BX1" s="301"/>
      <c r="BY1" s="301"/>
      <c r="BZ1" s="301"/>
      <c r="CA1" s="301"/>
      <c r="CB1" s="301"/>
      <c r="CC1" s="301"/>
      <c r="CD1" s="301"/>
      <c r="CE1" s="301"/>
    </row>
    <row r="2" spans="1:83" s="22" customFormat="1" ht="18" x14ac:dyDescent="0.2">
      <c r="A2" s="676" t="str">
        <f>IF(Stammblatt!$L$4=1,"Detailkalkulation","detailled budget")</f>
        <v>Detailkalkulation</v>
      </c>
      <c r="B2" s="293"/>
      <c r="C2" s="294"/>
      <c r="D2" s="295"/>
      <c r="E2" s="296"/>
      <c r="F2" s="490">
        <f>IF(Stammblatt!I30=TRUE,"",Stammblatt!B11)</f>
        <v>0</v>
      </c>
      <c r="G2" s="297"/>
      <c r="H2" s="297"/>
      <c r="I2" s="298"/>
      <c r="J2" s="297"/>
      <c r="K2" s="297"/>
      <c r="L2" s="297"/>
      <c r="M2" s="297"/>
      <c r="N2" s="296"/>
      <c r="O2" s="1443" t="str">
        <f>IF(Stammblatt!$L$4=1,"Effekte","effects")</f>
        <v>Effekte</v>
      </c>
      <c r="P2" s="1444"/>
      <c r="Q2" s="1444"/>
      <c r="R2" s="1444"/>
      <c r="S2" s="655"/>
      <c r="T2" s="1439" t="str">
        <f>IF(Stammblatt!$L$4=1,"Kostenstand Österreich per","Cost report Austria of")</f>
        <v>Kostenstand Österreich per</v>
      </c>
      <c r="U2" s="1439"/>
      <c r="V2" s="1439"/>
      <c r="W2" s="1439"/>
      <c r="X2" s="1439"/>
      <c r="Y2" s="839" t="s">
        <v>1170</v>
      </c>
      <c r="Z2" s="499"/>
      <c r="AA2" s="499"/>
      <c r="AB2" s="495"/>
      <c r="AC2" s="297"/>
      <c r="AD2" s="1422" t="str">
        <f>Stammblatt!B33</f>
        <v>A</v>
      </c>
      <c r="AE2" s="1423"/>
      <c r="AF2" s="1423"/>
      <c r="AG2" s="1424"/>
      <c r="AH2" s="1422" t="str">
        <f>Stammblatt!B34</f>
        <v>B</v>
      </c>
      <c r="AI2" s="1423"/>
      <c r="AJ2" s="1423"/>
      <c r="AK2" s="1424"/>
      <c r="AL2" s="1422" t="str">
        <f>Stammblatt!B35</f>
        <v>C</v>
      </c>
      <c r="AM2" s="1423"/>
      <c r="AN2" s="1423"/>
      <c r="AO2" s="1424"/>
      <c r="AP2" s="296"/>
      <c r="AQ2" s="296"/>
      <c r="AR2" s="296"/>
      <c r="AS2" s="299"/>
      <c r="AT2" s="299"/>
      <c r="AU2" s="300"/>
      <c r="AV2" s="300"/>
      <c r="AW2" s="300"/>
      <c r="AX2" s="300"/>
      <c r="AY2" s="300"/>
      <c r="AZ2" s="300"/>
      <c r="BA2" s="300"/>
      <c r="BB2" s="301"/>
      <c r="BC2" s="215"/>
      <c r="BD2" s="301"/>
      <c r="BE2" s="301"/>
      <c r="BF2" s="301"/>
      <c r="BG2" s="301"/>
      <c r="BH2" s="301"/>
      <c r="BI2" s="301"/>
      <c r="BJ2" s="301"/>
      <c r="BK2" s="301"/>
      <c r="BL2" s="301"/>
      <c r="BM2" s="301"/>
      <c r="BN2" s="301"/>
      <c r="BO2" s="301"/>
      <c r="BP2" s="301"/>
      <c r="BQ2" s="301"/>
      <c r="BR2" s="301"/>
      <c r="BS2" s="301"/>
      <c r="BT2" s="301"/>
      <c r="BU2" s="301"/>
      <c r="BV2" s="301"/>
      <c r="BW2" s="301"/>
      <c r="BX2" s="301"/>
      <c r="BY2" s="301"/>
      <c r="BZ2" s="301"/>
      <c r="CA2" s="301"/>
      <c r="CB2" s="301"/>
      <c r="CC2" s="301"/>
      <c r="CD2" s="301"/>
      <c r="CE2" s="301"/>
    </row>
    <row r="3" spans="1:83" ht="32.25" customHeight="1" x14ac:dyDescent="0.2">
      <c r="A3" s="773" t="str">
        <f>Stammblatt!F4</f>
        <v>Version 26.3</v>
      </c>
      <c r="B3" s="162"/>
      <c r="C3" s="303"/>
      <c r="D3" s="295"/>
      <c r="E3" s="304"/>
      <c r="F3" s="371"/>
      <c r="G3" s="305"/>
      <c r="H3" s="305"/>
      <c r="I3" s="306"/>
      <c r="J3" s="1436" t="s">
        <v>620</v>
      </c>
      <c r="K3" s="1437"/>
      <c r="L3" s="1437"/>
      <c r="M3" s="1437"/>
      <c r="N3" s="1438"/>
      <c r="O3" s="1252" t="s">
        <v>549</v>
      </c>
      <c r="P3" s="1253" t="s">
        <v>811</v>
      </c>
      <c r="Q3" s="619" t="s">
        <v>826</v>
      </c>
      <c r="R3" s="619" t="s">
        <v>826</v>
      </c>
      <c r="S3" s="501"/>
      <c r="T3" s="763" t="str">
        <f>IF(Stammblatt!$L$4=1,"IST-Kosten","Costs incurred")</f>
        <v>IST-Kosten</v>
      </c>
      <c r="U3" s="762" t="str">
        <f>IF(Stammblatt!$L$4=1,"noch zu erwarten","Costs to be expected")</f>
        <v>noch zu erwarten</v>
      </c>
      <c r="V3" s="1038" t="str">
        <f>IF(Stammblatt!$L$4=1,"Endkosten","Final costs")</f>
        <v>Endkosten</v>
      </c>
      <c r="W3" s="1039" t="s">
        <v>239</v>
      </c>
      <c r="X3" s="503" t="s">
        <v>550</v>
      </c>
      <c r="Y3" s="500" t="s">
        <v>827</v>
      </c>
      <c r="Z3" s="619" t="s">
        <v>826</v>
      </c>
      <c r="AA3" s="619" t="s">
        <v>826</v>
      </c>
      <c r="AB3" s="495"/>
      <c r="AC3" s="305"/>
      <c r="AD3" s="833" t="s">
        <v>908</v>
      </c>
      <c r="AE3" s="834" t="str">
        <f>IF(Stammblatt!$L$4=1,"IST-Kosten","Costs incurred")</f>
        <v>IST-Kosten</v>
      </c>
      <c r="AF3" s="833" t="str">
        <f>IF(Stammblatt!$L$4=1,"noch zu erwarten","Costs to be expected")</f>
        <v>noch zu erwarten</v>
      </c>
      <c r="AG3" s="835" t="str">
        <f>IF(Stammblatt!$L$4=1,"Endkosten","Final costs")</f>
        <v>Endkosten</v>
      </c>
      <c r="AH3" s="790" t="s">
        <v>908</v>
      </c>
      <c r="AI3" s="789" t="str">
        <f>IF(Stammblatt!$L$4=1,"IST-Kosten","Costs incurred")</f>
        <v>IST-Kosten</v>
      </c>
      <c r="AJ3" s="790" t="str">
        <f>IF(Stammblatt!$L$4=1,"noch zu erwarten","Costs to be expected")</f>
        <v>noch zu erwarten</v>
      </c>
      <c r="AK3" s="791" t="str">
        <f>IF(Stammblatt!$L$4=1,"Endkosten","Final costs")</f>
        <v>Endkosten</v>
      </c>
      <c r="AL3" s="790" t="s">
        <v>908</v>
      </c>
      <c r="AM3" s="789" t="str">
        <f>IF(Stammblatt!$L$4=1,"IST-Kosten","Costs incurred")</f>
        <v>IST-Kosten</v>
      </c>
      <c r="AN3" s="790" t="str">
        <f>IF(Stammblatt!$L$4=1,"noch zu erwarten","Costs to be expected")</f>
        <v>noch zu erwarten</v>
      </c>
      <c r="AO3" s="791" t="str">
        <f>IF(Stammblatt!$L$4=1,"Endkosten","Final costs")</f>
        <v>Endkosten</v>
      </c>
      <c r="AP3" s="798" t="str">
        <f>IF(Stammblatt!$L$4=1,"Gesamt PLAN","Total costs PLAN")</f>
        <v>Gesamt PLAN</v>
      </c>
      <c r="AQ3" s="798" t="str">
        <f>IF(Stammblatt!$L$4=1,"Gesamt Endkosten","Total costs FINAL")</f>
        <v>Gesamt Endkosten</v>
      </c>
      <c r="AR3" s="798" t="str">
        <f>IF(Stammblatt!$L$4=1,"Gesamt +/-","Total +/-")</f>
        <v>Gesamt +/-</v>
      </c>
      <c r="AS3" s="307"/>
      <c r="AT3" s="307"/>
      <c r="AU3" s="307"/>
      <c r="AV3" s="307"/>
      <c r="AW3" s="307"/>
      <c r="AX3" s="307"/>
      <c r="AY3" s="307"/>
      <c r="AZ3" s="307"/>
      <c r="BA3" s="307"/>
      <c r="BB3" s="212"/>
      <c r="BC3" s="215"/>
      <c r="BD3" s="212"/>
      <c r="BE3" s="212"/>
      <c r="BF3" s="212"/>
      <c r="BG3" s="212"/>
      <c r="BH3" s="212"/>
      <c r="BI3" s="212"/>
      <c r="BJ3" s="212"/>
      <c r="BK3" s="212"/>
      <c r="BL3" s="212"/>
      <c r="BM3" s="212"/>
      <c r="BN3" s="212"/>
      <c r="BO3" s="212"/>
      <c r="BP3" s="212"/>
      <c r="BQ3" s="212"/>
      <c r="BR3" s="212"/>
      <c r="BS3" s="212"/>
      <c r="BT3" s="212"/>
      <c r="BU3" s="212"/>
      <c r="BV3" s="212"/>
      <c r="BW3" s="212"/>
      <c r="BX3" s="212"/>
      <c r="BY3" s="212"/>
      <c r="BZ3" s="212"/>
      <c r="CA3" s="212"/>
      <c r="CB3" s="212"/>
      <c r="CC3" s="212"/>
      <c r="CD3" s="212"/>
      <c r="CE3" s="212"/>
    </row>
    <row r="4" spans="1:83" s="24" customFormat="1" x14ac:dyDescent="0.2">
      <c r="A4" s="1066"/>
      <c r="B4" s="497" t="str">
        <f>IF(Stammblatt!$L$4=1,'Kalkulation Herstellungskosten'!BB4,'Kalkulation Herstellungskosten'!BC4)</f>
        <v>1. Vorkosten (Stoff- und Projektentwicklung)</v>
      </c>
      <c r="C4" s="379"/>
      <c r="D4" s="1067"/>
      <c r="E4" s="329"/>
      <c r="F4" s="329"/>
      <c r="G4" s="1062"/>
      <c r="H4" s="1062"/>
      <c r="I4" s="1068"/>
      <c r="J4" s="1069"/>
      <c r="K4" s="1062"/>
      <c r="L4" s="1062"/>
      <c r="M4" s="1062"/>
      <c r="N4" s="1070"/>
      <c r="O4" s="1038"/>
      <c r="P4" s="1038"/>
      <c r="Q4" s="1038"/>
      <c r="R4" s="1038"/>
      <c r="S4" s="1038"/>
      <c r="T4" s="1071"/>
      <c r="U4" s="1040"/>
      <c r="V4" s="1040"/>
      <c r="W4" s="1040"/>
      <c r="X4" s="1040"/>
      <c r="Y4" s="1040"/>
      <c r="Z4" s="1040"/>
      <c r="AA4" s="1040"/>
      <c r="AB4" s="1061"/>
      <c r="AC4" s="1062"/>
      <c r="AD4" s="1072"/>
      <c r="AE4" s="1073"/>
      <c r="AF4" s="1073"/>
      <c r="AG4" s="1073"/>
      <c r="AH4" s="1072"/>
      <c r="AI4" s="1074"/>
      <c r="AJ4" s="1074"/>
      <c r="AK4" s="1074"/>
      <c r="AL4" s="1072"/>
      <c r="AM4" s="1074"/>
      <c r="AN4" s="1074"/>
      <c r="AO4" s="1074"/>
      <c r="AP4" s="329"/>
      <c r="AQ4" s="307"/>
      <c r="AR4" s="307"/>
      <c r="AS4" s="307"/>
      <c r="AT4" s="307"/>
      <c r="AU4" s="307"/>
      <c r="AV4" s="307"/>
      <c r="AW4" s="307"/>
      <c r="AX4" s="307"/>
      <c r="AY4" s="307"/>
      <c r="AZ4" s="307"/>
      <c r="BA4" s="307"/>
      <c r="BB4" s="196" t="s">
        <v>880</v>
      </c>
      <c r="BC4" s="196" t="s">
        <v>881</v>
      </c>
      <c r="BD4" s="308"/>
      <c r="BE4" s="308"/>
      <c r="BF4" s="308"/>
      <c r="BG4" s="308"/>
      <c r="BH4" s="308"/>
      <c r="BI4" s="308"/>
      <c r="BJ4" s="308"/>
      <c r="BK4" s="308"/>
      <c r="BL4" s="308"/>
      <c r="BM4" s="308"/>
      <c r="BN4" s="308"/>
      <c r="BO4" s="308"/>
      <c r="BP4" s="308"/>
      <c r="BQ4" s="308"/>
      <c r="BR4" s="308"/>
      <c r="BS4" s="308"/>
      <c r="BT4" s="308"/>
      <c r="BU4" s="308"/>
      <c r="BV4" s="308"/>
      <c r="BW4" s="308"/>
      <c r="BX4" s="308"/>
      <c r="BY4" s="308"/>
      <c r="BZ4" s="308"/>
      <c r="CA4" s="308"/>
      <c r="CB4" s="308"/>
      <c r="CC4" s="308"/>
      <c r="CD4" s="308"/>
      <c r="CE4" s="308"/>
    </row>
    <row r="5" spans="1:83" x14ac:dyDescent="0.2">
      <c r="A5" s="1081" t="s">
        <v>896</v>
      </c>
      <c r="B5" s="1082" t="str">
        <f>IF(Stammblatt!$L$4=1,'Kalkulation Herstellungskosten'!BB5,'Kalkulation Herstellungskosten'!BC5)</f>
        <v>Vorkosten gefördert [exkl. Prod. Hon. &amp; FGK] *)</v>
      </c>
      <c r="C5" s="491"/>
      <c r="D5" s="492"/>
      <c r="E5" s="319"/>
      <c r="F5" s="32"/>
      <c r="G5" s="320"/>
      <c r="H5" s="320"/>
      <c r="I5" s="321"/>
      <c r="J5" s="322"/>
      <c r="K5" s="320"/>
      <c r="L5" s="320"/>
      <c r="M5" s="320"/>
      <c r="N5" s="323"/>
      <c r="O5" s="505"/>
      <c r="P5" s="320"/>
      <c r="Q5" s="507"/>
      <c r="R5" s="505"/>
      <c r="S5" s="502"/>
      <c r="T5" s="507"/>
      <c r="U5" s="505"/>
      <c r="V5" s="831">
        <f>SUM(T5:U5)</f>
        <v>0</v>
      </c>
      <c r="W5" s="397">
        <f>F5-V5</f>
        <v>0</v>
      </c>
      <c r="X5" s="505"/>
      <c r="Y5" s="1035"/>
      <c r="Z5" s="507"/>
      <c r="AA5" s="505"/>
      <c r="AB5" s="495"/>
      <c r="AC5" s="305"/>
      <c r="AD5" s="799"/>
      <c r="AE5" s="800"/>
      <c r="AF5" s="801"/>
      <c r="AG5" s="1076">
        <f>SUM(AE5:AF5)</f>
        <v>0</v>
      </c>
      <c r="AH5" s="836"/>
      <c r="AI5" s="800"/>
      <c r="AJ5" s="801"/>
      <c r="AK5" s="1078">
        <f>SUM(AI5:AJ5)</f>
        <v>0</v>
      </c>
      <c r="AL5" s="799"/>
      <c r="AM5" s="800"/>
      <c r="AN5" s="801"/>
      <c r="AO5" s="1078">
        <f>SUM(AM5:AN5)</f>
        <v>0</v>
      </c>
      <c r="AP5" s="1078">
        <f>SUM(F5,AD5,AH5,AL5)</f>
        <v>0</v>
      </c>
      <c r="AQ5" s="1079">
        <f>SUM(AO5,AK5,AG5,V5)</f>
        <v>0</v>
      </c>
      <c r="AR5" s="1080">
        <f>AP5-AQ5</f>
        <v>0</v>
      </c>
      <c r="AS5" s="307"/>
      <c r="AT5" s="307"/>
      <c r="AU5" s="307"/>
      <c r="AV5" s="307"/>
      <c r="AW5" s="307"/>
      <c r="AX5" s="307"/>
      <c r="AY5" s="307"/>
      <c r="AZ5" s="307"/>
      <c r="BA5" s="307"/>
      <c r="BB5" s="196" t="s">
        <v>882</v>
      </c>
      <c r="BC5" s="196" t="s">
        <v>1047</v>
      </c>
      <c r="BD5" s="212"/>
      <c r="BE5" s="212"/>
      <c r="BF5" s="212"/>
      <c r="BG5" s="212"/>
      <c r="BH5" s="212"/>
      <c r="BI5" s="212"/>
      <c r="BJ5" s="212"/>
      <c r="BK5" s="212"/>
      <c r="BL5" s="212"/>
      <c r="BM5" s="212"/>
      <c r="BN5" s="212"/>
      <c r="BO5" s="212"/>
      <c r="BP5" s="212"/>
      <c r="BQ5" s="212"/>
      <c r="BR5" s="212"/>
      <c r="BS5" s="212"/>
      <c r="BT5" s="212"/>
      <c r="BU5" s="212"/>
      <c r="BV5" s="212"/>
      <c r="BW5" s="212"/>
      <c r="BX5" s="212"/>
      <c r="BY5" s="212"/>
      <c r="BZ5" s="212"/>
      <c r="CA5" s="212"/>
      <c r="CB5" s="212"/>
      <c r="CC5" s="212"/>
      <c r="CD5" s="212"/>
      <c r="CE5" s="212"/>
    </row>
    <row r="6" spans="1:83" x14ac:dyDescent="0.2">
      <c r="A6" s="1081"/>
      <c r="B6" s="1083" t="str">
        <f>IF(Stammblatt!$L$4=1,'Kalkulation Herstellungskosten'!BB6,'Kalkulation Herstellungskosten'!BC6)</f>
        <v>davon Drehbuchkosten gesamt</v>
      </c>
      <c r="C6" s="491"/>
      <c r="D6" s="492"/>
      <c r="E6" s="32"/>
      <c r="F6" s="320"/>
      <c r="G6" s="320"/>
      <c r="H6" s="320"/>
      <c r="I6" s="321"/>
      <c r="J6" s="322"/>
      <c r="K6" s="320"/>
      <c r="L6" s="320"/>
      <c r="M6" s="320"/>
      <c r="N6" s="323"/>
      <c r="O6" s="320"/>
      <c r="P6" s="320"/>
      <c r="Q6" s="320"/>
      <c r="R6" s="320"/>
      <c r="S6" s="502"/>
      <c r="T6" s="320"/>
      <c r="U6" s="320"/>
      <c r="V6" s="831"/>
      <c r="W6" s="397"/>
      <c r="X6" s="397"/>
      <c r="Y6" s="1035"/>
      <c r="Z6" s="397"/>
      <c r="AA6" s="397"/>
      <c r="AB6" s="495"/>
      <c r="AC6" s="305"/>
      <c r="AD6" s="1075"/>
      <c r="AE6" s="820"/>
      <c r="AF6" s="831"/>
      <c r="AG6" s="1076"/>
      <c r="AH6" s="1077"/>
      <c r="AI6" s="820"/>
      <c r="AJ6" s="831"/>
      <c r="AK6" s="1078"/>
      <c r="AL6" s="1075"/>
      <c r="AM6" s="820"/>
      <c r="AN6" s="831"/>
      <c r="AO6" s="1078"/>
      <c r="AP6" s="1078"/>
      <c r="AQ6" s="1079"/>
      <c r="AR6" s="1080"/>
      <c r="AS6" s="307"/>
      <c r="AT6" s="307"/>
      <c r="AU6" s="307"/>
      <c r="AV6" s="307"/>
      <c r="AW6" s="307"/>
      <c r="AX6" s="307"/>
      <c r="AY6" s="307"/>
      <c r="AZ6" s="307"/>
      <c r="BA6" s="307"/>
      <c r="BB6" s="694" t="s">
        <v>1173</v>
      </c>
      <c r="BC6" s="694" t="s">
        <v>1171</v>
      </c>
      <c r="BD6" s="212"/>
      <c r="BE6" s="212"/>
      <c r="BF6" s="212"/>
      <c r="BG6" s="212"/>
      <c r="BH6" s="212"/>
      <c r="BI6" s="212"/>
      <c r="BJ6" s="212"/>
      <c r="BK6" s="212"/>
      <c r="BL6" s="212"/>
      <c r="BM6" s="212"/>
      <c r="BN6" s="212"/>
      <c r="BO6" s="212"/>
      <c r="BP6" s="212"/>
      <c r="BQ6" s="212"/>
      <c r="BR6" s="212"/>
      <c r="BS6" s="212"/>
      <c r="BT6" s="212"/>
      <c r="BU6" s="212"/>
      <c r="BV6" s="212"/>
      <c r="BW6" s="212"/>
      <c r="BX6" s="212"/>
      <c r="BY6" s="212"/>
      <c r="BZ6" s="212"/>
      <c r="CA6" s="212"/>
      <c r="CB6" s="212"/>
      <c r="CC6" s="212"/>
      <c r="CD6" s="212"/>
      <c r="CE6" s="212"/>
    </row>
    <row r="7" spans="1:83" x14ac:dyDescent="0.2">
      <c r="A7" s="1081"/>
      <c r="B7" s="1083" t="str">
        <f>IF(Stammblatt!$L$4=1,'Kalkulation Herstellungskosten'!BB7,'Kalkulation Herstellungskosten'!BC7)</f>
        <v>davon Regiekosten gesamt</v>
      </c>
      <c r="C7" s="491"/>
      <c r="D7" s="492"/>
      <c r="E7" s="32"/>
      <c r="F7" s="320"/>
      <c r="G7" s="320"/>
      <c r="H7" s="320"/>
      <c r="I7" s="321"/>
      <c r="J7" s="322"/>
      <c r="K7" s="320"/>
      <c r="L7" s="320"/>
      <c r="M7" s="320"/>
      <c r="N7" s="323"/>
      <c r="O7" s="320"/>
      <c r="P7" s="320"/>
      <c r="Q7" s="320"/>
      <c r="R7" s="320"/>
      <c r="S7" s="502"/>
      <c r="T7" s="320"/>
      <c r="U7" s="320"/>
      <c r="V7" s="831"/>
      <c r="W7" s="397"/>
      <c r="X7" s="397"/>
      <c r="Y7" s="1035"/>
      <c r="Z7" s="397"/>
      <c r="AA7" s="397"/>
      <c r="AB7" s="495"/>
      <c r="AC7" s="305"/>
      <c r="AD7" s="1075"/>
      <c r="AE7" s="820"/>
      <c r="AF7" s="831"/>
      <c r="AG7" s="1076"/>
      <c r="AH7" s="1077"/>
      <c r="AI7" s="820"/>
      <c r="AJ7" s="831"/>
      <c r="AK7" s="1078"/>
      <c r="AL7" s="1075"/>
      <c r="AM7" s="820"/>
      <c r="AN7" s="831"/>
      <c r="AO7" s="1078"/>
      <c r="AP7" s="1078"/>
      <c r="AQ7" s="1079"/>
      <c r="AR7" s="1080"/>
      <c r="AS7" s="307"/>
      <c r="AT7" s="307"/>
      <c r="AU7" s="307"/>
      <c r="AV7" s="307"/>
      <c r="AW7" s="307"/>
      <c r="AX7" s="307"/>
      <c r="AY7" s="307"/>
      <c r="AZ7" s="307"/>
      <c r="BA7" s="307"/>
      <c r="BB7" s="694" t="s">
        <v>1174</v>
      </c>
      <c r="BC7" s="694" t="s">
        <v>1172</v>
      </c>
      <c r="BD7" s="212"/>
      <c r="BE7" s="212"/>
      <c r="BF7" s="212"/>
      <c r="BG7" s="212"/>
      <c r="BH7" s="212"/>
      <c r="BI7" s="212"/>
      <c r="BJ7" s="212"/>
      <c r="BK7" s="212"/>
      <c r="BL7" s="212"/>
      <c r="BM7" s="212"/>
      <c r="BN7" s="212"/>
      <c r="BO7" s="212"/>
      <c r="BP7" s="212"/>
      <c r="BQ7" s="212"/>
      <c r="BR7" s="212"/>
      <c r="BS7" s="212"/>
      <c r="BT7" s="212"/>
      <c r="BU7" s="212"/>
      <c r="BV7" s="212"/>
      <c r="BW7" s="212"/>
      <c r="BX7" s="212"/>
      <c r="BY7" s="212"/>
      <c r="BZ7" s="212"/>
      <c r="CA7" s="212"/>
      <c r="CB7" s="212"/>
      <c r="CC7" s="212"/>
      <c r="CD7" s="212"/>
      <c r="CE7" s="212"/>
    </row>
    <row r="8" spans="1:83" x14ac:dyDescent="0.2">
      <c r="A8" s="1084" t="s">
        <v>897</v>
      </c>
      <c r="B8" s="1082" t="str">
        <f>IF(Stammblatt!$L$4=1,'Kalkulation Herstellungskosten'!BB8,'Kalkulation Herstellungskosten'!BC8)</f>
        <v>Vorkosten eigenfinanziert [exkl. Prod. Hon. &amp; FGK] *)</v>
      </c>
      <c r="C8" s="491"/>
      <c r="D8" s="492"/>
      <c r="E8" s="319"/>
      <c r="F8" s="32"/>
      <c r="G8" s="320"/>
      <c r="H8" s="320"/>
      <c r="I8" s="321"/>
      <c r="J8" s="322"/>
      <c r="K8" s="320"/>
      <c r="L8" s="320"/>
      <c r="M8" s="320"/>
      <c r="N8" s="323"/>
      <c r="O8" s="505"/>
      <c r="P8" s="1250"/>
      <c r="Q8" s="507"/>
      <c r="R8" s="505"/>
      <c r="S8" s="502"/>
      <c r="T8" s="507"/>
      <c r="U8" s="505"/>
      <c r="V8" s="831">
        <f>SUM(T8:U8)</f>
        <v>0</v>
      </c>
      <c r="W8" s="397">
        <f>F8-V8</f>
        <v>0</v>
      </c>
      <c r="X8" s="505"/>
      <c r="Y8" s="508"/>
      <c r="Z8" s="507"/>
      <c r="AA8" s="505"/>
      <c r="AB8" s="495"/>
      <c r="AC8" s="305"/>
      <c r="AD8" s="799"/>
      <c r="AE8" s="802"/>
      <c r="AF8" s="801"/>
      <c r="AG8" s="1076">
        <f>SUM(AE8:AF8)</f>
        <v>0</v>
      </c>
      <c r="AH8" s="836"/>
      <c r="AI8" s="802"/>
      <c r="AJ8" s="801"/>
      <c r="AK8" s="1078">
        <f>SUM(AI8:AJ8)</f>
        <v>0</v>
      </c>
      <c r="AL8" s="799"/>
      <c r="AM8" s="802"/>
      <c r="AN8" s="801"/>
      <c r="AO8" s="1078">
        <f>SUM(AM8:AN8)</f>
        <v>0</v>
      </c>
      <c r="AP8" s="1078">
        <f t="shared" ref="AP8" si="0">SUM(F8,AD8,AH8,AL8)</f>
        <v>0</v>
      </c>
      <c r="AQ8" s="1079">
        <f>SUM(A8,AP8,AM8,AJ8)</f>
        <v>0</v>
      </c>
      <c r="AR8" s="1080">
        <f t="shared" ref="AR8" si="1">AP8-AQ8</f>
        <v>0</v>
      </c>
      <c r="AS8" s="307"/>
      <c r="AT8" s="307"/>
      <c r="AU8" s="307"/>
      <c r="AV8" s="307"/>
      <c r="AW8" s="307"/>
      <c r="AX8" s="307"/>
      <c r="AY8" s="307"/>
      <c r="AZ8" s="307"/>
      <c r="BA8" s="307"/>
      <c r="BB8" s="196" t="s">
        <v>883</v>
      </c>
      <c r="BC8" s="196" t="s">
        <v>1048</v>
      </c>
      <c r="BD8" s="212"/>
      <c r="BE8" s="212"/>
      <c r="BF8" s="212"/>
      <c r="BG8" s="212"/>
      <c r="BH8" s="212"/>
      <c r="BI8" s="212"/>
      <c r="BJ8" s="212"/>
      <c r="BK8" s="212"/>
      <c r="BL8" s="212"/>
      <c r="BM8" s="212"/>
      <c r="BN8" s="212"/>
      <c r="BO8" s="212"/>
      <c r="BP8" s="212"/>
      <c r="BQ8" s="212"/>
      <c r="BR8" s="212"/>
      <c r="BS8" s="212"/>
      <c r="BT8" s="212"/>
      <c r="BU8" s="212"/>
      <c r="BV8" s="212"/>
      <c r="BW8" s="212"/>
      <c r="BX8" s="212"/>
      <c r="BY8" s="212"/>
      <c r="BZ8" s="212"/>
      <c r="CA8" s="212"/>
      <c r="CB8" s="212"/>
      <c r="CC8" s="212"/>
      <c r="CD8" s="212"/>
      <c r="CE8" s="212"/>
    </row>
    <row r="9" spans="1:83" x14ac:dyDescent="0.2">
      <c r="A9" s="1055"/>
      <c r="B9" s="496"/>
      <c r="C9" s="490"/>
      <c r="D9" s="328"/>
      <c r="E9" s="371"/>
      <c r="F9" s="371"/>
      <c r="G9" s="1056"/>
      <c r="H9" s="1056"/>
      <c r="I9" s="1057"/>
      <c r="J9" s="1058"/>
      <c r="K9" s="1056"/>
      <c r="L9" s="1056"/>
      <c r="M9" s="1056"/>
      <c r="N9" s="335"/>
      <c r="O9" s="1059"/>
      <c r="P9" s="1059"/>
      <c r="Q9" s="1059"/>
      <c r="R9" s="1059"/>
      <c r="S9" s="1038"/>
      <c r="T9" s="1060"/>
      <c r="U9" s="1041"/>
      <c r="V9" s="1041"/>
      <c r="W9" s="1042"/>
      <c r="X9" s="1041"/>
      <c r="Y9" s="1059"/>
      <c r="Z9" s="1059"/>
      <c r="AA9" s="1059"/>
      <c r="AB9" s="1061"/>
      <c r="AC9" s="1062"/>
      <c r="AD9" s="1063"/>
      <c r="AE9" s="1064"/>
      <c r="AF9" s="822"/>
      <c r="AG9" s="822"/>
      <c r="AH9" s="1063"/>
      <c r="AI9" s="1064"/>
      <c r="AJ9" s="822"/>
      <c r="AK9" s="822"/>
      <c r="AL9" s="1063"/>
      <c r="AM9" s="1064"/>
      <c r="AN9" s="822"/>
      <c r="AO9" s="822"/>
      <c r="AP9" s="822"/>
      <c r="AQ9" s="822"/>
      <c r="AR9" s="822"/>
      <c r="AS9" s="307"/>
      <c r="AT9" s="307"/>
      <c r="AU9" s="307"/>
      <c r="AV9" s="307"/>
      <c r="AW9" s="307"/>
      <c r="AX9" s="307"/>
      <c r="AY9" s="307"/>
      <c r="AZ9" s="307"/>
      <c r="BA9" s="307"/>
      <c r="BB9" s="196"/>
      <c r="BC9" s="196"/>
      <c r="BD9" s="212"/>
      <c r="BE9" s="212"/>
      <c r="BF9" s="212"/>
      <c r="BG9" s="212"/>
      <c r="BH9" s="212"/>
      <c r="BI9" s="212"/>
      <c r="BJ9" s="212"/>
      <c r="BK9" s="212"/>
      <c r="BL9" s="212"/>
      <c r="BM9" s="212"/>
      <c r="BN9" s="212"/>
      <c r="BO9" s="212"/>
      <c r="BP9" s="212"/>
      <c r="BQ9" s="212"/>
      <c r="BR9" s="212"/>
      <c r="BS9" s="212"/>
      <c r="BT9" s="212"/>
      <c r="BU9" s="212"/>
      <c r="BV9" s="212"/>
      <c r="BW9" s="212"/>
      <c r="BX9" s="212"/>
      <c r="BY9" s="212"/>
      <c r="BZ9" s="212"/>
      <c r="CA9" s="212"/>
      <c r="CB9" s="212"/>
      <c r="CC9" s="212"/>
      <c r="CD9" s="212"/>
      <c r="CE9" s="212"/>
    </row>
    <row r="10" spans="1:83" x14ac:dyDescent="0.2">
      <c r="A10" s="1055"/>
      <c r="B10" s="496"/>
      <c r="C10" s="490"/>
      <c r="D10" s="328"/>
      <c r="E10" s="371"/>
      <c r="F10" s="371"/>
      <c r="G10" s="1056"/>
      <c r="H10" s="1056"/>
      <c r="I10" s="1057"/>
      <c r="J10" s="1058"/>
      <c r="K10" s="1056"/>
      <c r="L10" s="1056"/>
      <c r="M10" s="1056"/>
      <c r="N10" s="335"/>
      <c r="O10" s="1059"/>
      <c r="P10" s="1059"/>
      <c r="Q10" s="1059"/>
      <c r="R10" s="1059"/>
      <c r="S10" s="1038"/>
      <c r="T10" s="1060"/>
      <c r="U10" s="1041"/>
      <c r="V10" s="1041"/>
      <c r="W10" s="1042"/>
      <c r="X10" s="1041"/>
      <c r="Y10" s="1059"/>
      <c r="Z10" s="1059"/>
      <c r="AA10" s="1059"/>
      <c r="AB10" s="1061"/>
      <c r="AC10" s="1062"/>
      <c r="AD10" s="1065"/>
      <c r="AE10" s="832"/>
      <c r="AF10" s="822"/>
      <c r="AG10" s="822"/>
      <c r="AH10" s="1065"/>
      <c r="AI10" s="832"/>
      <c r="AJ10" s="822"/>
      <c r="AK10" s="822"/>
      <c r="AL10" s="1065"/>
      <c r="AM10" s="832"/>
      <c r="AN10" s="822"/>
      <c r="AO10" s="822"/>
      <c r="AP10" s="822"/>
      <c r="AQ10" s="822"/>
      <c r="AR10" s="822"/>
      <c r="AS10" s="307"/>
      <c r="AT10" s="307"/>
      <c r="AU10" s="307"/>
      <c r="AV10" s="307"/>
      <c r="AW10" s="307"/>
      <c r="AX10" s="307"/>
      <c r="AY10" s="307"/>
      <c r="AZ10" s="307"/>
      <c r="BA10" s="307"/>
      <c r="BB10" s="196"/>
      <c r="BC10" s="196"/>
      <c r="BD10" s="212"/>
      <c r="BE10" s="212"/>
      <c r="BF10" s="212"/>
      <c r="BG10" s="212"/>
      <c r="BH10" s="212"/>
      <c r="BI10" s="212"/>
      <c r="BJ10" s="212"/>
      <c r="BK10" s="212"/>
      <c r="BL10" s="212"/>
      <c r="BM10" s="212"/>
      <c r="BN10" s="212"/>
      <c r="BO10" s="212"/>
      <c r="BP10" s="212"/>
      <c r="BQ10" s="212"/>
      <c r="BR10" s="212"/>
      <c r="BS10" s="212"/>
      <c r="BT10" s="212"/>
      <c r="BU10" s="212"/>
      <c r="BV10" s="212"/>
      <c r="BW10" s="212"/>
      <c r="BX10" s="212"/>
      <c r="BY10" s="212"/>
      <c r="BZ10" s="212"/>
      <c r="CA10" s="212"/>
      <c r="CB10" s="212"/>
      <c r="CC10" s="212"/>
      <c r="CD10" s="212"/>
      <c r="CE10" s="212"/>
    </row>
    <row r="11" spans="1:83" x14ac:dyDescent="0.2">
      <c r="A11" s="1089"/>
      <c r="B11" s="1090" t="str">
        <f>IF(Stammblatt!$L$4=1,'Kalkulation Herstellungskosten'!BB11,'Kalkulation Herstellungskosten'!BC11)</f>
        <v>Σ-Vorkosten</v>
      </c>
      <c r="C11" s="28"/>
      <c r="D11" s="35"/>
      <c r="E11" s="34"/>
      <c r="F11" s="653">
        <f>SUM(F5:F10)</f>
        <v>0</v>
      </c>
      <c r="G11" s="900"/>
      <c r="H11" s="900"/>
      <c r="I11" s="901"/>
      <c r="J11" s="902"/>
      <c r="K11" s="900"/>
      <c r="L11" s="903"/>
      <c r="M11" s="903"/>
      <c r="N11" s="904"/>
      <c r="O11" s="653">
        <f>SUM(O5:O10)</f>
        <v>0</v>
      </c>
      <c r="P11" s="653">
        <f>SUM(P5:P10)</f>
        <v>0</v>
      </c>
      <c r="Q11" s="653">
        <f t="shared" ref="Q11:R11" si="2">SUM(Q5:Q10)</f>
        <v>0</v>
      </c>
      <c r="R11" s="653">
        <f t="shared" si="2"/>
        <v>0</v>
      </c>
      <c r="S11" s="502"/>
      <c r="T11" s="511">
        <f>SUM(T5:T10)</f>
        <v>0</v>
      </c>
      <c r="U11" s="90">
        <f>SUM(U5:U10)</f>
        <v>0</v>
      </c>
      <c r="V11" s="90">
        <f>SUM(V5:V10)</f>
        <v>0</v>
      </c>
      <c r="W11" s="1043">
        <f>ZS_1_Vorkosten-V11</f>
        <v>0</v>
      </c>
      <c r="X11" s="90">
        <f>SUM(X5:X10)</f>
        <v>0</v>
      </c>
      <c r="Y11" s="90">
        <f>SUM(Y5:Y10)</f>
        <v>0</v>
      </c>
      <c r="Z11" s="90">
        <f t="shared" ref="Z11:AA11" si="3">SUM(Z5:Z10)</f>
        <v>0</v>
      </c>
      <c r="AA11" s="90">
        <f t="shared" si="3"/>
        <v>0</v>
      </c>
      <c r="AB11" s="495"/>
      <c r="AC11" s="305"/>
      <c r="AD11" s="653">
        <f t="shared" ref="AD11:AL11" si="4">SUM(AD5:AD10)</f>
        <v>0</v>
      </c>
      <c r="AE11" s="808">
        <f t="shared" ref="AE11:AG11" si="5">SUM(AE5:AE10)</f>
        <v>0</v>
      </c>
      <c r="AF11" s="654">
        <f t="shared" si="5"/>
        <v>0</v>
      </c>
      <c r="AG11" s="653">
        <f t="shared" si="5"/>
        <v>0</v>
      </c>
      <c r="AH11" s="653">
        <f t="shared" si="4"/>
        <v>0</v>
      </c>
      <c r="AI11" s="808">
        <f t="shared" ref="AI11:AK11" si="6">SUM(AI5:AI10)</f>
        <v>0</v>
      </c>
      <c r="AJ11" s="654">
        <f t="shared" si="6"/>
        <v>0</v>
      </c>
      <c r="AK11" s="653">
        <f t="shared" si="6"/>
        <v>0</v>
      </c>
      <c r="AL11" s="653">
        <f t="shared" si="4"/>
        <v>0</v>
      </c>
      <c r="AM11" s="808">
        <f t="shared" ref="AM11:AO11" si="7">SUM(AM5:AM10)</f>
        <v>0</v>
      </c>
      <c r="AN11" s="654">
        <f t="shared" si="7"/>
        <v>0</v>
      </c>
      <c r="AO11" s="653">
        <f t="shared" si="7"/>
        <v>0</v>
      </c>
      <c r="AP11" s="653">
        <f t="shared" ref="AP11:AQ11" si="8">SUM(AP5:AP10)</f>
        <v>0</v>
      </c>
      <c r="AQ11" s="653">
        <f t="shared" si="8"/>
        <v>0</v>
      </c>
      <c r="AR11" s="1139">
        <f t="shared" ref="AR11" si="9">AP11-AQ11</f>
        <v>0</v>
      </c>
      <c r="AS11" s="307"/>
      <c r="AT11" s="307"/>
      <c r="AU11" s="307"/>
      <c r="AV11" s="307"/>
      <c r="AW11" s="307"/>
      <c r="AX11" s="307"/>
      <c r="AY11" s="307"/>
      <c r="AZ11" s="307"/>
      <c r="BA11" s="307"/>
      <c r="BB11" s="196" t="s">
        <v>227</v>
      </c>
      <c r="BC11" s="196" t="s">
        <v>438</v>
      </c>
      <c r="BD11" s="212"/>
      <c r="BE11" s="212"/>
      <c r="BF11" s="212"/>
      <c r="BG11" s="212"/>
      <c r="BH11" s="212"/>
      <c r="BI11" s="212"/>
      <c r="BJ11" s="212"/>
      <c r="BK11" s="212"/>
      <c r="BL11" s="212"/>
      <c r="BM11" s="212"/>
      <c r="BN11" s="212"/>
      <c r="BO11" s="212"/>
      <c r="BP11" s="212"/>
      <c r="BQ11" s="212"/>
      <c r="BR11" s="212"/>
      <c r="BS11" s="212"/>
      <c r="BT11" s="212"/>
      <c r="BU11" s="212"/>
      <c r="BV11" s="212"/>
      <c r="BW11" s="212"/>
      <c r="BX11" s="212"/>
      <c r="BY11" s="212"/>
      <c r="BZ11" s="212"/>
      <c r="CA11" s="212"/>
      <c r="CB11" s="212"/>
      <c r="CC11" s="212"/>
      <c r="CD11" s="212"/>
      <c r="CE11" s="212"/>
    </row>
    <row r="12" spans="1:83" x14ac:dyDescent="0.2">
      <c r="A12" s="1055"/>
      <c r="B12" s="496"/>
      <c r="C12" s="490"/>
      <c r="D12" s="328"/>
      <c r="E12" s="371"/>
      <c r="F12" s="304"/>
      <c r="G12" s="324"/>
      <c r="H12" s="324"/>
      <c r="I12" s="298"/>
      <c r="J12" s="325"/>
      <c r="K12" s="324"/>
      <c r="L12" s="324"/>
      <c r="M12" s="324"/>
      <c r="N12" s="326"/>
      <c r="O12" s="509"/>
      <c r="P12" s="509"/>
      <c r="Q12" s="509"/>
      <c r="R12" s="509"/>
      <c r="S12" s="502"/>
      <c r="T12" s="510"/>
      <c r="U12" s="327"/>
      <c r="V12" s="1041"/>
      <c r="W12" s="1041"/>
      <c r="X12" s="327"/>
      <c r="Y12" s="509"/>
      <c r="Z12" s="509"/>
      <c r="AA12" s="509"/>
      <c r="AB12" s="495"/>
      <c r="AC12" s="305"/>
      <c r="AD12" s="805"/>
      <c r="AE12" s="804"/>
      <c r="AF12" s="805"/>
      <c r="AG12" s="822"/>
      <c r="AH12" s="805"/>
      <c r="AI12" s="804"/>
      <c r="AJ12" s="805"/>
      <c r="AK12" s="822"/>
      <c r="AL12" s="805"/>
      <c r="AM12" s="804"/>
      <c r="AN12" s="805"/>
      <c r="AO12" s="822"/>
      <c r="AP12" s="822"/>
      <c r="AQ12" s="822"/>
      <c r="AR12" s="822"/>
      <c r="AS12" s="307"/>
      <c r="AT12" s="307"/>
      <c r="AU12" s="307"/>
      <c r="AV12" s="307"/>
      <c r="AW12" s="307"/>
      <c r="AX12" s="307"/>
      <c r="AY12" s="307"/>
      <c r="AZ12" s="307"/>
      <c r="BA12" s="307"/>
      <c r="BB12" s="196"/>
      <c r="BC12" s="196"/>
      <c r="BD12" s="212"/>
      <c r="BE12" s="212"/>
      <c r="BF12" s="212"/>
      <c r="BG12" s="212"/>
      <c r="BH12" s="212"/>
      <c r="BI12" s="212"/>
      <c r="BJ12" s="212"/>
      <c r="BK12" s="212"/>
      <c r="BL12" s="212"/>
      <c r="BM12" s="212"/>
      <c r="BN12" s="212"/>
      <c r="BO12" s="212"/>
      <c r="BP12" s="212"/>
      <c r="BQ12" s="212"/>
      <c r="BR12" s="212"/>
      <c r="BS12" s="212"/>
      <c r="BT12" s="212"/>
      <c r="BU12" s="212"/>
      <c r="BV12" s="212"/>
      <c r="BW12" s="212"/>
      <c r="BX12" s="212"/>
      <c r="BY12" s="212"/>
      <c r="BZ12" s="212"/>
      <c r="CA12" s="212"/>
      <c r="CB12" s="212"/>
      <c r="CC12" s="212"/>
      <c r="CD12" s="212"/>
      <c r="CE12" s="212"/>
    </row>
    <row r="13" spans="1:83" x14ac:dyDescent="0.2">
      <c r="A13" s="1055"/>
      <c r="B13" s="496"/>
      <c r="C13" s="490"/>
      <c r="D13" s="328"/>
      <c r="E13" s="371"/>
      <c r="F13" s="304"/>
      <c r="G13" s="324"/>
      <c r="H13" s="324"/>
      <c r="I13" s="298"/>
      <c r="J13" s="325"/>
      <c r="K13" s="324"/>
      <c r="L13" s="324"/>
      <c r="M13" s="324"/>
      <c r="N13" s="326"/>
      <c r="O13" s="509"/>
      <c r="P13" s="509"/>
      <c r="Q13" s="509"/>
      <c r="R13" s="509"/>
      <c r="S13" s="502"/>
      <c r="T13" s="510"/>
      <c r="U13" s="327"/>
      <c r="V13" s="1041"/>
      <c r="W13" s="1041"/>
      <c r="X13" s="327"/>
      <c r="Y13" s="509"/>
      <c r="Z13" s="509"/>
      <c r="AA13" s="509"/>
      <c r="AB13" s="495"/>
      <c r="AC13" s="305"/>
      <c r="AD13" s="805"/>
      <c r="AE13" s="807"/>
      <c r="AF13" s="805"/>
      <c r="AG13" s="822"/>
      <c r="AH13" s="805"/>
      <c r="AI13" s="807"/>
      <c r="AJ13" s="805"/>
      <c r="AK13" s="822"/>
      <c r="AL13" s="805"/>
      <c r="AM13" s="807"/>
      <c r="AN13" s="805"/>
      <c r="AO13" s="822"/>
      <c r="AP13" s="822"/>
      <c r="AQ13" s="822"/>
      <c r="AR13" s="822"/>
      <c r="AS13" s="307"/>
      <c r="AT13" s="307"/>
      <c r="AU13" s="307"/>
      <c r="AV13" s="307"/>
      <c r="AW13" s="580"/>
      <c r="AX13" s="584"/>
      <c r="AY13" s="584" t="s">
        <v>854</v>
      </c>
      <c r="AZ13" s="584" t="s">
        <v>844</v>
      </c>
      <c r="BA13" s="307"/>
      <c r="BB13" s="196"/>
      <c r="BC13" s="196"/>
      <c r="BD13" s="212"/>
      <c r="BE13" s="212"/>
      <c r="BF13" s="212"/>
      <c r="BG13" s="212"/>
      <c r="BH13" s="212"/>
      <c r="BI13" s="212"/>
      <c r="BJ13" s="212"/>
      <c r="BK13" s="212"/>
      <c r="BL13" s="212"/>
      <c r="BM13" s="212"/>
      <c r="BN13" s="212"/>
      <c r="BO13" s="212"/>
      <c r="BP13" s="212"/>
      <c r="BQ13" s="212"/>
      <c r="BR13" s="212"/>
      <c r="BS13" s="212"/>
      <c r="BT13" s="212"/>
      <c r="BU13" s="212"/>
      <c r="BV13" s="212"/>
      <c r="BW13" s="212"/>
      <c r="BX13" s="212"/>
      <c r="BY13" s="212"/>
      <c r="BZ13" s="212"/>
      <c r="CA13" s="212"/>
      <c r="CB13" s="212"/>
      <c r="CC13" s="212"/>
      <c r="CD13" s="212"/>
      <c r="CE13" s="212"/>
    </row>
    <row r="14" spans="1:83" s="24" customFormat="1" x14ac:dyDescent="0.2">
      <c r="A14" s="1066"/>
      <c r="B14" s="497" t="str">
        <f>IF(Stammblatt!$L$4=1,'Kalkulation Herstellungskosten'!BB14,'Kalkulation Herstellungskosten'!BC14)</f>
        <v>2. Nutzungsrechte</v>
      </c>
      <c r="C14" s="379"/>
      <c r="D14" s="328" t="s">
        <v>600</v>
      </c>
      <c r="E14" s="329"/>
      <c r="F14" s="329"/>
      <c r="G14" s="328" t="s">
        <v>623</v>
      </c>
      <c r="H14" s="328"/>
      <c r="I14" s="1068"/>
      <c r="J14" s="330" t="s">
        <v>556</v>
      </c>
      <c r="K14" s="328" t="s">
        <v>557</v>
      </c>
      <c r="L14" s="295" t="s">
        <v>558</v>
      </c>
      <c r="M14" s="295" t="s">
        <v>559</v>
      </c>
      <c r="N14" s="331"/>
      <c r="O14" s="502"/>
      <c r="P14" s="502"/>
      <c r="Q14" s="502"/>
      <c r="R14" s="502"/>
      <c r="S14" s="502"/>
      <c r="T14" s="504"/>
      <c r="U14" s="332"/>
      <c r="V14" s="1040"/>
      <c r="W14" s="1040"/>
      <c r="X14" s="332"/>
      <c r="Y14" s="502"/>
      <c r="Z14" s="502"/>
      <c r="AA14" s="502"/>
      <c r="AB14" s="495"/>
      <c r="AC14" s="305"/>
      <c r="AD14" s="809"/>
      <c r="AE14" s="807"/>
      <c r="AF14" s="809"/>
      <c r="AG14" s="1135"/>
      <c r="AH14" s="809"/>
      <c r="AI14" s="807"/>
      <c r="AJ14" s="809"/>
      <c r="AK14" s="1135"/>
      <c r="AL14" s="809"/>
      <c r="AM14" s="807"/>
      <c r="AN14" s="809"/>
      <c r="AO14" s="1135"/>
      <c r="AP14" s="1135"/>
      <c r="AQ14" s="1135"/>
      <c r="AR14" s="1135"/>
      <c r="AS14" s="392"/>
      <c r="AT14" s="392"/>
      <c r="AU14" s="311" t="s">
        <v>622</v>
      </c>
      <c r="AV14" s="311" t="s">
        <v>600</v>
      </c>
      <c r="AW14" s="581" t="s">
        <v>843</v>
      </c>
      <c r="AX14" s="581"/>
      <c r="AY14" s="581" t="s">
        <v>623</v>
      </c>
      <c r="AZ14" s="581" t="s">
        <v>845</v>
      </c>
      <c r="BA14" s="309"/>
      <c r="BB14" s="196" t="s">
        <v>32</v>
      </c>
      <c r="BC14" s="196" t="s">
        <v>329</v>
      </c>
      <c r="BD14" s="308"/>
      <c r="BE14" s="308"/>
      <c r="BF14" s="308"/>
      <c r="BG14" s="308"/>
      <c r="BH14" s="308"/>
      <c r="BI14" s="308"/>
      <c r="BJ14" s="308"/>
      <c r="BK14" s="308"/>
      <c r="BL14" s="308"/>
      <c r="BM14" s="308"/>
      <c r="BN14" s="308"/>
      <c r="BO14" s="308"/>
      <c r="BP14" s="308"/>
      <c r="BQ14" s="308"/>
      <c r="BR14" s="308"/>
      <c r="BS14" s="308"/>
      <c r="BT14" s="308"/>
      <c r="BU14" s="308"/>
      <c r="BV14" s="308"/>
      <c r="BW14" s="308"/>
      <c r="BX14" s="308"/>
      <c r="BY14" s="308"/>
      <c r="BZ14" s="308"/>
      <c r="CA14" s="308"/>
      <c r="CB14" s="308"/>
      <c r="CC14" s="308"/>
      <c r="CD14" s="308"/>
      <c r="CE14" s="308"/>
    </row>
    <row r="15" spans="1:83" x14ac:dyDescent="0.2">
      <c r="A15" s="1091">
        <v>2</v>
      </c>
      <c r="B15" s="1082" t="str">
        <f>IF(Stammblatt!$L$4=1,'Kalkulation Herstellungskosten'!BB15,'Kalkulation Herstellungskosten'!BC15)</f>
        <v>Verfilmungsrechte</v>
      </c>
      <c r="C15" s="491"/>
      <c r="D15" s="492"/>
      <c r="E15" s="396"/>
      <c r="F15" s="32"/>
      <c r="G15" s="1035"/>
      <c r="H15" s="1035"/>
      <c r="I15" s="1086"/>
      <c r="J15" s="322"/>
      <c r="K15" s="320"/>
      <c r="L15" s="320"/>
      <c r="M15" s="320"/>
      <c r="N15" s="333"/>
      <c r="O15" s="505"/>
      <c r="P15" s="1250"/>
      <c r="Q15" s="507"/>
      <c r="R15" s="505"/>
      <c r="S15" s="502"/>
      <c r="T15" s="507"/>
      <c r="U15" s="505"/>
      <c r="V15" s="831">
        <f t="shared" ref="V15:V25" si="10">SUM(T15:U15)</f>
        <v>0</v>
      </c>
      <c r="W15" s="397">
        <f t="shared" ref="W15:W25" si="11">F15-V15</f>
        <v>0</v>
      </c>
      <c r="X15" s="505"/>
      <c r="Y15" s="508"/>
      <c r="Z15" s="507"/>
      <c r="AA15" s="505"/>
      <c r="AB15" s="495"/>
      <c r="AC15" s="305"/>
      <c r="AD15" s="799"/>
      <c r="AE15" s="800"/>
      <c r="AF15" s="801"/>
      <c r="AG15" s="831">
        <f t="shared" ref="AG15:AG25" si="12">SUM(AE15:AF15)</f>
        <v>0</v>
      </c>
      <c r="AH15" s="799"/>
      <c r="AI15" s="800"/>
      <c r="AJ15" s="801"/>
      <c r="AK15" s="831">
        <f t="shared" ref="AK15:AK25" si="13">SUM(AI15:AJ15)</f>
        <v>0</v>
      </c>
      <c r="AL15" s="799"/>
      <c r="AM15" s="800"/>
      <c r="AN15" s="801"/>
      <c r="AO15" s="831">
        <f t="shared" ref="AO15:AO25" si="14">SUM(AM15:AN15)</f>
        <v>0</v>
      </c>
      <c r="AP15" s="1078">
        <f t="shared" ref="AP15:AP25" si="15">SUM(F15,AD15:AL15)</f>
        <v>0</v>
      </c>
      <c r="AQ15" s="1079">
        <f t="shared" ref="AQ15:AQ25" si="16">SUM(AO15,AK15,AG15,V15)</f>
        <v>0</v>
      </c>
      <c r="AR15" s="1080">
        <f t="shared" ref="AR15:AR25" si="17">AP15-AQ15</f>
        <v>0</v>
      </c>
      <c r="AS15" s="307"/>
      <c r="AT15" s="307"/>
      <c r="AU15" s="307"/>
      <c r="AV15" s="307"/>
      <c r="AW15" s="582"/>
      <c r="AX15" s="582"/>
      <c r="AY15" s="582"/>
      <c r="AZ15" s="582"/>
      <c r="BA15" s="307"/>
      <c r="BB15" s="196" t="s">
        <v>33</v>
      </c>
      <c r="BC15" s="196" t="s">
        <v>330</v>
      </c>
      <c r="BD15" s="212"/>
      <c r="BE15" s="212"/>
      <c r="BF15" s="212"/>
      <c r="BG15" s="212"/>
      <c r="BH15" s="212"/>
      <c r="BI15" s="212"/>
      <c r="BJ15" s="212"/>
      <c r="BK15" s="212"/>
      <c r="BL15" s="212"/>
      <c r="BM15" s="212"/>
      <c r="BN15" s="212"/>
      <c r="BO15" s="212"/>
      <c r="BP15" s="212"/>
      <c r="BQ15" s="212"/>
      <c r="BR15" s="212"/>
      <c r="BS15" s="212"/>
      <c r="BT15" s="212"/>
      <c r="BU15" s="212"/>
      <c r="BV15" s="212"/>
      <c r="BW15" s="212"/>
      <c r="BX15" s="212"/>
      <c r="BY15" s="212"/>
      <c r="BZ15" s="212"/>
      <c r="CA15" s="212"/>
      <c r="CB15" s="212"/>
      <c r="CC15" s="212"/>
      <c r="CD15" s="212"/>
      <c r="CE15" s="212"/>
    </row>
    <row r="16" spans="1:83" x14ac:dyDescent="0.2">
      <c r="A16" s="1091">
        <v>3</v>
      </c>
      <c r="B16" s="1082" t="str">
        <f>IF(Stammblatt!$L$4=1,'Kalkulation Herstellungskosten'!BB16,'Kalkulation Herstellungskosten'!BC16)</f>
        <v>Treatment</v>
      </c>
      <c r="C16" s="491"/>
      <c r="D16" s="492"/>
      <c r="E16" s="396"/>
      <c r="F16" s="32"/>
      <c r="G16" s="1035"/>
      <c r="H16" s="1035"/>
      <c r="I16" s="1086"/>
      <c r="J16" s="322"/>
      <c r="K16" s="320"/>
      <c r="L16" s="320"/>
      <c r="M16" s="320"/>
      <c r="N16" s="333"/>
      <c r="O16" s="505"/>
      <c r="P16" s="1250"/>
      <c r="Q16" s="507"/>
      <c r="R16" s="505"/>
      <c r="S16" s="502"/>
      <c r="T16" s="507"/>
      <c r="U16" s="505"/>
      <c r="V16" s="831">
        <f t="shared" si="10"/>
        <v>0</v>
      </c>
      <c r="W16" s="397">
        <f t="shared" si="11"/>
        <v>0</v>
      </c>
      <c r="X16" s="505"/>
      <c r="Y16" s="508"/>
      <c r="Z16" s="507"/>
      <c r="AA16" s="505"/>
      <c r="AB16" s="495"/>
      <c r="AC16" s="305"/>
      <c r="AD16" s="799"/>
      <c r="AE16" s="800"/>
      <c r="AF16" s="801"/>
      <c r="AG16" s="831">
        <f t="shared" si="12"/>
        <v>0</v>
      </c>
      <c r="AH16" s="799"/>
      <c r="AI16" s="800"/>
      <c r="AJ16" s="801"/>
      <c r="AK16" s="831">
        <f t="shared" si="13"/>
        <v>0</v>
      </c>
      <c r="AL16" s="799"/>
      <c r="AM16" s="800"/>
      <c r="AN16" s="801"/>
      <c r="AO16" s="831">
        <f t="shared" si="14"/>
        <v>0</v>
      </c>
      <c r="AP16" s="1078">
        <f t="shared" si="15"/>
        <v>0</v>
      </c>
      <c r="AQ16" s="1079">
        <f t="shared" si="16"/>
        <v>0</v>
      </c>
      <c r="AR16" s="1080">
        <f t="shared" si="17"/>
        <v>0</v>
      </c>
      <c r="AS16" s="307"/>
      <c r="AT16" s="307"/>
      <c r="AU16" s="307"/>
      <c r="AV16" s="307"/>
      <c r="AW16" s="582"/>
      <c r="AX16" s="582"/>
      <c r="AY16" s="582"/>
      <c r="AZ16" s="582"/>
      <c r="BA16" s="307"/>
      <c r="BB16" s="196" t="s">
        <v>34</v>
      </c>
      <c r="BC16" s="196" t="s">
        <v>34</v>
      </c>
      <c r="BD16" s="212"/>
      <c r="BE16" s="212"/>
      <c r="BF16" s="212"/>
      <c r="BG16" s="212"/>
      <c r="BH16" s="212"/>
      <c r="BI16" s="212"/>
      <c r="BJ16" s="212"/>
      <c r="BK16" s="212"/>
      <c r="BL16" s="212"/>
      <c r="BM16" s="212"/>
      <c r="BN16" s="212"/>
      <c r="BO16" s="212"/>
      <c r="BP16" s="212"/>
      <c r="BQ16" s="212"/>
      <c r="BR16" s="212"/>
      <c r="BS16" s="212"/>
      <c r="BT16" s="212"/>
      <c r="BU16" s="212"/>
      <c r="BV16" s="212"/>
      <c r="BW16" s="212"/>
      <c r="BX16" s="212"/>
      <c r="BY16" s="212"/>
      <c r="BZ16" s="212"/>
      <c r="CA16" s="212"/>
      <c r="CB16" s="212"/>
      <c r="CC16" s="212"/>
      <c r="CD16" s="212"/>
      <c r="CE16" s="212"/>
    </row>
    <row r="17" spans="1:275" ht="12.75" customHeight="1" x14ac:dyDescent="0.2">
      <c r="A17" s="1091">
        <v>4</v>
      </c>
      <c r="B17" s="1082" t="str">
        <f>IF(Stammblatt!$L$4=1,'Kalkulation Herstellungskosten'!BB17,'Kalkulation Herstellungskosten'!BC17)</f>
        <v>Drehbuch</v>
      </c>
      <c r="C17" s="1085"/>
      <c r="D17" s="492"/>
      <c r="E17" s="396">
        <f>IF(E6&gt;15000,E6-15000,0)</f>
        <v>0</v>
      </c>
      <c r="F17" s="32"/>
      <c r="G17" s="1087">
        <f ca="1">AU17-E17</f>
        <v>0</v>
      </c>
      <c r="H17" s="1088"/>
      <c r="I17" s="1086"/>
      <c r="J17" s="752"/>
      <c r="K17" s="752"/>
      <c r="L17" s="489">
        <f>F17*J17</f>
        <v>0</v>
      </c>
      <c r="M17" s="489">
        <f>F17*K17</f>
        <v>0</v>
      </c>
      <c r="N17" s="559" t="str">
        <f>IF((L17+M17)&lt;&gt;F17,"?","")</f>
        <v/>
      </c>
      <c r="O17" s="505"/>
      <c r="P17" s="1250"/>
      <c r="Q17" s="507"/>
      <c r="R17" s="505"/>
      <c r="S17" s="502"/>
      <c r="T17" s="507"/>
      <c r="U17" s="505"/>
      <c r="V17" s="831">
        <f t="shared" si="10"/>
        <v>0</v>
      </c>
      <c r="W17" s="397">
        <f t="shared" si="11"/>
        <v>0</v>
      </c>
      <c r="X17" s="505"/>
      <c r="Y17" s="508"/>
      <c r="Z17" s="507"/>
      <c r="AA17" s="505"/>
      <c r="AB17" s="495"/>
      <c r="AC17" s="305"/>
      <c r="AD17" s="799"/>
      <c r="AE17" s="800"/>
      <c r="AF17" s="801"/>
      <c r="AG17" s="831">
        <f t="shared" si="12"/>
        <v>0</v>
      </c>
      <c r="AH17" s="799"/>
      <c r="AI17" s="800"/>
      <c r="AJ17" s="801"/>
      <c r="AK17" s="831">
        <f t="shared" si="13"/>
        <v>0</v>
      </c>
      <c r="AL17" s="799"/>
      <c r="AM17" s="800"/>
      <c r="AN17" s="801"/>
      <c r="AO17" s="831">
        <f t="shared" si="14"/>
        <v>0</v>
      </c>
      <c r="AP17" s="1078">
        <f t="shared" si="15"/>
        <v>0</v>
      </c>
      <c r="AQ17" s="1079">
        <f t="shared" si="16"/>
        <v>0</v>
      </c>
      <c r="AR17" s="1080">
        <f t="shared" si="17"/>
        <v>0</v>
      </c>
      <c r="AS17" s="307"/>
      <c r="AT17" s="307"/>
      <c r="AU17" s="393">
        <f ca="1">ROUND(IF(AV17=TRUE,AZ17*0.8,AZ17),-1)</f>
        <v>0</v>
      </c>
      <c r="AV17" s="383" t="b">
        <v>0</v>
      </c>
      <c r="AW17" s="583">
        <f ca="1">ROUND(Drehbuch_Richtsatz*0.85,-1)</f>
        <v>0</v>
      </c>
      <c r="AX17" s="583"/>
      <c r="AY17" s="583">
        <f ca="1">Drehbuch_Richtsatz</f>
        <v>0</v>
      </c>
      <c r="AZ17" s="583">
        <f ca="1">IF(Stammblatt!I16=TRUE,'Kalkulation Herstellungskosten'!AW17,'Kalkulation Herstellungskosten'!AY17)</f>
        <v>0</v>
      </c>
      <c r="BA17" s="310"/>
      <c r="BB17" s="196" t="s">
        <v>35</v>
      </c>
      <c r="BC17" s="196" t="s">
        <v>331</v>
      </c>
      <c r="BD17" s="212"/>
      <c r="BE17" s="212"/>
      <c r="BF17" s="212"/>
      <c r="BG17" s="212"/>
      <c r="BH17" s="212"/>
      <c r="BI17" s="212"/>
      <c r="BJ17" s="212"/>
      <c r="BK17" s="212"/>
      <c r="BL17" s="212"/>
      <c r="BM17" s="212"/>
      <c r="BN17" s="212"/>
      <c r="BO17" s="212"/>
      <c r="BP17" s="212"/>
      <c r="BQ17" s="212"/>
      <c r="BR17" s="212"/>
      <c r="BS17" s="212"/>
      <c r="BT17" s="212"/>
      <c r="BU17" s="212"/>
      <c r="BV17" s="212"/>
      <c r="BW17" s="212"/>
      <c r="BX17" s="212"/>
      <c r="BY17" s="212"/>
      <c r="BZ17" s="212"/>
      <c r="CA17" s="212"/>
      <c r="CB17" s="212"/>
      <c r="CC17" s="212"/>
      <c r="CD17" s="212"/>
      <c r="CE17" s="212"/>
    </row>
    <row r="18" spans="1:275" x14ac:dyDescent="0.2">
      <c r="A18" s="1091">
        <v>5</v>
      </c>
      <c r="B18" s="1082" t="str">
        <f>IF(Stammblatt!$L$4=1,'Kalkulation Herstellungskosten'!BB18,'Kalkulation Herstellungskosten'!BC18)</f>
        <v>Synchronbuch</v>
      </c>
      <c r="C18" s="491"/>
      <c r="D18" s="492"/>
      <c r="E18" s="396"/>
      <c r="F18" s="32"/>
      <c r="G18" s="1035"/>
      <c r="H18" s="1035"/>
      <c r="I18" s="1086"/>
      <c r="J18" s="322"/>
      <c r="K18" s="320"/>
      <c r="L18" s="320"/>
      <c r="M18" s="320"/>
      <c r="N18" s="333"/>
      <c r="O18" s="505"/>
      <c r="P18" s="1250"/>
      <c r="Q18" s="507"/>
      <c r="R18" s="505"/>
      <c r="S18" s="502"/>
      <c r="T18" s="507"/>
      <c r="U18" s="505"/>
      <c r="V18" s="831">
        <f t="shared" si="10"/>
        <v>0</v>
      </c>
      <c r="W18" s="397">
        <f t="shared" si="11"/>
        <v>0</v>
      </c>
      <c r="X18" s="505"/>
      <c r="Y18" s="508"/>
      <c r="Z18" s="507"/>
      <c r="AA18" s="505"/>
      <c r="AB18" s="495"/>
      <c r="AC18" s="305"/>
      <c r="AD18" s="799"/>
      <c r="AE18" s="802"/>
      <c r="AF18" s="801"/>
      <c r="AG18" s="831">
        <f t="shared" si="12"/>
        <v>0</v>
      </c>
      <c r="AH18" s="799"/>
      <c r="AI18" s="802"/>
      <c r="AJ18" s="801"/>
      <c r="AK18" s="831">
        <f t="shared" si="13"/>
        <v>0</v>
      </c>
      <c r="AL18" s="799"/>
      <c r="AM18" s="802"/>
      <c r="AN18" s="801"/>
      <c r="AO18" s="831">
        <f t="shared" si="14"/>
        <v>0</v>
      </c>
      <c r="AP18" s="1078">
        <f t="shared" si="15"/>
        <v>0</v>
      </c>
      <c r="AQ18" s="1079">
        <f t="shared" si="16"/>
        <v>0</v>
      </c>
      <c r="AR18" s="1080">
        <f t="shared" si="17"/>
        <v>0</v>
      </c>
      <c r="AS18" s="307"/>
      <c r="AT18" s="307"/>
      <c r="AU18" s="394"/>
      <c r="AV18" s="307"/>
      <c r="AW18" s="307"/>
      <c r="AX18" s="307"/>
      <c r="AY18" s="307"/>
      <c r="AZ18" s="307"/>
      <c r="BA18" s="307"/>
      <c r="BB18" s="196" t="s">
        <v>36</v>
      </c>
      <c r="BC18" s="196" t="s">
        <v>332</v>
      </c>
      <c r="BD18" s="212"/>
      <c r="BE18" s="212"/>
      <c r="BF18" s="212"/>
      <c r="BG18" s="212"/>
      <c r="BH18" s="212"/>
      <c r="BI18" s="212"/>
      <c r="BJ18" s="212"/>
      <c r="BK18" s="212"/>
      <c r="BL18" s="212"/>
      <c r="BM18" s="212"/>
      <c r="BN18" s="212"/>
      <c r="BO18" s="212"/>
      <c r="BP18" s="212"/>
      <c r="BQ18" s="212"/>
      <c r="BR18" s="212"/>
      <c r="BS18" s="212"/>
      <c r="BT18" s="212"/>
      <c r="BU18" s="212"/>
      <c r="BV18" s="212"/>
      <c r="BW18" s="212"/>
      <c r="BX18" s="212"/>
      <c r="BY18" s="212"/>
      <c r="BZ18" s="212"/>
      <c r="CA18" s="212"/>
      <c r="CB18" s="212"/>
      <c r="CC18" s="212"/>
      <c r="CD18" s="212"/>
      <c r="CE18" s="212"/>
    </row>
    <row r="19" spans="1:275" x14ac:dyDescent="0.2">
      <c r="A19" s="1091">
        <v>6</v>
      </c>
      <c r="B19" s="1082" t="str">
        <f>IF(Stammblatt!$L$4=1,'Kalkulation Herstellungskosten'!BB19,'Kalkulation Herstellungskosten'!BC19)</f>
        <v>Archivrechte</v>
      </c>
      <c r="C19" s="491"/>
      <c r="D19" s="492"/>
      <c r="E19" s="396"/>
      <c r="F19" s="32"/>
      <c r="G19" s="1035"/>
      <c r="H19" s="1035"/>
      <c r="I19" s="1086"/>
      <c r="J19" s="322"/>
      <c r="K19" s="320"/>
      <c r="L19" s="320"/>
      <c r="M19" s="320"/>
      <c r="N19" s="333"/>
      <c r="O19" s="505"/>
      <c r="P19" s="1250"/>
      <c r="Q19" s="507"/>
      <c r="R19" s="505"/>
      <c r="S19" s="502"/>
      <c r="T19" s="507"/>
      <c r="U19" s="505"/>
      <c r="V19" s="831">
        <f t="shared" si="10"/>
        <v>0</v>
      </c>
      <c r="W19" s="397">
        <f t="shared" si="11"/>
        <v>0</v>
      </c>
      <c r="X19" s="505"/>
      <c r="Y19" s="508"/>
      <c r="Z19" s="507"/>
      <c r="AA19" s="505"/>
      <c r="AB19" s="495"/>
      <c r="AC19" s="305"/>
      <c r="AD19" s="799"/>
      <c r="AE19" s="800"/>
      <c r="AF19" s="801"/>
      <c r="AG19" s="831">
        <f t="shared" si="12"/>
        <v>0</v>
      </c>
      <c r="AH19" s="799"/>
      <c r="AI19" s="800"/>
      <c r="AJ19" s="801"/>
      <c r="AK19" s="831">
        <f t="shared" si="13"/>
        <v>0</v>
      </c>
      <c r="AL19" s="799"/>
      <c r="AM19" s="800"/>
      <c r="AN19" s="801"/>
      <c r="AO19" s="831">
        <f t="shared" si="14"/>
        <v>0</v>
      </c>
      <c r="AP19" s="1078">
        <f t="shared" si="15"/>
        <v>0</v>
      </c>
      <c r="AQ19" s="1079">
        <f t="shared" si="16"/>
        <v>0</v>
      </c>
      <c r="AR19" s="1080">
        <f t="shared" si="17"/>
        <v>0</v>
      </c>
      <c r="AS19" s="307"/>
      <c r="AT19" s="307"/>
      <c r="AU19" s="394"/>
      <c r="AV19" s="307"/>
      <c r="AW19" s="307"/>
      <c r="AX19" s="307"/>
      <c r="AY19" s="307"/>
      <c r="AZ19" s="307"/>
      <c r="BA19" s="307"/>
      <c r="BB19" s="196" t="s">
        <v>37</v>
      </c>
      <c r="BC19" s="196" t="s">
        <v>333</v>
      </c>
      <c r="BD19" s="212"/>
      <c r="BE19" s="212"/>
      <c r="BF19" s="212"/>
      <c r="BG19" s="212"/>
      <c r="BH19" s="212"/>
      <c r="BI19" s="212"/>
      <c r="BJ19" s="212"/>
      <c r="BK19" s="212"/>
      <c r="BL19" s="212"/>
      <c r="BM19" s="212"/>
      <c r="BN19" s="212"/>
      <c r="BO19" s="212"/>
      <c r="BP19" s="212"/>
      <c r="BQ19" s="212"/>
      <c r="BR19" s="212"/>
      <c r="BS19" s="212"/>
      <c r="BT19" s="212"/>
      <c r="BU19" s="212"/>
      <c r="BV19" s="212"/>
      <c r="BW19" s="212"/>
      <c r="BX19" s="212"/>
      <c r="BY19" s="212"/>
      <c r="BZ19" s="212"/>
      <c r="CA19" s="212"/>
      <c r="CB19" s="212"/>
      <c r="CC19" s="212"/>
      <c r="CD19" s="212"/>
      <c r="CE19" s="212"/>
    </row>
    <row r="20" spans="1:275" x14ac:dyDescent="0.2">
      <c r="A20" s="1091">
        <v>7</v>
      </c>
      <c r="B20" s="1082" t="str">
        <f>IF(Stammblatt!$L$4=1,'Kalkulation Herstellungskosten'!BB20,'Kalkulation Herstellungskosten'!BC20)</f>
        <v>Musikrechte</v>
      </c>
      <c r="C20" s="491"/>
      <c r="D20" s="492"/>
      <c r="E20" s="396"/>
      <c r="F20" s="32"/>
      <c r="G20" s="1035"/>
      <c r="H20" s="1035"/>
      <c r="I20" s="1086"/>
      <c r="J20" s="322"/>
      <c r="K20" s="320"/>
      <c r="L20" s="320"/>
      <c r="M20" s="320"/>
      <c r="N20" s="333"/>
      <c r="O20" s="505"/>
      <c r="P20" s="1250"/>
      <c r="Q20" s="507"/>
      <c r="R20" s="505"/>
      <c r="S20" s="502"/>
      <c r="T20" s="507"/>
      <c r="U20" s="505"/>
      <c r="V20" s="831">
        <f t="shared" si="10"/>
        <v>0</v>
      </c>
      <c r="W20" s="397">
        <f t="shared" si="11"/>
        <v>0</v>
      </c>
      <c r="X20" s="505"/>
      <c r="Y20" s="508"/>
      <c r="Z20" s="507"/>
      <c r="AA20" s="505"/>
      <c r="AB20" s="495"/>
      <c r="AC20" s="305"/>
      <c r="AD20" s="799"/>
      <c r="AE20" s="800"/>
      <c r="AF20" s="801"/>
      <c r="AG20" s="831">
        <f t="shared" si="12"/>
        <v>0</v>
      </c>
      <c r="AH20" s="799"/>
      <c r="AI20" s="800"/>
      <c r="AJ20" s="801"/>
      <c r="AK20" s="831">
        <f t="shared" si="13"/>
        <v>0</v>
      </c>
      <c r="AL20" s="799"/>
      <c r="AM20" s="800"/>
      <c r="AN20" s="801"/>
      <c r="AO20" s="831">
        <f t="shared" si="14"/>
        <v>0</v>
      </c>
      <c r="AP20" s="1078">
        <f t="shared" si="15"/>
        <v>0</v>
      </c>
      <c r="AQ20" s="1079">
        <f t="shared" si="16"/>
        <v>0</v>
      </c>
      <c r="AR20" s="1080">
        <f t="shared" si="17"/>
        <v>0</v>
      </c>
      <c r="AS20" s="307"/>
      <c r="AT20" s="307"/>
      <c r="AU20" s="394"/>
      <c r="AV20" s="307"/>
      <c r="AW20" s="307"/>
      <c r="AX20" s="307"/>
      <c r="AY20" s="307"/>
      <c r="AZ20" s="307"/>
      <c r="BA20" s="307"/>
      <c r="BB20" s="196" t="s">
        <v>38</v>
      </c>
      <c r="BC20" s="196" t="s">
        <v>472</v>
      </c>
      <c r="BD20" s="212"/>
      <c r="BE20" s="212"/>
      <c r="BF20" s="212"/>
      <c r="BG20" s="212"/>
      <c r="BH20" s="212"/>
      <c r="BI20" s="212"/>
      <c r="BJ20" s="212"/>
      <c r="BK20" s="212"/>
      <c r="BL20" s="212"/>
      <c r="BM20" s="212"/>
      <c r="BN20" s="212"/>
      <c r="BO20" s="212"/>
      <c r="BP20" s="212"/>
      <c r="BQ20" s="212"/>
      <c r="BR20" s="212"/>
      <c r="BS20" s="212"/>
      <c r="BT20" s="212"/>
      <c r="BU20" s="212"/>
      <c r="BV20" s="212"/>
      <c r="BW20" s="212"/>
      <c r="BX20" s="212"/>
      <c r="BY20" s="212"/>
      <c r="BZ20" s="212"/>
      <c r="CA20" s="212"/>
      <c r="CB20" s="212"/>
      <c r="CC20" s="212"/>
      <c r="CD20" s="212"/>
      <c r="CE20" s="212"/>
    </row>
    <row r="21" spans="1:275" x14ac:dyDescent="0.2">
      <c r="A21" s="1091">
        <v>8</v>
      </c>
      <c r="B21" s="1082" t="str">
        <f>IF(Stammblatt!$L$4=1,'Kalkulation Herstellungskosten'!BB21,'Kalkulation Herstellungskosten'!BC21)</f>
        <v>Textrechte</v>
      </c>
      <c r="C21" s="491"/>
      <c r="D21" s="492"/>
      <c r="E21" s="396"/>
      <c r="F21" s="32"/>
      <c r="G21" s="1035"/>
      <c r="H21" s="1035"/>
      <c r="I21" s="1086"/>
      <c r="J21" s="322"/>
      <c r="K21" s="320"/>
      <c r="L21" s="320"/>
      <c r="M21" s="320"/>
      <c r="N21" s="333"/>
      <c r="O21" s="505"/>
      <c r="P21" s="1250"/>
      <c r="Q21" s="507"/>
      <c r="R21" s="505"/>
      <c r="S21" s="502"/>
      <c r="T21" s="507"/>
      <c r="U21" s="505"/>
      <c r="V21" s="831">
        <f t="shared" si="10"/>
        <v>0</v>
      </c>
      <c r="W21" s="397">
        <f t="shared" si="11"/>
        <v>0</v>
      </c>
      <c r="X21" s="505"/>
      <c r="Y21" s="508"/>
      <c r="Z21" s="507"/>
      <c r="AA21" s="505"/>
      <c r="AB21" s="495"/>
      <c r="AC21" s="305"/>
      <c r="AD21" s="799"/>
      <c r="AE21" s="800"/>
      <c r="AF21" s="801"/>
      <c r="AG21" s="831">
        <f t="shared" si="12"/>
        <v>0</v>
      </c>
      <c r="AH21" s="799"/>
      <c r="AI21" s="800"/>
      <c r="AJ21" s="801"/>
      <c r="AK21" s="831">
        <f t="shared" si="13"/>
        <v>0</v>
      </c>
      <c r="AL21" s="799"/>
      <c r="AM21" s="800"/>
      <c r="AN21" s="801"/>
      <c r="AO21" s="831">
        <f t="shared" si="14"/>
        <v>0</v>
      </c>
      <c r="AP21" s="1078">
        <f t="shared" si="15"/>
        <v>0</v>
      </c>
      <c r="AQ21" s="1079">
        <f t="shared" si="16"/>
        <v>0</v>
      </c>
      <c r="AR21" s="1080">
        <f t="shared" si="17"/>
        <v>0</v>
      </c>
      <c r="AS21" s="307"/>
      <c r="AT21" s="307"/>
      <c r="AU21" s="394"/>
      <c r="AV21" s="307"/>
      <c r="AW21" s="307"/>
      <c r="AX21" s="307"/>
      <c r="AY21" s="307"/>
      <c r="AZ21" s="307"/>
      <c r="BA21" s="307"/>
      <c r="BB21" s="196" t="s">
        <v>39</v>
      </c>
      <c r="BC21" s="196" t="s">
        <v>334</v>
      </c>
      <c r="BD21" s="212"/>
      <c r="BE21" s="212"/>
      <c r="BF21" s="212"/>
      <c r="BG21" s="212"/>
      <c r="BH21" s="212"/>
      <c r="BI21" s="212"/>
      <c r="BJ21" s="212"/>
      <c r="BK21" s="212"/>
      <c r="BL21" s="212"/>
      <c r="BM21" s="212"/>
      <c r="BN21" s="212"/>
      <c r="BO21" s="212"/>
      <c r="BP21" s="212"/>
      <c r="BQ21" s="212"/>
      <c r="BR21" s="212"/>
      <c r="BS21" s="212"/>
      <c r="BT21" s="212"/>
      <c r="BU21" s="212"/>
      <c r="BV21" s="212"/>
      <c r="BW21" s="212"/>
      <c r="BX21" s="212"/>
      <c r="BY21" s="212"/>
      <c r="BZ21" s="212"/>
      <c r="CA21" s="212"/>
      <c r="CB21" s="212"/>
      <c r="CC21" s="212"/>
      <c r="CD21" s="212"/>
      <c r="CE21" s="212"/>
    </row>
    <row r="22" spans="1:275" ht="12.75" customHeight="1" x14ac:dyDescent="0.2">
      <c r="A22" s="1091">
        <v>9</v>
      </c>
      <c r="B22" s="1082" t="s">
        <v>717</v>
      </c>
      <c r="C22" s="491"/>
      <c r="D22" s="492"/>
      <c r="E22" s="396"/>
      <c r="F22" s="32"/>
      <c r="G22" s="1035"/>
      <c r="H22" s="1035"/>
      <c r="I22" s="1086"/>
      <c r="J22" s="751"/>
      <c r="K22" s="751"/>
      <c r="L22" s="489">
        <f>F22*J22</f>
        <v>0</v>
      </c>
      <c r="M22" s="489">
        <f>F22*K22</f>
        <v>0</v>
      </c>
      <c r="N22" s="559" t="str">
        <f>IF((L22+M22)&lt;&gt;F22,"?","")</f>
        <v/>
      </c>
      <c r="O22" s="505"/>
      <c r="P22" s="1250"/>
      <c r="Q22" s="507"/>
      <c r="R22" s="505"/>
      <c r="S22" s="502"/>
      <c r="T22" s="507"/>
      <c r="U22" s="505"/>
      <c r="V22" s="831">
        <f t="shared" si="10"/>
        <v>0</v>
      </c>
      <c r="W22" s="397">
        <f t="shared" si="11"/>
        <v>0</v>
      </c>
      <c r="X22" s="505"/>
      <c r="Y22" s="508"/>
      <c r="Z22" s="507"/>
      <c r="AA22" s="505"/>
      <c r="AB22" s="495"/>
      <c r="AC22" s="305"/>
      <c r="AD22" s="799"/>
      <c r="AE22" s="802"/>
      <c r="AF22" s="801"/>
      <c r="AG22" s="831">
        <f t="shared" si="12"/>
        <v>0</v>
      </c>
      <c r="AH22" s="799"/>
      <c r="AI22" s="802"/>
      <c r="AJ22" s="801"/>
      <c r="AK22" s="831">
        <f t="shared" si="13"/>
        <v>0</v>
      </c>
      <c r="AL22" s="799"/>
      <c r="AM22" s="802"/>
      <c r="AN22" s="801"/>
      <c r="AO22" s="831">
        <f t="shared" si="14"/>
        <v>0</v>
      </c>
      <c r="AP22" s="1078">
        <f t="shared" si="15"/>
        <v>0</v>
      </c>
      <c r="AQ22" s="1079">
        <f t="shared" si="16"/>
        <v>0</v>
      </c>
      <c r="AR22" s="1080">
        <f t="shared" si="17"/>
        <v>0</v>
      </c>
      <c r="AS22" s="307"/>
      <c r="AT22" s="307"/>
      <c r="AU22" s="394"/>
      <c r="AV22" s="307"/>
      <c r="AW22" s="307"/>
      <c r="AX22" s="307"/>
      <c r="AY22" s="307"/>
      <c r="AZ22" s="307"/>
      <c r="BA22" s="307"/>
      <c r="BB22" s="196" t="s">
        <v>537</v>
      </c>
      <c r="BC22" s="196" t="s">
        <v>335</v>
      </c>
      <c r="BD22" s="212"/>
      <c r="BE22" s="212"/>
      <c r="BF22" s="212"/>
      <c r="BG22" s="212"/>
      <c r="BH22" s="212"/>
      <c r="BI22" s="212"/>
      <c r="BJ22" s="212"/>
      <c r="BK22" s="212"/>
      <c r="BL22" s="212"/>
      <c r="BM22" s="212"/>
      <c r="BN22" s="212"/>
      <c r="BO22" s="212"/>
      <c r="BP22" s="212"/>
      <c r="BQ22" s="212"/>
      <c r="BR22" s="212"/>
      <c r="BS22" s="212"/>
      <c r="BT22" s="212"/>
      <c r="BU22" s="212"/>
      <c r="BV22" s="212"/>
      <c r="BW22" s="212"/>
      <c r="BX22" s="212"/>
      <c r="BY22" s="212"/>
      <c r="BZ22" s="212"/>
      <c r="CA22" s="212"/>
      <c r="CB22" s="212"/>
      <c r="CC22" s="212"/>
      <c r="CD22" s="212"/>
      <c r="CE22" s="212"/>
    </row>
    <row r="23" spans="1:275" ht="12.75" customHeight="1" x14ac:dyDescent="0.2">
      <c r="A23" s="1091">
        <v>10</v>
      </c>
      <c r="B23" s="1082" t="s">
        <v>718</v>
      </c>
      <c r="C23" s="491"/>
      <c r="D23" s="492"/>
      <c r="E23" s="396"/>
      <c r="F23" s="32"/>
      <c r="G23" s="1035"/>
      <c r="H23" s="1035"/>
      <c r="I23" s="1086"/>
      <c r="J23" s="751"/>
      <c r="K23" s="751"/>
      <c r="L23" s="489">
        <f>F23*J23</f>
        <v>0</v>
      </c>
      <c r="M23" s="489">
        <f>F23*K23</f>
        <v>0</v>
      </c>
      <c r="N23" s="559" t="str">
        <f>IF((L23+M23)&lt;&gt;F23,"?","")</f>
        <v/>
      </c>
      <c r="O23" s="505"/>
      <c r="P23" s="1250"/>
      <c r="Q23" s="507"/>
      <c r="R23" s="505"/>
      <c r="S23" s="502"/>
      <c r="T23" s="507"/>
      <c r="U23" s="505"/>
      <c r="V23" s="831">
        <f t="shared" si="10"/>
        <v>0</v>
      </c>
      <c r="W23" s="397">
        <f t="shared" si="11"/>
        <v>0</v>
      </c>
      <c r="X23" s="505"/>
      <c r="Y23" s="508"/>
      <c r="Z23" s="507"/>
      <c r="AA23" s="505"/>
      <c r="AB23" s="495"/>
      <c r="AC23" s="305"/>
      <c r="AD23" s="799"/>
      <c r="AE23" s="800"/>
      <c r="AF23" s="801"/>
      <c r="AG23" s="831">
        <f t="shared" si="12"/>
        <v>0</v>
      </c>
      <c r="AH23" s="799"/>
      <c r="AI23" s="800"/>
      <c r="AJ23" s="801"/>
      <c r="AK23" s="831">
        <f t="shared" si="13"/>
        <v>0</v>
      </c>
      <c r="AL23" s="799"/>
      <c r="AM23" s="800"/>
      <c r="AN23" s="801"/>
      <c r="AO23" s="831">
        <f t="shared" si="14"/>
        <v>0</v>
      </c>
      <c r="AP23" s="1078">
        <f t="shared" si="15"/>
        <v>0</v>
      </c>
      <c r="AQ23" s="1079">
        <f t="shared" si="16"/>
        <v>0</v>
      </c>
      <c r="AR23" s="1080">
        <f t="shared" si="17"/>
        <v>0</v>
      </c>
      <c r="AS23" s="307"/>
      <c r="AT23" s="307"/>
      <c r="AU23" s="394"/>
      <c r="AV23" s="307"/>
      <c r="AW23" s="307"/>
      <c r="AX23" s="307"/>
      <c r="AY23" s="307"/>
      <c r="AZ23" s="307"/>
      <c r="BA23" s="307"/>
      <c r="BB23" s="196" t="s">
        <v>538</v>
      </c>
      <c r="BC23" s="196" t="s">
        <v>338</v>
      </c>
      <c r="BD23" s="212"/>
      <c r="BE23" s="212"/>
      <c r="BF23" s="212"/>
      <c r="BG23" s="212"/>
      <c r="BH23" s="212"/>
      <c r="BI23" s="212"/>
      <c r="BJ23" s="212"/>
      <c r="BK23" s="212"/>
      <c r="BL23" s="212"/>
      <c r="BM23" s="212"/>
      <c r="BN23" s="212"/>
      <c r="BO23" s="212"/>
      <c r="BP23" s="212"/>
      <c r="BQ23" s="212"/>
      <c r="BR23" s="212"/>
      <c r="BS23" s="212"/>
      <c r="BT23" s="212"/>
      <c r="BU23" s="212"/>
      <c r="BV23" s="212"/>
      <c r="BW23" s="212"/>
      <c r="BX23" s="212"/>
      <c r="BY23" s="212"/>
      <c r="BZ23" s="212"/>
      <c r="CA23" s="212"/>
      <c r="CB23" s="212"/>
      <c r="CC23" s="212"/>
      <c r="CD23" s="212"/>
      <c r="CE23" s="212"/>
    </row>
    <row r="24" spans="1:275" x14ac:dyDescent="0.2">
      <c r="A24" s="1091">
        <v>11</v>
      </c>
      <c r="B24" s="1082" t="str">
        <f>IF(Stammblatt!$L$4=1,'Kalkulation Herstellungskosten'!BB24,'Kalkulation Herstellungskosten'!BC24)</f>
        <v>Dolby-Lizenz</v>
      </c>
      <c r="C24" s="491"/>
      <c r="D24" s="492"/>
      <c r="E24" s="396"/>
      <c r="F24" s="32"/>
      <c r="G24" s="1035"/>
      <c r="H24" s="1035"/>
      <c r="I24" s="1086"/>
      <c r="J24" s="322"/>
      <c r="K24" s="320"/>
      <c r="L24" s="320"/>
      <c r="M24" s="320"/>
      <c r="N24" s="333"/>
      <c r="O24" s="505"/>
      <c r="P24" s="1250"/>
      <c r="Q24" s="507"/>
      <c r="R24" s="505"/>
      <c r="S24" s="502"/>
      <c r="T24" s="507"/>
      <c r="U24" s="505"/>
      <c r="V24" s="831">
        <f t="shared" si="10"/>
        <v>0</v>
      </c>
      <c r="W24" s="397">
        <f t="shared" si="11"/>
        <v>0</v>
      </c>
      <c r="X24" s="505"/>
      <c r="Y24" s="508"/>
      <c r="Z24" s="507"/>
      <c r="AA24" s="505"/>
      <c r="AB24" s="495"/>
      <c r="AC24" s="305"/>
      <c r="AD24" s="799"/>
      <c r="AE24" s="800"/>
      <c r="AF24" s="801"/>
      <c r="AG24" s="831">
        <f t="shared" si="12"/>
        <v>0</v>
      </c>
      <c r="AH24" s="799"/>
      <c r="AI24" s="800"/>
      <c r="AJ24" s="801"/>
      <c r="AK24" s="831">
        <f t="shared" si="13"/>
        <v>0</v>
      </c>
      <c r="AL24" s="799"/>
      <c r="AM24" s="800"/>
      <c r="AN24" s="801"/>
      <c r="AO24" s="831">
        <f t="shared" si="14"/>
        <v>0</v>
      </c>
      <c r="AP24" s="1078">
        <f t="shared" si="15"/>
        <v>0</v>
      </c>
      <c r="AQ24" s="1079">
        <f t="shared" si="16"/>
        <v>0</v>
      </c>
      <c r="AR24" s="1080">
        <f t="shared" si="17"/>
        <v>0</v>
      </c>
      <c r="AS24" s="307"/>
      <c r="AT24" s="307"/>
      <c r="AU24" s="394"/>
      <c r="AV24" s="307"/>
      <c r="AW24" s="307"/>
      <c r="AX24" s="307"/>
      <c r="AY24" s="307"/>
      <c r="AZ24" s="307"/>
      <c r="BA24" s="307"/>
      <c r="BB24" s="196" t="s">
        <v>149</v>
      </c>
      <c r="BC24" s="196" t="s">
        <v>336</v>
      </c>
      <c r="BD24" s="212"/>
      <c r="BE24" s="212"/>
      <c r="BF24" s="212"/>
      <c r="BG24" s="212"/>
      <c r="BH24" s="212"/>
      <c r="BI24" s="212"/>
      <c r="BJ24" s="212"/>
      <c r="BK24" s="212"/>
      <c r="BL24" s="212"/>
      <c r="BM24" s="212"/>
      <c r="BN24" s="212"/>
      <c r="BO24" s="212"/>
      <c r="BP24" s="212"/>
      <c r="BQ24" s="212"/>
      <c r="BR24" s="212"/>
      <c r="BS24" s="212"/>
      <c r="BT24" s="212"/>
      <c r="BU24" s="212"/>
      <c r="BV24" s="212"/>
      <c r="BW24" s="212"/>
      <c r="BX24" s="212"/>
      <c r="BY24" s="212"/>
      <c r="BZ24" s="212"/>
      <c r="CA24" s="212"/>
      <c r="CB24" s="212"/>
      <c r="CC24" s="212"/>
      <c r="CD24" s="212"/>
      <c r="CE24" s="212"/>
    </row>
    <row r="25" spans="1:275" x14ac:dyDescent="0.2">
      <c r="A25" s="1091">
        <v>12</v>
      </c>
      <c r="B25" s="1082" t="str">
        <f>IF(Stammblatt!$L$4=1,'Kalkulation Herstellungskosten'!BB25,'Kalkulation Herstellungskosten'!BC25)</f>
        <v>Sonstige Nutzungsrechte *)</v>
      </c>
      <c r="C25" s="491"/>
      <c r="D25" s="492"/>
      <c r="E25" s="396"/>
      <c r="F25" s="494"/>
      <c r="G25" s="1035"/>
      <c r="H25" s="1035"/>
      <c r="I25" s="1086"/>
      <c r="J25" s="322"/>
      <c r="K25" s="320"/>
      <c r="L25" s="320"/>
      <c r="M25" s="320"/>
      <c r="N25" s="333"/>
      <c r="O25" s="512"/>
      <c r="P25" s="1250"/>
      <c r="Q25" s="507"/>
      <c r="R25" s="505"/>
      <c r="S25" s="502"/>
      <c r="T25" s="507"/>
      <c r="U25" s="505"/>
      <c r="V25" s="831">
        <f t="shared" si="10"/>
        <v>0</v>
      </c>
      <c r="W25" s="397">
        <f t="shared" si="11"/>
        <v>0</v>
      </c>
      <c r="X25" s="512"/>
      <c r="Y25" s="508"/>
      <c r="Z25" s="507"/>
      <c r="AA25" s="505"/>
      <c r="AB25" s="495"/>
      <c r="AC25" s="305"/>
      <c r="AD25" s="799"/>
      <c r="AE25" s="800"/>
      <c r="AF25" s="801"/>
      <c r="AG25" s="831">
        <f t="shared" si="12"/>
        <v>0</v>
      </c>
      <c r="AH25" s="799"/>
      <c r="AI25" s="800"/>
      <c r="AJ25" s="801"/>
      <c r="AK25" s="831">
        <f t="shared" si="13"/>
        <v>0</v>
      </c>
      <c r="AL25" s="799"/>
      <c r="AM25" s="800"/>
      <c r="AN25" s="801"/>
      <c r="AO25" s="831">
        <f t="shared" si="14"/>
        <v>0</v>
      </c>
      <c r="AP25" s="1078">
        <f t="shared" si="15"/>
        <v>0</v>
      </c>
      <c r="AQ25" s="1079">
        <f t="shared" si="16"/>
        <v>0</v>
      </c>
      <c r="AR25" s="1080">
        <f t="shared" si="17"/>
        <v>0</v>
      </c>
      <c r="AS25" s="307"/>
      <c r="AT25" s="307"/>
      <c r="AU25" s="394"/>
      <c r="AV25" s="307"/>
      <c r="AW25" s="307"/>
      <c r="AX25" s="307"/>
      <c r="AY25" s="307"/>
      <c r="AZ25" s="307"/>
      <c r="BA25" s="307"/>
      <c r="BB25" s="196" t="s">
        <v>178</v>
      </c>
      <c r="BC25" s="196" t="s">
        <v>337</v>
      </c>
      <c r="BD25" s="212"/>
      <c r="BE25" s="212"/>
      <c r="BF25" s="212"/>
      <c r="BG25" s="212"/>
      <c r="BH25" s="212"/>
      <c r="BI25" s="212"/>
      <c r="BJ25" s="212"/>
      <c r="BK25" s="212"/>
      <c r="BL25" s="212"/>
      <c r="BM25" s="212"/>
      <c r="BN25" s="212"/>
      <c r="BO25" s="212"/>
      <c r="BP25" s="212"/>
      <c r="BQ25" s="212"/>
      <c r="BR25" s="212"/>
      <c r="BS25" s="212"/>
      <c r="BT25" s="212"/>
      <c r="BU25" s="212"/>
      <c r="BV25" s="212"/>
      <c r="BW25" s="212"/>
      <c r="BX25" s="212"/>
      <c r="BY25" s="212"/>
      <c r="BZ25" s="212"/>
      <c r="CA25" s="212"/>
      <c r="CB25" s="212"/>
      <c r="CC25" s="212"/>
      <c r="CD25" s="212"/>
      <c r="CE25" s="212"/>
    </row>
    <row r="26" spans="1:275" x14ac:dyDescent="0.2">
      <c r="A26" s="1055"/>
      <c r="B26" s="496"/>
      <c r="C26" s="490"/>
      <c r="D26" s="328"/>
      <c r="E26" s="371"/>
      <c r="F26" s="371"/>
      <c r="G26" s="1056"/>
      <c r="H26" s="1056"/>
      <c r="I26" s="1057"/>
      <c r="J26" s="325"/>
      <c r="K26" s="324"/>
      <c r="L26" s="324"/>
      <c r="M26" s="324"/>
      <c r="N26" s="335"/>
      <c r="O26" s="1059"/>
      <c r="P26" s="1059"/>
      <c r="Q26" s="1059"/>
      <c r="R26" s="1059"/>
      <c r="S26" s="1038"/>
      <c r="T26" s="1060"/>
      <c r="U26" s="1041"/>
      <c r="V26" s="1041"/>
      <c r="W26" s="1042"/>
      <c r="X26" s="1041"/>
      <c r="Y26" s="1059"/>
      <c r="Z26" s="1059"/>
      <c r="AA26" s="1059"/>
      <c r="AB26" s="1061"/>
      <c r="AC26" s="1062"/>
      <c r="AD26" s="831"/>
      <c r="AE26" s="1064"/>
      <c r="AF26" s="822"/>
      <c r="AG26" s="822"/>
      <c r="AH26" s="831"/>
      <c r="AI26" s="1064"/>
      <c r="AJ26" s="822"/>
      <c r="AK26" s="822"/>
      <c r="AL26" s="831"/>
      <c r="AM26" s="1064"/>
      <c r="AN26" s="822"/>
      <c r="AO26" s="822"/>
      <c r="AP26" s="822"/>
      <c r="AQ26" s="822"/>
      <c r="AR26" s="822"/>
      <c r="AS26" s="307"/>
      <c r="AT26" s="307"/>
      <c r="AU26" s="394"/>
      <c r="AV26" s="307"/>
      <c r="AW26" s="307"/>
      <c r="AX26" s="307"/>
      <c r="AY26" s="307"/>
      <c r="AZ26" s="307"/>
      <c r="BA26" s="307"/>
      <c r="BB26" s="196"/>
      <c r="BC26" s="196"/>
      <c r="BD26" s="212"/>
      <c r="BE26" s="212"/>
      <c r="BF26" s="212"/>
      <c r="BG26" s="212"/>
      <c r="BH26" s="212"/>
      <c r="BI26" s="212"/>
      <c r="BJ26" s="212"/>
      <c r="BK26" s="212"/>
      <c r="BL26" s="212"/>
      <c r="BM26" s="212"/>
      <c r="BN26" s="212"/>
      <c r="BO26" s="212"/>
      <c r="BP26" s="212"/>
      <c r="BQ26" s="212"/>
      <c r="BR26" s="212"/>
      <c r="BS26" s="212"/>
      <c r="BT26" s="212"/>
      <c r="BU26" s="212"/>
      <c r="BV26" s="212"/>
      <c r="BW26" s="212"/>
      <c r="BX26" s="212"/>
      <c r="BY26" s="212"/>
      <c r="BZ26" s="212"/>
      <c r="CA26" s="212"/>
      <c r="CB26" s="212"/>
      <c r="CC26" s="212"/>
      <c r="CD26" s="212"/>
      <c r="CE26" s="212"/>
    </row>
    <row r="27" spans="1:275" x14ac:dyDescent="0.2">
      <c r="A27" s="1092"/>
      <c r="B27" s="1090" t="str">
        <f>IF(Stammblatt!$L$4=1,'Kalkulation Herstellungskosten'!BB27,'Kalkulation Herstellungskosten'!BC27)</f>
        <v>Σ-Nutzungsrechte</v>
      </c>
      <c r="C27" s="28"/>
      <c r="D27" s="35"/>
      <c r="E27" s="34"/>
      <c r="F27" s="653">
        <f>SUM(F15:F26)</f>
        <v>0</v>
      </c>
      <c r="G27" s="900"/>
      <c r="H27" s="900"/>
      <c r="I27" s="901"/>
      <c r="J27" s="902"/>
      <c r="K27" s="900"/>
      <c r="L27" s="903">
        <f>SUM(L15:L26)</f>
        <v>0</v>
      </c>
      <c r="M27" s="903">
        <f>SUM(M15:M26)</f>
        <v>0</v>
      </c>
      <c r="N27" s="904"/>
      <c r="O27" s="653">
        <f>SUM(O15:O26)</f>
        <v>0</v>
      </c>
      <c r="P27" s="653">
        <f>SUM(P15:P26)</f>
        <v>0</v>
      </c>
      <c r="Q27" s="654">
        <f t="shared" ref="Q27:R27" si="18">SUM(Q15:Q26)</f>
        <v>0</v>
      </c>
      <c r="R27" s="654">
        <f t="shared" si="18"/>
        <v>0</v>
      </c>
      <c r="S27" s="502"/>
      <c r="T27" s="511">
        <f>SUM(T15:T26)</f>
        <v>0</v>
      </c>
      <c r="U27" s="90">
        <f>SUM(U15:U26)</f>
        <v>0</v>
      </c>
      <c r="V27" s="90">
        <f>SUM(V15:V26)</f>
        <v>0</v>
      </c>
      <c r="W27" s="1043">
        <f>ZS_2_Nutzungsrechte-V27</f>
        <v>0</v>
      </c>
      <c r="X27" s="90">
        <f>SUM(X15:X26)</f>
        <v>0</v>
      </c>
      <c r="Y27" s="90">
        <f>SUM(Y15:Y26)</f>
        <v>0</v>
      </c>
      <c r="Z27" s="90">
        <f t="shared" ref="Z27" si="19">SUM(Z15:Z26)</f>
        <v>0</v>
      </c>
      <c r="AA27" s="90">
        <f t="shared" ref="AA27" si="20">SUM(AA15:AA26)</f>
        <v>0</v>
      </c>
      <c r="AB27" s="495"/>
      <c r="AC27" s="305"/>
      <c r="AD27" s="1036">
        <f>SUM(AD15:AD25)</f>
        <v>0</v>
      </c>
      <c r="AE27" s="1037">
        <f t="shared" ref="AE27:AG27" si="21">SUM(AE15:AE26)</f>
        <v>0</v>
      </c>
      <c r="AF27" s="653">
        <f t="shared" si="21"/>
        <v>0</v>
      </c>
      <c r="AG27" s="653">
        <f t="shared" si="21"/>
        <v>0</v>
      </c>
      <c r="AH27" s="1036">
        <f>SUM(AH15:AH25)</f>
        <v>0</v>
      </c>
      <c r="AI27" s="1037">
        <f t="shared" ref="AI27:AK27" si="22">SUM(AI15:AI26)</f>
        <v>0</v>
      </c>
      <c r="AJ27" s="653">
        <f t="shared" si="22"/>
        <v>0</v>
      </c>
      <c r="AK27" s="653">
        <f t="shared" si="22"/>
        <v>0</v>
      </c>
      <c r="AL27" s="1036">
        <f>SUM(AL15:AL25)</f>
        <v>0</v>
      </c>
      <c r="AM27" s="1037">
        <f t="shared" ref="AM27:AO27" si="23">SUM(AM15:AM26)</f>
        <v>0</v>
      </c>
      <c r="AN27" s="653">
        <f t="shared" si="23"/>
        <v>0</v>
      </c>
      <c r="AO27" s="653">
        <f t="shared" si="23"/>
        <v>0</v>
      </c>
      <c r="AP27" s="653">
        <f t="shared" ref="AP27:AQ27" si="24">SUM(AP15:AP26)</f>
        <v>0</v>
      </c>
      <c r="AQ27" s="653">
        <f t="shared" si="24"/>
        <v>0</v>
      </c>
      <c r="AR27" s="1139">
        <f t="shared" ref="AR27" si="25">AP27-AQ27</f>
        <v>0</v>
      </c>
      <c r="AS27" s="307"/>
      <c r="AT27" s="307"/>
      <c r="AU27" s="394"/>
      <c r="AV27" s="307"/>
      <c r="AW27" s="580"/>
      <c r="AX27" s="584"/>
      <c r="AY27" s="584" t="s">
        <v>853</v>
      </c>
      <c r="AZ27" s="728" t="s">
        <v>844</v>
      </c>
      <c r="BA27" s="307"/>
      <c r="BB27" s="196" t="s">
        <v>228</v>
      </c>
      <c r="BC27" s="196" t="s">
        <v>439</v>
      </c>
      <c r="BD27" s="212"/>
      <c r="BE27" s="212"/>
      <c r="BF27" s="212"/>
      <c r="BG27" s="212"/>
      <c r="BH27" s="212"/>
      <c r="BI27" s="212"/>
      <c r="BJ27" s="212"/>
      <c r="BK27" s="212"/>
      <c r="BL27" s="212"/>
      <c r="BM27" s="212"/>
      <c r="BN27" s="212"/>
      <c r="BO27" s="212"/>
      <c r="BP27" s="212"/>
      <c r="BQ27" s="212"/>
      <c r="BR27" s="212"/>
      <c r="BS27" s="212"/>
      <c r="BT27" s="212"/>
      <c r="BU27" s="212"/>
      <c r="BV27" s="212"/>
      <c r="BW27" s="212"/>
      <c r="BX27" s="212"/>
      <c r="BY27" s="212"/>
      <c r="BZ27" s="212"/>
      <c r="CA27" s="212"/>
      <c r="CB27" s="212"/>
      <c r="CC27" s="212"/>
      <c r="CD27" s="212"/>
      <c r="CE27" s="212"/>
    </row>
    <row r="28" spans="1:275" x14ac:dyDescent="0.2">
      <c r="A28" s="1055"/>
      <c r="B28" s="496"/>
      <c r="C28" s="303"/>
      <c r="D28" s="295"/>
      <c r="E28" s="304"/>
      <c r="F28" s="304"/>
      <c r="G28" s="324"/>
      <c r="H28" s="324"/>
      <c r="I28" s="298"/>
      <c r="J28" s="325"/>
      <c r="K28" s="324"/>
      <c r="L28" s="324"/>
      <c r="M28" s="324"/>
      <c r="N28" s="335"/>
      <c r="O28" s="509"/>
      <c r="P28" s="509"/>
      <c r="Q28" s="509"/>
      <c r="R28" s="509"/>
      <c r="S28" s="502"/>
      <c r="T28" s="510"/>
      <c r="U28" s="327"/>
      <c r="V28" s="1041"/>
      <c r="W28" s="1041"/>
      <c r="X28" s="327"/>
      <c r="Y28" s="509"/>
      <c r="Z28" s="509"/>
      <c r="AA28" s="509"/>
      <c r="AB28" s="495"/>
      <c r="AC28" s="305"/>
      <c r="AD28" s="805"/>
      <c r="AE28" s="804"/>
      <c r="AF28" s="805"/>
      <c r="AG28" s="822"/>
      <c r="AH28" s="805"/>
      <c r="AI28" s="804"/>
      <c r="AJ28" s="805"/>
      <c r="AK28" s="822"/>
      <c r="AL28" s="805"/>
      <c r="AM28" s="804"/>
      <c r="AN28" s="805"/>
      <c r="AO28" s="822"/>
      <c r="AP28" s="822"/>
      <c r="AQ28" s="822"/>
      <c r="AR28" s="822"/>
      <c r="AS28" s="307"/>
      <c r="AT28" s="307"/>
      <c r="AU28" s="394"/>
      <c r="AV28" s="307"/>
      <c r="AW28" s="581" t="s">
        <v>843</v>
      </c>
      <c r="AX28" s="581"/>
      <c r="AY28" s="581" t="s">
        <v>623</v>
      </c>
      <c r="AZ28" s="581" t="s">
        <v>845</v>
      </c>
      <c r="BA28" s="307"/>
      <c r="BB28" s="196"/>
      <c r="BC28" s="196"/>
      <c r="BD28" s="212"/>
      <c r="BE28" s="212"/>
      <c r="BF28" s="212"/>
      <c r="BG28" s="212"/>
      <c r="BH28" s="212"/>
      <c r="BI28" s="212"/>
      <c r="BJ28" s="212"/>
      <c r="BK28" s="212"/>
      <c r="BL28" s="212"/>
      <c r="BM28" s="212"/>
      <c r="BN28" s="212"/>
      <c r="BO28" s="212"/>
      <c r="BP28" s="212"/>
      <c r="BQ28" s="212"/>
      <c r="BR28" s="212"/>
      <c r="BS28" s="212"/>
      <c r="BT28" s="212"/>
      <c r="BU28" s="212"/>
      <c r="BV28" s="212"/>
      <c r="BW28" s="212"/>
      <c r="BX28" s="212"/>
      <c r="BY28" s="212"/>
      <c r="BZ28" s="212"/>
      <c r="CA28" s="212"/>
      <c r="CB28" s="212"/>
      <c r="CC28" s="212"/>
      <c r="CD28" s="212"/>
      <c r="CE28" s="212"/>
    </row>
    <row r="29" spans="1:275" ht="12.75" customHeight="1" x14ac:dyDescent="0.2">
      <c r="A29" s="1055"/>
      <c r="B29" s="496"/>
      <c r="C29" s="303"/>
      <c r="D29" s="295"/>
      <c r="E29" s="374"/>
      <c r="F29" s="304"/>
      <c r="G29" s="324"/>
      <c r="H29" s="324"/>
      <c r="I29" s="375"/>
      <c r="J29" s="376"/>
      <c r="K29" s="377"/>
      <c r="L29" s="295"/>
      <c r="M29" s="377"/>
      <c r="N29" s="378"/>
      <c r="O29" s="509"/>
      <c r="P29" s="509"/>
      <c r="Q29" s="509"/>
      <c r="R29" s="509"/>
      <c r="S29" s="509"/>
      <c r="T29" s="510"/>
      <c r="U29" s="327"/>
      <c r="V29" s="1041"/>
      <c r="W29" s="1041"/>
      <c r="X29" s="327"/>
      <c r="Y29" s="513"/>
      <c r="Z29" s="513"/>
      <c r="AA29" s="513"/>
      <c r="AB29" s="495"/>
      <c r="AC29" s="305"/>
      <c r="AD29" s="805"/>
      <c r="AE29" s="807"/>
      <c r="AF29" s="805"/>
      <c r="AG29" s="822"/>
      <c r="AH29" s="805"/>
      <c r="AI29" s="807"/>
      <c r="AJ29" s="805"/>
      <c r="AK29" s="822"/>
      <c r="AL29" s="805"/>
      <c r="AM29" s="807"/>
      <c r="AN29" s="805"/>
      <c r="AO29" s="822"/>
      <c r="AP29" s="822"/>
      <c r="AQ29" s="822"/>
      <c r="AR29" s="822"/>
      <c r="AS29" s="307"/>
      <c r="AT29" s="307"/>
      <c r="AU29" s="394"/>
      <c r="AV29" s="307"/>
      <c r="AW29" s="307"/>
      <c r="AX29" s="307"/>
      <c r="AY29" s="307"/>
      <c r="AZ29" s="581"/>
      <c r="BA29" s="307"/>
      <c r="BB29" s="196"/>
      <c r="BC29" s="196"/>
      <c r="BD29" s="212"/>
      <c r="BE29" s="212"/>
      <c r="BF29" s="212"/>
      <c r="BG29" s="212"/>
      <c r="BH29" s="212"/>
      <c r="BI29" s="212"/>
      <c r="BJ29" s="212"/>
      <c r="BK29" s="212"/>
      <c r="BL29" s="212"/>
      <c r="BM29" s="212"/>
      <c r="BN29" s="212"/>
      <c r="BO29" s="212"/>
      <c r="BP29" s="212"/>
      <c r="BQ29" s="212"/>
      <c r="BR29" s="212"/>
      <c r="BS29" s="212"/>
      <c r="BT29" s="212"/>
      <c r="BU29" s="212"/>
      <c r="BV29" s="212"/>
      <c r="BW29" s="212"/>
      <c r="BX29" s="212"/>
      <c r="BY29" s="212"/>
      <c r="BZ29" s="212"/>
      <c r="CA29" s="212"/>
      <c r="CB29" s="212"/>
      <c r="CC29" s="212"/>
      <c r="CD29" s="212"/>
      <c r="CE29" s="212"/>
    </row>
    <row r="30" spans="1:275" s="24" customFormat="1" x14ac:dyDescent="0.2">
      <c r="A30" s="1093"/>
      <c r="B30" s="497" t="str">
        <f>IF(Stammblatt!$L$4=1,'Kalkulation Herstellungskosten'!BB30,'Kalkulation Herstellungskosten'!BC30)</f>
        <v>3. Gagen, Löhne, Honorare</v>
      </c>
      <c r="C30" s="379"/>
      <c r="D30" s="380"/>
      <c r="E30" s="328" t="str">
        <f>IF(Stammblatt!$L$4=1,"Wochengage","weekly rate")</f>
        <v>Wochengage</v>
      </c>
      <c r="F30" s="328" t="str">
        <f>IF(Stammblatt!$L$4=1,"Brutto","TOTAL")</f>
        <v>Brutto</v>
      </c>
      <c r="G30" s="328" t="s">
        <v>153</v>
      </c>
      <c r="H30" s="843" t="s">
        <v>1175</v>
      </c>
      <c r="I30" s="843" t="s">
        <v>1177</v>
      </c>
      <c r="J30" s="330"/>
      <c r="K30" s="328"/>
      <c r="L30" s="295"/>
      <c r="M30" s="295"/>
      <c r="N30" s="381"/>
      <c r="O30" s="514"/>
      <c r="P30" s="514"/>
      <c r="Q30" s="514"/>
      <c r="R30" s="514"/>
      <c r="S30" s="514"/>
      <c r="T30" s="510"/>
      <c r="U30" s="327"/>
      <c r="V30" s="1041"/>
      <c r="W30" s="1041"/>
      <c r="X30" s="327"/>
      <c r="Y30" s="514"/>
      <c r="Z30" s="514"/>
      <c r="AA30" s="514"/>
      <c r="AB30" s="295"/>
      <c r="AC30" s="305"/>
      <c r="AD30" s="805"/>
      <c r="AE30" s="807"/>
      <c r="AF30" s="805"/>
      <c r="AG30" s="822"/>
      <c r="AH30" s="805"/>
      <c r="AI30" s="807"/>
      <c r="AJ30" s="805"/>
      <c r="AK30" s="822"/>
      <c r="AL30" s="805"/>
      <c r="AM30" s="807"/>
      <c r="AN30" s="805"/>
      <c r="AO30" s="822"/>
      <c r="AP30" s="822"/>
      <c r="AQ30" s="822"/>
      <c r="AR30" s="822"/>
      <c r="AS30" s="307"/>
      <c r="AT30" s="307"/>
      <c r="AU30" s="394"/>
      <c r="AV30" s="307"/>
      <c r="AW30" s="307"/>
      <c r="AX30" s="307"/>
      <c r="AY30" s="307"/>
      <c r="AZ30" s="581"/>
      <c r="BA30" s="307"/>
      <c r="BB30" s="196" t="s">
        <v>42</v>
      </c>
      <c r="BC30" s="196" t="s">
        <v>621</v>
      </c>
      <c r="BD30" s="214"/>
      <c r="BE30" s="214"/>
      <c r="BF30" s="214"/>
      <c r="BG30" s="214"/>
      <c r="BH30" s="214"/>
      <c r="BI30" s="214"/>
      <c r="BJ30" s="214"/>
      <c r="BK30" s="214"/>
      <c r="BL30" s="214"/>
      <c r="BM30" s="214"/>
      <c r="BN30" s="214"/>
      <c r="BO30" s="214"/>
      <c r="BP30" s="214"/>
      <c r="BQ30" s="214"/>
      <c r="BR30" s="214"/>
      <c r="BS30" s="214"/>
      <c r="BT30" s="214"/>
      <c r="BU30" s="214"/>
      <c r="BV30" s="214"/>
      <c r="BW30" s="214"/>
      <c r="BX30" s="214"/>
      <c r="BY30" s="214"/>
      <c r="BZ30" s="214"/>
      <c r="CA30" s="214"/>
      <c r="CB30" s="214"/>
      <c r="CC30" s="214"/>
      <c r="CD30" s="214"/>
      <c r="CE30" s="214"/>
      <c r="CF30" s="25"/>
      <c r="CG30" s="25"/>
      <c r="CH30" s="25"/>
      <c r="CI30" s="25"/>
      <c r="CJ30" s="25"/>
      <c r="CK30" s="25"/>
      <c r="CL30" s="25"/>
      <c r="CM30" s="25"/>
      <c r="CN30" s="25"/>
      <c r="CO30" s="25"/>
      <c r="CP30" s="25"/>
      <c r="CQ30" s="25"/>
      <c r="CR30" s="25"/>
      <c r="CS30" s="25"/>
      <c r="CT30" s="25"/>
      <c r="CU30" s="25"/>
      <c r="CV30" s="25"/>
      <c r="CW30" s="25"/>
      <c r="CX30" s="25"/>
      <c r="CY30" s="25"/>
      <c r="CZ30" s="25"/>
      <c r="DA30" s="25"/>
      <c r="DB30" s="25"/>
      <c r="DC30" s="25"/>
      <c r="DD30" s="25"/>
      <c r="DE30" s="25"/>
      <c r="DF30" s="25"/>
      <c r="DG30" s="25"/>
      <c r="DH30" s="25"/>
      <c r="DI30" s="25"/>
      <c r="DJ30" s="25"/>
      <c r="DK30" s="25"/>
      <c r="DL30" s="25"/>
      <c r="DM30" s="25"/>
      <c r="DN30" s="25"/>
      <c r="DO30" s="25"/>
      <c r="DP30" s="25"/>
      <c r="DQ30" s="25"/>
      <c r="DR30" s="25"/>
      <c r="DS30" s="25"/>
      <c r="DT30" s="25"/>
      <c r="DU30" s="25"/>
      <c r="DV30" s="25"/>
      <c r="DW30" s="25"/>
      <c r="DX30" s="25"/>
      <c r="DY30" s="25"/>
      <c r="DZ30" s="25"/>
      <c r="EA30" s="25"/>
      <c r="EB30" s="25"/>
      <c r="EC30" s="25"/>
      <c r="ED30" s="25"/>
      <c r="EE30" s="25"/>
      <c r="EF30" s="25"/>
      <c r="EG30" s="25"/>
      <c r="EH30" s="25"/>
      <c r="EI30" s="25"/>
      <c r="EJ30" s="25"/>
      <c r="EK30" s="25"/>
      <c r="EL30" s="25"/>
      <c r="EM30" s="25"/>
      <c r="EN30" s="25"/>
      <c r="EO30" s="25"/>
      <c r="EP30" s="25"/>
      <c r="EQ30" s="25"/>
      <c r="ER30" s="25"/>
      <c r="ES30" s="25"/>
      <c r="ET30" s="25"/>
      <c r="EU30" s="25"/>
      <c r="EV30" s="25"/>
      <c r="EW30" s="25"/>
      <c r="EX30" s="25"/>
      <c r="EY30" s="25"/>
      <c r="EZ30" s="25"/>
      <c r="FA30" s="25"/>
      <c r="FB30" s="25"/>
      <c r="FC30" s="25"/>
      <c r="FD30" s="25"/>
      <c r="FE30" s="25"/>
      <c r="FF30" s="25"/>
      <c r="FG30" s="25"/>
      <c r="FH30" s="25"/>
      <c r="FI30" s="25"/>
      <c r="FJ30" s="25"/>
      <c r="FK30" s="25"/>
      <c r="FL30" s="25"/>
      <c r="FM30" s="25"/>
      <c r="FN30" s="25"/>
      <c r="FO30" s="25"/>
      <c r="FP30" s="25"/>
      <c r="FQ30" s="25"/>
      <c r="FR30" s="25"/>
      <c r="FS30" s="25"/>
      <c r="FT30" s="25"/>
      <c r="FU30" s="25"/>
      <c r="FV30" s="25"/>
      <c r="FW30" s="25"/>
      <c r="FX30" s="25"/>
      <c r="FY30" s="25"/>
      <c r="FZ30" s="25"/>
      <c r="GA30" s="25"/>
      <c r="GB30" s="25"/>
      <c r="GC30" s="25"/>
      <c r="GD30" s="25"/>
      <c r="GE30" s="25"/>
      <c r="GF30" s="25"/>
      <c r="GG30" s="25"/>
      <c r="GH30" s="25"/>
      <c r="GI30" s="25"/>
      <c r="GJ30" s="25"/>
      <c r="GK30" s="25"/>
      <c r="GL30" s="25"/>
      <c r="GM30" s="25"/>
      <c r="GN30" s="25"/>
      <c r="GO30" s="25"/>
      <c r="GP30" s="25"/>
      <c r="GQ30" s="25"/>
      <c r="GR30" s="25"/>
      <c r="GS30" s="25"/>
      <c r="GT30" s="25"/>
      <c r="GU30" s="25"/>
      <c r="GV30" s="25"/>
      <c r="GW30" s="25"/>
      <c r="GX30" s="25"/>
      <c r="GY30" s="25"/>
      <c r="GZ30" s="25"/>
      <c r="HA30" s="25"/>
      <c r="HB30" s="25"/>
      <c r="HC30" s="25"/>
      <c r="HD30" s="25"/>
      <c r="HE30" s="25"/>
      <c r="HF30" s="25"/>
      <c r="HG30" s="25"/>
      <c r="HH30" s="25"/>
      <c r="HI30" s="25"/>
      <c r="HJ30" s="25"/>
      <c r="HK30" s="25"/>
      <c r="HL30" s="25"/>
      <c r="HM30" s="25"/>
      <c r="HN30" s="25"/>
      <c r="HO30" s="25"/>
      <c r="HP30" s="25"/>
      <c r="HQ30" s="25"/>
      <c r="HR30" s="25"/>
      <c r="HS30" s="25"/>
      <c r="HT30" s="25"/>
      <c r="HU30" s="25"/>
      <c r="HV30" s="25"/>
      <c r="HW30" s="25"/>
      <c r="HX30" s="25"/>
      <c r="HY30" s="25"/>
      <c r="HZ30" s="25"/>
      <c r="IA30" s="25"/>
      <c r="IB30" s="25"/>
      <c r="IC30" s="25"/>
      <c r="ID30" s="25"/>
      <c r="IE30" s="25"/>
      <c r="IF30" s="25"/>
      <c r="IG30" s="25"/>
      <c r="IH30" s="25"/>
      <c r="II30" s="25"/>
      <c r="IJ30" s="25"/>
      <c r="IK30" s="25"/>
      <c r="IL30" s="25"/>
      <c r="IM30" s="25"/>
      <c r="IN30" s="25"/>
      <c r="IO30" s="25"/>
      <c r="IP30" s="25"/>
      <c r="IQ30" s="25"/>
      <c r="IR30" s="25"/>
      <c r="IS30" s="25"/>
      <c r="IT30" s="25"/>
      <c r="IU30" s="25"/>
      <c r="IV30" s="25"/>
      <c r="IW30" s="25"/>
      <c r="IX30" s="25"/>
      <c r="IY30" s="25"/>
      <c r="IZ30" s="25"/>
      <c r="JA30" s="25"/>
      <c r="JB30" s="25"/>
      <c r="JC30" s="25"/>
      <c r="JD30" s="25"/>
      <c r="JE30" s="25"/>
      <c r="JF30" s="25"/>
      <c r="JG30" s="25"/>
      <c r="JH30" s="25"/>
      <c r="JI30" s="25"/>
      <c r="JJ30" s="25"/>
      <c r="JK30" s="25"/>
      <c r="JL30" s="25"/>
      <c r="JM30" s="25"/>
      <c r="JN30" s="25"/>
      <c r="JO30" s="25"/>
    </row>
    <row r="31" spans="1:275" s="24" customFormat="1" x14ac:dyDescent="0.2">
      <c r="A31" s="1093"/>
      <c r="B31" s="1094"/>
      <c r="C31" s="328" t="str">
        <f>IF(Stammblatt!$L$4=1,"Wochen","weeks")</f>
        <v>Wochen</v>
      </c>
      <c r="D31" s="328" t="s">
        <v>600</v>
      </c>
      <c r="E31" s="328" t="str">
        <f>IF(Stammblatt!$L$4=1,"inkl. SZ, UEL","")</f>
        <v>inkl. SZ, UEL</v>
      </c>
      <c r="F31" s="328" t="str">
        <f>IF(Stammblatt!$L$4=1,"inkl. SZ, UEL","")</f>
        <v>inkl. SZ, UEL</v>
      </c>
      <c r="G31" s="328" t="s">
        <v>154</v>
      </c>
      <c r="H31" s="843" t="s">
        <v>1176</v>
      </c>
      <c r="I31" s="843" t="s">
        <v>1178</v>
      </c>
      <c r="J31" s="330" t="s">
        <v>556</v>
      </c>
      <c r="K31" s="328" t="s">
        <v>557</v>
      </c>
      <c r="L31" s="295" t="s">
        <v>558</v>
      </c>
      <c r="M31" s="295" t="s">
        <v>559</v>
      </c>
      <c r="N31" s="381"/>
      <c r="O31" s="514"/>
      <c r="P31" s="514"/>
      <c r="Q31" s="514"/>
      <c r="R31" s="514"/>
      <c r="S31" s="514"/>
      <c r="T31" s="510"/>
      <c r="U31" s="327"/>
      <c r="V31" s="1041"/>
      <c r="W31" s="1041"/>
      <c r="X31" s="327"/>
      <c r="Y31" s="514"/>
      <c r="Z31" s="514"/>
      <c r="AA31" s="514"/>
      <c r="AB31" s="295"/>
      <c r="AC31" s="305"/>
      <c r="AD31" s="805"/>
      <c r="AE31" s="806"/>
      <c r="AF31" s="805"/>
      <c r="AG31" s="822"/>
      <c r="AH31" s="805"/>
      <c r="AI31" s="806"/>
      <c r="AJ31" s="805"/>
      <c r="AK31" s="822"/>
      <c r="AL31" s="805"/>
      <c r="AM31" s="806"/>
      <c r="AN31" s="805"/>
      <c r="AO31" s="822"/>
      <c r="AP31" s="822"/>
      <c r="AQ31" s="822"/>
      <c r="AR31" s="822"/>
      <c r="AS31" s="307"/>
      <c r="AT31" s="307"/>
      <c r="AU31" s="394"/>
      <c r="AV31" s="307"/>
      <c r="AW31" s="311" t="s">
        <v>676</v>
      </c>
      <c r="AX31" s="311" t="s">
        <v>677</v>
      </c>
      <c r="AY31" s="311" t="s">
        <v>678</v>
      </c>
      <c r="AZ31" s="581"/>
      <c r="BA31" s="311"/>
      <c r="BB31" s="196" t="s">
        <v>179</v>
      </c>
      <c r="BC31" s="196" t="s">
        <v>473</v>
      </c>
      <c r="BD31" s="214"/>
      <c r="BE31" s="214"/>
      <c r="BF31" s="214"/>
      <c r="BG31" s="214"/>
      <c r="BH31" s="214"/>
      <c r="BI31" s="214"/>
      <c r="BJ31" s="214"/>
      <c r="BK31" s="214"/>
      <c r="BL31" s="214"/>
      <c r="BM31" s="214"/>
      <c r="BN31" s="214"/>
      <c r="BO31" s="214"/>
      <c r="BP31" s="214"/>
      <c r="BQ31" s="214"/>
      <c r="BR31" s="214"/>
      <c r="BS31" s="214"/>
      <c r="BT31" s="214"/>
      <c r="BU31" s="214"/>
      <c r="BV31" s="214"/>
      <c r="BW31" s="214"/>
      <c r="BX31" s="214"/>
      <c r="BY31" s="214"/>
      <c r="BZ31" s="214"/>
      <c r="CA31" s="214"/>
      <c r="CB31" s="214"/>
      <c r="CC31" s="214"/>
      <c r="CD31" s="214"/>
      <c r="CE31" s="214"/>
      <c r="CF31" s="25"/>
      <c r="CG31" s="25"/>
      <c r="CH31" s="25"/>
      <c r="CI31" s="25"/>
      <c r="CJ31" s="25"/>
      <c r="CK31" s="25"/>
      <c r="CL31" s="25"/>
      <c r="CM31" s="25"/>
      <c r="CN31" s="25"/>
      <c r="CO31" s="25"/>
      <c r="CP31" s="25"/>
      <c r="CQ31" s="25"/>
      <c r="CR31" s="25"/>
      <c r="CS31" s="25"/>
      <c r="CT31" s="25"/>
      <c r="CU31" s="25"/>
      <c r="CV31" s="25"/>
      <c r="CW31" s="25"/>
      <c r="CX31" s="25"/>
      <c r="CY31" s="25"/>
      <c r="CZ31" s="25"/>
      <c r="DA31" s="25"/>
      <c r="DB31" s="25"/>
      <c r="DC31" s="25"/>
      <c r="DD31" s="25"/>
      <c r="DE31" s="25"/>
      <c r="DF31" s="25"/>
      <c r="DG31" s="25"/>
      <c r="DH31" s="25"/>
      <c r="DI31" s="25"/>
      <c r="DJ31" s="25"/>
      <c r="DK31" s="25"/>
      <c r="DL31" s="25"/>
      <c r="DM31" s="25"/>
      <c r="DN31" s="25"/>
      <c r="DO31" s="25"/>
      <c r="DP31" s="25"/>
      <c r="DQ31" s="25"/>
      <c r="DR31" s="25"/>
      <c r="DS31" s="25"/>
      <c r="DT31" s="25"/>
      <c r="DU31" s="25"/>
      <c r="DV31" s="25"/>
      <c r="DW31" s="25"/>
      <c r="DX31" s="25"/>
      <c r="DY31" s="25"/>
      <c r="DZ31" s="25"/>
      <c r="EA31" s="25"/>
      <c r="EB31" s="25"/>
      <c r="EC31" s="25"/>
      <c r="ED31" s="25"/>
      <c r="EE31" s="25"/>
      <c r="EF31" s="25"/>
      <c r="EG31" s="25"/>
      <c r="EH31" s="25"/>
      <c r="EI31" s="25"/>
      <c r="EJ31" s="25"/>
      <c r="EK31" s="25"/>
      <c r="EL31" s="25"/>
      <c r="EM31" s="25"/>
      <c r="EN31" s="25"/>
      <c r="EO31" s="25"/>
      <c r="EP31" s="25"/>
      <c r="EQ31" s="25"/>
      <c r="ER31" s="25"/>
      <c r="ES31" s="25"/>
      <c r="ET31" s="25"/>
      <c r="EU31" s="25"/>
      <c r="EV31" s="25"/>
      <c r="EW31" s="25"/>
      <c r="EX31" s="25"/>
      <c r="EY31" s="25"/>
      <c r="EZ31" s="25"/>
      <c r="FA31" s="25"/>
      <c r="FB31" s="25"/>
      <c r="FC31" s="25"/>
      <c r="FD31" s="25"/>
      <c r="FE31" s="25"/>
      <c r="FF31" s="25"/>
      <c r="FG31" s="25"/>
      <c r="FH31" s="25"/>
      <c r="FI31" s="25"/>
      <c r="FJ31" s="25"/>
      <c r="FK31" s="25"/>
      <c r="FL31" s="25"/>
      <c r="FM31" s="25"/>
      <c r="FN31" s="25"/>
      <c r="FO31" s="25"/>
      <c r="FP31" s="25"/>
      <c r="FQ31" s="25"/>
      <c r="FR31" s="25"/>
      <c r="FS31" s="25"/>
      <c r="FT31" s="25"/>
      <c r="FU31" s="25"/>
      <c r="FV31" s="25"/>
      <c r="FW31" s="25"/>
      <c r="FX31" s="25"/>
      <c r="FY31" s="25"/>
      <c r="FZ31" s="25"/>
      <c r="GA31" s="25"/>
      <c r="GB31" s="25"/>
      <c r="GC31" s="25"/>
      <c r="GD31" s="25"/>
      <c r="GE31" s="25"/>
      <c r="GF31" s="25"/>
      <c r="GG31" s="25"/>
      <c r="GH31" s="25"/>
      <c r="GI31" s="25"/>
      <c r="GJ31" s="25"/>
      <c r="GK31" s="25"/>
      <c r="GL31" s="25"/>
      <c r="GM31" s="25"/>
      <c r="GN31" s="25"/>
      <c r="GO31" s="25"/>
      <c r="GP31" s="25"/>
      <c r="GQ31" s="25"/>
      <c r="GR31" s="25"/>
      <c r="GS31" s="25"/>
      <c r="GT31" s="25"/>
      <c r="GU31" s="25"/>
      <c r="GV31" s="25"/>
      <c r="GW31" s="25"/>
      <c r="GX31" s="25"/>
      <c r="GY31" s="25"/>
      <c r="GZ31" s="25"/>
      <c r="HA31" s="25"/>
      <c r="HB31" s="25"/>
      <c r="HC31" s="25"/>
      <c r="HD31" s="25"/>
      <c r="HE31" s="25"/>
      <c r="HF31" s="25"/>
      <c r="HG31" s="25"/>
      <c r="HH31" s="25"/>
      <c r="HI31" s="25"/>
      <c r="HJ31" s="25"/>
      <c r="HK31" s="25"/>
      <c r="HL31" s="25"/>
      <c r="HM31" s="25"/>
      <c r="HN31" s="25"/>
      <c r="HO31" s="25"/>
      <c r="HP31" s="25"/>
      <c r="HQ31" s="25"/>
      <c r="HR31" s="25"/>
      <c r="HS31" s="25"/>
      <c r="HT31" s="25"/>
      <c r="HU31" s="25"/>
      <c r="HV31" s="25"/>
      <c r="HW31" s="25"/>
      <c r="HX31" s="25"/>
      <c r="HY31" s="25"/>
      <c r="HZ31" s="25"/>
      <c r="IA31" s="25"/>
      <c r="IB31" s="25"/>
      <c r="IC31" s="25"/>
      <c r="ID31" s="25"/>
      <c r="IE31" s="25"/>
      <c r="IF31" s="25"/>
      <c r="IG31" s="25"/>
      <c r="IH31" s="25"/>
      <c r="II31" s="25"/>
      <c r="IJ31" s="25"/>
      <c r="IK31" s="25"/>
      <c r="IL31" s="25"/>
      <c r="IM31" s="25"/>
      <c r="IN31" s="25"/>
      <c r="IO31" s="25"/>
      <c r="IP31" s="25"/>
      <c r="IQ31" s="25"/>
      <c r="IR31" s="25"/>
      <c r="IS31" s="25"/>
      <c r="IT31" s="25"/>
      <c r="IU31" s="25"/>
      <c r="IV31" s="25"/>
      <c r="IW31" s="25"/>
      <c r="IX31" s="25"/>
      <c r="IY31" s="25"/>
      <c r="IZ31" s="25"/>
      <c r="JA31" s="25"/>
      <c r="JB31" s="25"/>
      <c r="JC31" s="25"/>
      <c r="JD31" s="25"/>
      <c r="JE31" s="25"/>
      <c r="JF31" s="25"/>
      <c r="JG31" s="25"/>
      <c r="JH31" s="25"/>
      <c r="JI31" s="25"/>
      <c r="JJ31" s="25"/>
      <c r="JK31" s="25"/>
      <c r="JL31" s="25"/>
      <c r="JM31" s="25"/>
      <c r="JN31" s="25"/>
      <c r="JO31" s="25"/>
    </row>
    <row r="32" spans="1:275" s="98" customFormat="1" ht="12.75" customHeight="1" x14ac:dyDescent="0.2">
      <c r="A32" s="1095">
        <v>13</v>
      </c>
      <c r="B32" s="1096" t="str">
        <f>IF(Stammblatt!$L$4=1,'Kalkulation Herstellungskosten'!BB32,'Kalkulation Herstellungskosten'!BC32)</f>
        <v>Herstellungsleitung</v>
      </c>
      <c r="C32" s="99">
        <v>0</v>
      </c>
      <c r="D32" s="385"/>
      <c r="E32" s="103"/>
      <c r="F32" s="1434">
        <f>C32*E32+C33*E33</f>
        <v>0</v>
      </c>
      <c r="G32" s="100">
        <f ca="1">IF(AND(Stammblatt!$I$9=TRUE,GHSTK&lt;=1220000),Kollektivvertrag!$C$60,IF(AND(Stammblatt!$I$9=TRUE,GHSTK&lt;=1570000),AY32/2,AY32))</f>
        <v>2749.9754514421975</v>
      </c>
      <c r="H32" s="841" t="str">
        <f t="shared" ref="H32:H53" ca="1" si="26">IF(E32&gt;G32*1.1,C32*(E32-G32*1.1),"")</f>
        <v/>
      </c>
      <c r="I32" s="848" t="str">
        <f t="shared" ref="I32:I53" si="27">IF(E32=0,"",E32/G32-1)</f>
        <v/>
      </c>
      <c r="J32" s="751"/>
      <c r="K32" s="751"/>
      <c r="L32" s="556">
        <f>F32*J32</f>
        <v>0</v>
      </c>
      <c r="M32" s="557">
        <f>F32*K32</f>
        <v>0</v>
      </c>
      <c r="N32" s="558" t="str">
        <f>IF((L32+M32)&lt;&gt;F32,"?","")</f>
        <v/>
      </c>
      <c r="O32" s="1404"/>
      <c r="P32" s="1440"/>
      <c r="Q32" s="1406"/>
      <c r="R32" s="1404"/>
      <c r="S32" s="514"/>
      <c r="T32" s="1404"/>
      <c r="U32" s="1404"/>
      <c r="V32" s="1432">
        <f>SUM(T32:U33)</f>
        <v>0</v>
      </c>
      <c r="W32" s="1432">
        <f>F32-V32</f>
        <v>0</v>
      </c>
      <c r="X32" s="1404"/>
      <c r="Y32" s="1430"/>
      <c r="Z32" s="1406"/>
      <c r="AA32" s="1404"/>
      <c r="AB32" s="295"/>
      <c r="AC32" s="336"/>
      <c r="AD32" s="1410"/>
      <c r="AE32" s="1420"/>
      <c r="AF32" s="1408"/>
      <c r="AG32" s="1418">
        <f>SUM(AE32:AF33)</f>
        <v>0</v>
      </c>
      <c r="AH32" s="1410"/>
      <c r="AI32" s="1420"/>
      <c r="AJ32" s="1408"/>
      <c r="AK32" s="1418">
        <f>SUM(AI32:AJ33)</f>
        <v>0</v>
      </c>
      <c r="AL32" s="1412"/>
      <c r="AM32" s="1420"/>
      <c r="AN32" s="1408"/>
      <c r="AO32" s="1418">
        <f>SUM(AM32:AN33)</f>
        <v>0</v>
      </c>
      <c r="AP32" s="1428">
        <f>SUM(F32,AD32,AH32,AL32)</f>
        <v>0</v>
      </c>
      <c r="AQ32" s="1416">
        <f t="shared" ref="AQ32:AQ35" si="28">SUM(AO32,AK32,AG32,V32)</f>
        <v>0</v>
      </c>
      <c r="AR32" s="1414">
        <f t="shared" ref="AR32:AR35" si="29">AP32-AQ32</f>
        <v>0</v>
      </c>
      <c r="AS32" s="310"/>
      <c r="AT32" s="310"/>
      <c r="AU32" s="393">
        <f ca="1">IF(AV33=TRUE,G32*0.8,G32)</f>
        <v>2749.9754514421975</v>
      </c>
      <c r="AV32" s="310"/>
      <c r="AW32" s="312">
        <f>AY32*1.2</f>
        <v>3299.9705417306368</v>
      </c>
      <c r="AX32" s="312">
        <f>AY32*1.3</f>
        <v>3574.9680868748569</v>
      </c>
      <c r="AY32" s="312">
        <f>IF(AND(Stammblatt!$I$7=TRUE,Stammblatt!$I$8=FALSE),Kollektivvertrag!C13,Kollektivvertrag!C14)</f>
        <v>2749.9754514421975</v>
      </c>
      <c r="AZ32" s="581"/>
      <c r="BA32" s="312"/>
      <c r="BB32" s="196" t="s">
        <v>148</v>
      </c>
      <c r="BC32" s="196" t="s">
        <v>489</v>
      </c>
      <c r="BD32" s="314"/>
      <c r="BE32" s="314"/>
      <c r="BF32" s="314"/>
      <c r="BG32" s="314"/>
      <c r="BH32" s="314"/>
      <c r="BI32" s="314"/>
      <c r="BJ32" s="314"/>
      <c r="BK32" s="314"/>
      <c r="BL32" s="314"/>
      <c r="BM32" s="314"/>
      <c r="BN32" s="314"/>
      <c r="BO32" s="314"/>
      <c r="BP32" s="314"/>
      <c r="BQ32" s="314"/>
      <c r="BR32" s="314"/>
      <c r="BS32" s="314"/>
      <c r="BT32" s="314"/>
      <c r="BU32" s="314"/>
      <c r="BV32" s="314"/>
      <c r="BW32" s="314"/>
      <c r="BX32" s="314"/>
      <c r="BY32" s="314"/>
      <c r="BZ32" s="314"/>
      <c r="CA32" s="314"/>
      <c r="CB32" s="314"/>
      <c r="CC32" s="314"/>
      <c r="CD32" s="314"/>
      <c r="CE32" s="314"/>
      <c r="CF32" s="97"/>
      <c r="CG32" s="97"/>
      <c r="CH32" s="97"/>
      <c r="CI32" s="97"/>
      <c r="CJ32" s="97"/>
      <c r="CK32" s="97"/>
      <c r="CL32" s="97"/>
      <c r="CM32" s="97"/>
      <c r="CN32" s="97"/>
      <c r="CO32" s="97"/>
      <c r="CP32" s="97"/>
      <c r="CQ32" s="97"/>
      <c r="CR32" s="97"/>
      <c r="CS32" s="97"/>
      <c r="CT32" s="97"/>
      <c r="CU32" s="97"/>
      <c r="CV32" s="97"/>
      <c r="CW32" s="97"/>
      <c r="CX32" s="97"/>
      <c r="CY32" s="97"/>
      <c r="CZ32" s="97"/>
      <c r="DA32" s="97"/>
      <c r="DB32" s="97"/>
      <c r="DC32" s="97"/>
      <c r="DD32" s="97"/>
      <c r="DE32" s="97"/>
      <c r="DF32" s="97"/>
      <c r="DG32" s="97"/>
      <c r="DH32" s="97"/>
      <c r="DI32" s="97"/>
      <c r="DJ32" s="97"/>
      <c r="DK32" s="97"/>
      <c r="DL32" s="97"/>
      <c r="DM32" s="97"/>
      <c r="DN32" s="97"/>
      <c r="DO32" s="97"/>
      <c r="DP32" s="97"/>
      <c r="DQ32" s="97"/>
      <c r="DR32" s="97"/>
      <c r="DS32" s="97"/>
      <c r="DT32" s="97"/>
      <c r="DU32" s="97"/>
      <c r="DV32" s="97"/>
      <c r="DW32" s="97"/>
      <c r="DX32" s="97"/>
      <c r="DY32" s="97"/>
      <c r="DZ32" s="97"/>
      <c r="EA32" s="97"/>
      <c r="EB32" s="97"/>
      <c r="EC32" s="97"/>
      <c r="ED32" s="97"/>
      <c r="EE32" s="97"/>
      <c r="EF32" s="97"/>
      <c r="EG32" s="97"/>
      <c r="EH32" s="97"/>
      <c r="EI32" s="97"/>
      <c r="EJ32" s="97"/>
      <c r="EK32" s="97"/>
      <c r="EL32" s="97"/>
      <c r="EM32" s="97"/>
      <c r="EN32" s="97"/>
      <c r="EO32" s="97"/>
      <c r="EP32" s="97"/>
      <c r="EQ32" s="97"/>
      <c r="ER32" s="97"/>
      <c r="ES32" s="97"/>
      <c r="ET32" s="97"/>
      <c r="EU32" s="97"/>
      <c r="EV32" s="97"/>
      <c r="EW32" s="97"/>
      <c r="EX32" s="97"/>
      <c r="EY32" s="97"/>
      <c r="EZ32" s="97"/>
      <c r="FA32" s="97"/>
      <c r="FB32" s="97"/>
      <c r="FC32" s="97"/>
      <c r="FD32" s="97"/>
      <c r="FE32" s="97"/>
      <c r="FF32" s="97"/>
      <c r="FG32" s="97"/>
      <c r="FH32" s="97"/>
      <c r="FI32" s="97"/>
      <c r="FJ32" s="97"/>
      <c r="FK32" s="97"/>
      <c r="FL32" s="97"/>
      <c r="FM32" s="97"/>
      <c r="FN32" s="97"/>
      <c r="FO32" s="97"/>
      <c r="FP32" s="97"/>
      <c r="FQ32" s="97"/>
      <c r="FR32" s="97"/>
      <c r="FS32" s="97"/>
      <c r="FT32" s="97"/>
      <c r="FU32" s="97"/>
      <c r="FV32" s="97"/>
      <c r="FW32" s="97"/>
      <c r="FX32" s="97"/>
      <c r="FY32" s="97"/>
      <c r="FZ32" s="97"/>
      <c r="GA32" s="97"/>
      <c r="GB32" s="97"/>
      <c r="GC32" s="97"/>
      <c r="GD32" s="97"/>
      <c r="GE32" s="97"/>
      <c r="GF32" s="97"/>
      <c r="GG32" s="97"/>
      <c r="GH32" s="97"/>
      <c r="GI32" s="97"/>
      <c r="GJ32" s="97"/>
      <c r="GK32" s="97"/>
      <c r="GL32" s="97"/>
      <c r="GM32" s="97"/>
      <c r="GN32" s="97"/>
      <c r="GO32" s="97"/>
      <c r="GP32" s="97"/>
      <c r="GQ32" s="97"/>
      <c r="GR32" s="97"/>
      <c r="GS32" s="97"/>
      <c r="GT32" s="97"/>
      <c r="GU32" s="97"/>
      <c r="GV32" s="97"/>
      <c r="GW32" s="97"/>
      <c r="GX32" s="97"/>
      <c r="GY32" s="97"/>
      <c r="GZ32" s="97"/>
      <c r="HA32" s="97"/>
      <c r="HB32" s="97"/>
      <c r="HC32" s="97"/>
      <c r="HD32" s="97"/>
      <c r="HE32" s="97"/>
      <c r="HF32" s="97"/>
      <c r="HG32" s="97"/>
      <c r="HH32" s="97"/>
      <c r="HI32" s="97"/>
      <c r="HJ32" s="97"/>
      <c r="HK32" s="97"/>
      <c r="HL32" s="97"/>
      <c r="HM32" s="97"/>
      <c r="HN32" s="97"/>
      <c r="HO32" s="97"/>
      <c r="HP32" s="97"/>
      <c r="HQ32" s="97"/>
      <c r="HR32" s="97"/>
      <c r="HS32" s="97"/>
      <c r="HT32" s="97"/>
      <c r="HU32" s="97"/>
      <c r="HV32" s="97"/>
      <c r="HW32" s="97"/>
      <c r="HX32" s="97"/>
      <c r="HY32" s="97"/>
      <c r="HZ32" s="97"/>
      <c r="IA32" s="97"/>
      <c r="IB32" s="97"/>
      <c r="IC32" s="97"/>
      <c r="ID32" s="97"/>
      <c r="IE32" s="97"/>
      <c r="IF32" s="97"/>
      <c r="IG32" s="97"/>
      <c r="IH32" s="97"/>
      <c r="II32" s="97"/>
      <c r="IJ32" s="97"/>
      <c r="IK32" s="97"/>
      <c r="IL32" s="97"/>
      <c r="IM32" s="97"/>
      <c r="IN32" s="97"/>
      <c r="IO32" s="97"/>
      <c r="IP32" s="97"/>
      <c r="IQ32" s="97"/>
      <c r="IR32" s="97"/>
      <c r="IS32" s="97"/>
      <c r="IT32" s="97"/>
      <c r="IU32" s="97"/>
      <c r="IV32" s="97"/>
      <c r="IW32" s="97"/>
      <c r="IX32" s="97"/>
      <c r="IY32" s="97"/>
      <c r="IZ32" s="97"/>
      <c r="JA32" s="97"/>
      <c r="JB32" s="97"/>
      <c r="JC32" s="97"/>
      <c r="JD32" s="97"/>
      <c r="JE32" s="97"/>
      <c r="JF32" s="97"/>
      <c r="JG32" s="97"/>
      <c r="JH32" s="97"/>
      <c r="JI32" s="97"/>
      <c r="JJ32" s="97"/>
      <c r="JK32" s="97"/>
      <c r="JL32" s="97"/>
      <c r="JM32" s="97"/>
      <c r="JN32" s="97"/>
      <c r="JO32" s="97"/>
    </row>
    <row r="33" spans="1:275" s="98" customFormat="1" x14ac:dyDescent="0.2">
      <c r="A33" s="1097"/>
      <c r="B33" s="1098" t="str">
        <f>IF(Stammblatt!$L$4=1,'Kalkulation Herstellungskosten'!BB33,'Kalkulation Herstellungskosten'!BC33)</f>
        <v xml:space="preserve">Wochenpauschale (§ 7 KV) </v>
      </c>
      <c r="C33" s="94">
        <v>0</v>
      </c>
      <c r="D33" s="386"/>
      <c r="E33" s="95"/>
      <c r="F33" s="1435"/>
      <c r="G33" s="96">
        <f ca="1">IF(AND(Stammblatt!$I$9=TRUE,GHSTK&lt;=1220000),Kollektivvertrag!$E$60,IF(AND(Stammblatt!$I$9=TRUE,GHSTK&lt;=1570000),AY33/2,AY33))</f>
        <v>3808.7160002474438</v>
      </c>
      <c r="H33" s="842" t="str">
        <f t="shared" ca="1" si="26"/>
        <v/>
      </c>
      <c r="I33" s="849" t="str">
        <f t="shared" si="27"/>
        <v/>
      </c>
      <c r="J33" s="753"/>
      <c r="K33" s="754"/>
      <c r="L33" s="390"/>
      <c r="M33" s="390"/>
      <c r="N33" s="334"/>
      <c r="O33" s="1405"/>
      <c r="P33" s="1441"/>
      <c r="Q33" s="1407"/>
      <c r="R33" s="1405"/>
      <c r="S33" s="514"/>
      <c r="T33" s="1405"/>
      <c r="U33" s="1405"/>
      <c r="V33" s="1433"/>
      <c r="W33" s="1433"/>
      <c r="X33" s="1405"/>
      <c r="Y33" s="1431"/>
      <c r="Z33" s="1407"/>
      <c r="AA33" s="1405"/>
      <c r="AB33" s="295"/>
      <c r="AC33" s="336"/>
      <c r="AD33" s="1411"/>
      <c r="AE33" s="1421"/>
      <c r="AF33" s="1409"/>
      <c r="AG33" s="1419"/>
      <c r="AH33" s="1411"/>
      <c r="AI33" s="1421"/>
      <c r="AJ33" s="1409"/>
      <c r="AK33" s="1419"/>
      <c r="AL33" s="1413"/>
      <c r="AM33" s="1421"/>
      <c r="AN33" s="1409"/>
      <c r="AO33" s="1419"/>
      <c r="AP33" s="1429"/>
      <c r="AQ33" s="1417">
        <f t="shared" si="28"/>
        <v>0</v>
      </c>
      <c r="AR33" s="1415">
        <f t="shared" si="29"/>
        <v>0</v>
      </c>
      <c r="AS33" s="310"/>
      <c r="AT33" s="310"/>
      <c r="AU33" s="393">
        <f ca="1">IF(AV33=TRUE,G33*0.8,G33)</f>
        <v>3808.7160002474438</v>
      </c>
      <c r="AV33" s="383" t="b">
        <v>0</v>
      </c>
      <c r="AW33" s="312">
        <f t="shared" ref="AW33:AW37" si="30">AY33*1.2</f>
        <v>4570.4592002969321</v>
      </c>
      <c r="AX33" s="312">
        <f t="shared" ref="AX33:AX37" si="31">AY33*1.3</f>
        <v>4951.3308003216771</v>
      </c>
      <c r="AY33" s="312">
        <f>IF(AND(Stammblatt!$I$7=TRUE,Stammblatt!$I$8=FALSE),Kollektivvertrag!E13,Kollektivvertrag!E14)</f>
        <v>3808.7160002474438</v>
      </c>
      <c r="AZ33" s="581"/>
      <c r="BA33" s="315"/>
      <c r="BB33" s="196" t="s">
        <v>45</v>
      </c>
      <c r="BC33" s="196" t="s">
        <v>1024</v>
      </c>
      <c r="BD33" s="314"/>
      <c r="BE33" s="314"/>
      <c r="BF33" s="314"/>
      <c r="BG33" s="314"/>
      <c r="BH33" s="314"/>
      <c r="BI33" s="314"/>
      <c r="BJ33" s="314"/>
      <c r="BK33" s="314"/>
      <c r="BL33" s="314"/>
      <c r="BM33" s="314"/>
      <c r="BN33" s="314"/>
      <c r="BO33" s="314"/>
      <c r="BP33" s="314"/>
      <c r="BQ33" s="314"/>
      <c r="BR33" s="314"/>
      <c r="BS33" s="314"/>
      <c r="BT33" s="314"/>
      <c r="BU33" s="314"/>
      <c r="BV33" s="314"/>
      <c r="BW33" s="314"/>
      <c r="BX33" s="314"/>
      <c r="BY33" s="314"/>
      <c r="BZ33" s="314"/>
      <c r="CA33" s="314"/>
      <c r="CB33" s="314"/>
      <c r="CC33" s="314"/>
      <c r="CD33" s="314"/>
      <c r="CE33" s="314"/>
      <c r="CF33" s="97"/>
      <c r="CG33" s="97"/>
      <c r="CH33" s="97"/>
      <c r="CI33" s="97"/>
      <c r="CJ33" s="97"/>
      <c r="CK33" s="97"/>
      <c r="CL33" s="97"/>
      <c r="CM33" s="97"/>
      <c r="CN33" s="97"/>
      <c r="CO33" s="97"/>
      <c r="CP33" s="97"/>
      <c r="CQ33" s="97"/>
      <c r="CR33" s="97"/>
      <c r="CS33" s="97"/>
      <c r="CT33" s="97"/>
      <c r="CU33" s="97"/>
      <c r="CV33" s="97"/>
      <c r="CW33" s="97"/>
      <c r="CX33" s="97"/>
      <c r="CY33" s="97"/>
      <c r="CZ33" s="97"/>
      <c r="DA33" s="97"/>
      <c r="DB33" s="97"/>
      <c r="DC33" s="97"/>
      <c r="DD33" s="97"/>
      <c r="DE33" s="97"/>
      <c r="DF33" s="97"/>
      <c r="DG33" s="97"/>
      <c r="DH33" s="97"/>
      <c r="DI33" s="97"/>
      <c r="DJ33" s="97"/>
      <c r="DK33" s="97"/>
      <c r="DL33" s="97"/>
      <c r="DM33" s="97"/>
      <c r="DN33" s="97"/>
      <c r="DO33" s="97"/>
      <c r="DP33" s="97"/>
      <c r="DQ33" s="97"/>
      <c r="DR33" s="97"/>
      <c r="DS33" s="97"/>
      <c r="DT33" s="97"/>
      <c r="DU33" s="97"/>
      <c r="DV33" s="97"/>
      <c r="DW33" s="97"/>
      <c r="DX33" s="97"/>
      <c r="DY33" s="97"/>
      <c r="DZ33" s="97"/>
      <c r="EA33" s="97"/>
      <c r="EB33" s="97"/>
      <c r="EC33" s="97"/>
      <c r="ED33" s="97"/>
      <c r="EE33" s="97"/>
      <c r="EF33" s="97"/>
      <c r="EG33" s="97"/>
      <c r="EH33" s="97"/>
      <c r="EI33" s="97"/>
      <c r="EJ33" s="97"/>
      <c r="EK33" s="97"/>
      <c r="EL33" s="97"/>
      <c r="EM33" s="97"/>
      <c r="EN33" s="97"/>
      <c r="EO33" s="97"/>
      <c r="EP33" s="97"/>
      <c r="EQ33" s="97"/>
      <c r="ER33" s="97"/>
      <c r="ES33" s="97"/>
      <c r="ET33" s="97"/>
      <c r="EU33" s="97"/>
      <c r="EV33" s="97"/>
      <c r="EW33" s="97"/>
      <c r="EX33" s="97"/>
      <c r="EY33" s="97"/>
      <c r="EZ33" s="97"/>
      <c r="FA33" s="97"/>
      <c r="FB33" s="97"/>
      <c r="FC33" s="97"/>
      <c r="FD33" s="97"/>
      <c r="FE33" s="97"/>
      <c r="FF33" s="97"/>
      <c r="FG33" s="97"/>
      <c r="FH33" s="97"/>
      <c r="FI33" s="97"/>
      <c r="FJ33" s="97"/>
      <c r="FK33" s="97"/>
      <c r="FL33" s="97"/>
      <c r="FM33" s="97"/>
      <c r="FN33" s="97"/>
      <c r="FO33" s="97"/>
      <c r="FP33" s="97"/>
      <c r="FQ33" s="97"/>
      <c r="FR33" s="97"/>
      <c r="FS33" s="97"/>
      <c r="FT33" s="97"/>
      <c r="FU33" s="97"/>
      <c r="FV33" s="97"/>
      <c r="FW33" s="97"/>
      <c r="FX33" s="97"/>
      <c r="FY33" s="97"/>
      <c r="FZ33" s="97"/>
      <c r="GA33" s="97"/>
      <c r="GB33" s="97"/>
      <c r="GC33" s="97"/>
      <c r="GD33" s="97"/>
      <c r="GE33" s="97"/>
      <c r="GF33" s="97"/>
      <c r="GG33" s="97"/>
      <c r="GH33" s="97"/>
      <c r="GI33" s="97"/>
      <c r="GJ33" s="97"/>
      <c r="GK33" s="97"/>
      <c r="GL33" s="97"/>
      <c r="GM33" s="97"/>
      <c r="GN33" s="97"/>
      <c r="GO33" s="97"/>
      <c r="GP33" s="97"/>
      <c r="GQ33" s="97"/>
      <c r="GR33" s="97"/>
      <c r="GS33" s="97"/>
      <c r="GT33" s="97"/>
      <c r="GU33" s="97"/>
      <c r="GV33" s="97"/>
      <c r="GW33" s="97"/>
      <c r="GX33" s="97"/>
      <c r="GY33" s="97"/>
      <c r="GZ33" s="97"/>
      <c r="HA33" s="97"/>
      <c r="HB33" s="97"/>
      <c r="HC33" s="97"/>
      <c r="HD33" s="97"/>
      <c r="HE33" s="97"/>
      <c r="HF33" s="97"/>
      <c r="HG33" s="97"/>
      <c r="HH33" s="97"/>
      <c r="HI33" s="97"/>
      <c r="HJ33" s="97"/>
      <c r="HK33" s="97"/>
      <c r="HL33" s="97"/>
      <c r="HM33" s="97"/>
      <c r="HN33" s="97"/>
      <c r="HO33" s="97"/>
      <c r="HP33" s="97"/>
      <c r="HQ33" s="97"/>
      <c r="HR33" s="97"/>
      <c r="HS33" s="97"/>
      <c r="HT33" s="97"/>
      <c r="HU33" s="97"/>
      <c r="HV33" s="97"/>
      <c r="HW33" s="97"/>
      <c r="HX33" s="97"/>
      <c r="HY33" s="97"/>
      <c r="HZ33" s="97"/>
      <c r="IA33" s="97"/>
      <c r="IB33" s="97"/>
      <c r="IC33" s="97"/>
      <c r="ID33" s="97"/>
      <c r="IE33" s="97"/>
      <c r="IF33" s="97"/>
      <c r="IG33" s="97"/>
      <c r="IH33" s="97"/>
      <c r="II33" s="97"/>
      <c r="IJ33" s="97"/>
      <c r="IK33" s="97"/>
      <c r="IL33" s="97"/>
      <c r="IM33" s="97"/>
      <c r="IN33" s="97"/>
      <c r="IO33" s="97"/>
      <c r="IP33" s="97"/>
      <c r="IQ33" s="97"/>
      <c r="IR33" s="97"/>
      <c r="IS33" s="97"/>
      <c r="IT33" s="97"/>
      <c r="IU33" s="97"/>
      <c r="IV33" s="97"/>
      <c r="IW33" s="97"/>
      <c r="IX33" s="97"/>
      <c r="IY33" s="97"/>
      <c r="IZ33" s="97"/>
      <c r="JA33" s="97"/>
      <c r="JB33" s="97"/>
      <c r="JC33" s="97"/>
      <c r="JD33" s="97"/>
      <c r="JE33" s="97"/>
      <c r="JF33" s="97"/>
      <c r="JG33" s="97"/>
      <c r="JH33" s="97"/>
      <c r="JI33" s="97"/>
      <c r="JJ33" s="97"/>
      <c r="JK33" s="97"/>
      <c r="JL33" s="97"/>
      <c r="JM33" s="97"/>
      <c r="JN33" s="97"/>
      <c r="JO33" s="97"/>
    </row>
    <row r="34" spans="1:275" s="101" customFormat="1" ht="12.75" customHeight="1" x14ac:dyDescent="0.2">
      <c r="A34" s="1099">
        <v>14</v>
      </c>
      <c r="B34" s="1096" t="str">
        <f>IF(Stammblatt!$L$4=1,'Kalkulation Herstellungskosten'!BB34,'Kalkulation Herstellungskosten'!BC34)</f>
        <v>Produktionsleitung</v>
      </c>
      <c r="C34" s="99">
        <v>0</v>
      </c>
      <c r="D34" s="385"/>
      <c r="E34" s="103"/>
      <c r="F34" s="1434">
        <f>C34*E34+C35*E35</f>
        <v>0</v>
      </c>
      <c r="G34" s="100">
        <f ca="1">IF(AND(Stammblatt!$I$9=TRUE,GHSTK&lt;=1220000),Kollektivvertrag!$C$60,IF(AND(Stammblatt!$I$9=TRUE,GHSTK&lt;=1570000),AY34/2,AY34))</f>
        <v>2623.8934828932456</v>
      </c>
      <c r="H34" s="841" t="str">
        <f t="shared" ca="1" si="26"/>
        <v/>
      </c>
      <c r="I34" s="848" t="str">
        <f t="shared" si="27"/>
        <v/>
      </c>
      <c r="J34" s="751"/>
      <c r="K34" s="751"/>
      <c r="L34" s="556">
        <f>F34*J34</f>
        <v>0</v>
      </c>
      <c r="M34" s="557">
        <f>F34*K34</f>
        <v>0</v>
      </c>
      <c r="N34" s="558" t="str">
        <f>IF((L34+M34)&lt;&gt;F34,"?","")</f>
        <v/>
      </c>
      <c r="O34" s="1404"/>
      <c r="P34" s="1430"/>
      <c r="Q34" s="1404"/>
      <c r="R34" s="1404"/>
      <c r="S34" s="514"/>
      <c r="T34" s="1404"/>
      <c r="U34" s="1404"/>
      <c r="V34" s="1432">
        <f>SUM(T34:U35)</f>
        <v>0</v>
      </c>
      <c r="W34" s="1432">
        <f>F34-V34</f>
        <v>0</v>
      </c>
      <c r="X34" s="1404"/>
      <c r="Y34" s="1430"/>
      <c r="Z34" s="1404"/>
      <c r="AA34" s="1404"/>
      <c r="AB34" s="295"/>
      <c r="AC34" s="336"/>
      <c r="AD34" s="1410"/>
      <c r="AE34" s="1420"/>
      <c r="AF34" s="1408"/>
      <c r="AG34" s="1418">
        <f>SUM(AE34:AF35)</f>
        <v>0</v>
      </c>
      <c r="AH34" s="1410"/>
      <c r="AI34" s="1420"/>
      <c r="AJ34" s="1408"/>
      <c r="AK34" s="1418">
        <f>SUM(AI34:AJ35)</f>
        <v>0</v>
      </c>
      <c r="AL34" s="1412"/>
      <c r="AM34" s="1420"/>
      <c r="AN34" s="1408"/>
      <c r="AO34" s="1418">
        <f t="shared" ref="AO34" si="32">SUM(AM34:AN35)</f>
        <v>0</v>
      </c>
      <c r="AP34" s="1428">
        <f t="shared" ref="AP34" si="33">SUM(F34,AD34,AH34,AL34)</f>
        <v>0</v>
      </c>
      <c r="AQ34" s="1416">
        <f t="shared" si="28"/>
        <v>0</v>
      </c>
      <c r="AR34" s="1414">
        <f t="shared" si="29"/>
        <v>0</v>
      </c>
      <c r="AS34" s="310"/>
      <c r="AT34" s="310"/>
      <c r="AU34" s="393">
        <f ca="1">IF(AV35=TRUE,G34*0.8,G34)</f>
        <v>2623.8934828932456</v>
      </c>
      <c r="AV34" s="383"/>
      <c r="AW34" s="312">
        <f t="shared" si="30"/>
        <v>3148.6721794718947</v>
      </c>
      <c r="AX34" s="312">
        <f t="shared" si="31"/>
        <v>3411.0615277612196</v>
      </c>
      <c r="AY34" s="312">
        <f>IF(AND(Stammblatt!$I$7=TRUE,Stammblatt!$I$8=FALSE),Kollektivvertrag!C15,Kollektivvertrag!C16)</f>
        <v>2623.8934828932456</v>
      </c>
      <c r="AZ34" s="581"/>
      <c r="BA34" s="312"/>
      <c r="BB34" s="196" t="s">
        <v>143</v>
      </c>
      <c r="BC34" s="196" t="s">
        <v>281</v>
      </c>
      <c r="BD34" s="313"/>
      <c r="BE34" s="313"/>
      <c r="BF34" s="313"/>
      <c r="BG34" s="313"/>
      <c r="BH34" s="313"/>
      <c r="BI34" s="313"/>
      <c r="BJ34" s="313"/>
      <c r="BK34" s="313"/>
      <c r="BL34" s="313"/>
      <c r="BM34" s="313"/>
      <c r="BN34" s="313"/>
      <c r="BO34" s="313"/>
      <c r="BP34" s="313"/>
      <c r="BQ34" s="313"/>
      <c r="BR34" s="313"/>
      <c r="BS34" s="313"/>
      <c r="BT34" s="313"/>
      <c r="BU34" s="313"/>
      <c r="BV34" s="313"/>
      <c r="BW34" s="313"/>
      <c r="BX34" s="313"/>
      <c r="BY34" s="313"/>
      <c r="BZ34" s="313"/>
      <c r="CA34" s="313"/>
      <c r="CB34" s="313"/>
      <c r="CC34" s="313"/>
      <c r="CD34" s="313"/>
      <c r="CE34" s="313"/>
    </row>
    <row r="35" spans="1:275" s="101" customFormat="1" ht="12.75" customHeight="1" x14ac:dyDescent="0.2">
      <c r="A35" s="1097"/>
      <c r="B35" s="1098" t="str">
        <f>IF(Stammblatt!$L$4=1,'Kalkulation Herstellungskosten'!BB35,'Kalkulation Herstellungskosten'!BC35)</f>
        <v xml:space="preserve">Wochenpauschale (§ 7 KV) </v>
      </c>
      <c r="C35" s="94">
        <v>0</v>
      </c>
      <c r="D35" s="386"/>
      <c r="E35" s="95"/>
      <c r="F35" s="1435"/>
      <c r="G35" s="96">
        <f ca="1">IF(AND(Stammblatt!$I$9=TRUE,GHSTK&lt;=1220000),Kollektivvertrag!$E$60,IF(AND(Stammblatt!$I$9=TRUE,GHSTK&lt;=1570000),AY35/2,AY35))</f>
        <v>3634.0924738071453</v>
      </c>
      <c r="H35" s="842" t="str">
        <f t="shared" ca="1" si="26"/>
        <v/>
      </c>
      <c r="I35" s="849" t="str">
        <f t="shared" si="27"/>
        <v/>
      </c>
      <c r="J35" s="745"/>
      <c r="K35" s="746"/>
      <c r="L35" s="390"/>
      <c r="M35" s="390"/>
      <c r="N35" s="334"/>
      <c r="O35" s="1405"/>
      <c r="P35" s="1431"/>
      <c r="Q35" s="1405"/>
      <c r="R35" s="1405"/>
      <c r="S35" s="514"/>
      <c r="T35" s="1405"/>
      <c r="U35" s="1405"/>
      <c r="V35" s="1433"/>
      <c r="W35" s="1433"/>
      <c r="X35" s="1405"/>
      <c r="Y35" s="1431"/>
      <c r="Z35" s="1405"/>
      <c r="AA35" s="1405"/>
      <c r="AB35" s="295"/>
      <c r="AC35" s="336"/>
      <c r="AD35" s="1411"/>
      <c r="AE35" s="1421"/>
      <c r="AF35" s="1409"/>
      <c r="AG35" s="1419"/>
      <c r="AH35" s="1411"/>
      <c r="AI35" s="1421"/>
      <c r="AJ35" s="1409"/>
      <c r="AK35" s="1419"/>
      <c r="AL35" s="1413"/>
      <c r="AM35" s="1421"/>
      <c r="AN35" s="1409"/>
      <c r="AO35" s="1419"/>
      <c r="AP35" s="1429"/>
      <c r="AQ35" s="1417">
        <f t="shared" si="28"/>
        <v>0</v>
      </c>
      <c r="AR35" s="1415">
        <f t="shared" si="29"/>
        <v>0</v>
      </c>
      <c r="AS35" s="310"/>
      <c r="AT35" s="310"/>
      <c r="AU35" s="393">
        <f ca="1">IF(AV35=TRUE,G35*0.8,G35)</f>
        <v>3634.0924738071453</v>
      </c>
      <c r="AV35" s="383" t="b">
        <v>0</v>
      </c>
      <c r="AW35" s="312">
        <f t="shared" si="30"/>
        <v>4360.9109685685744</v>
      </c>
      <c r="AX35" s="312">
        <f t="shared" si="31"/>
        <v>4724.3202159492894</v>
      </c>
      <c r="AY35" s="312">
        <f>IF(AND(Stammblatt!$I$7=TRUE,Stammblatt!$I$8=FALSE),Kollektivvertrag!E15,Kollektivvertrag!E16)</f>
        <v>3634.0924738071453</v>
      </c>
      <c r="AZ35" s="581"/>
      <c r="BA35" s="315"/>
      <c r="BB35" s="196" t="s">
        <v>45</v>
      </c>
      <c r="BC35" s="196" t="s">
        <v>1024</v>
      </c>
      <c r="BD35" s="313"/>
      <c r="BE35" s="313"/>
      <c r="BF35" s="313"/>
      <c r="BG35" s="313"/>
      <c r="BH35" s="313"/>
      <c r="BI35" s="313"/>
      <c r="BJ35" s="313"/>
      <c r="BK35" s="313"/>
      <c r="BL35" s="313"/>
      <c r="BM35" s="313"/>
      <c r="BN35" s="313"/>
      <c r="BO35" s="313"/>
      <c r="BP35" s="313"/>
      <c r="BQ35" s="313"/>
      <c r="BR35" s="313"/>
      <c r="BS35" s="313"/>
      <c r="BT35" s="313"/>
      <c r="BU35" s="313"/>
      <c r="BV35" s="313"/>
      <c r="BW35" s="313"/>
      <c r="BX35" s="313"/>
      <c r="BY35" s="313"/>
      <c r="BZ35" s="313"/>
      <c r="CA35" s="313"/>
      <c r="CB35" s="313"/>
      <c r="CC35" s="313"/>
      <c r="CD35" s="313"/>
      <c r="CE35" s="313"/>
    </row>
    <row r="36" spans="1:275" s="101" customFormat="1" ht="12.75" customHeight="1" x14ac:dyDescent="0.2">
      <c r="A36" s="1099">
        <v>15</v>
      </c>
      <c r="B36" s="1096" t="str">
        <f>IF(Stammblatt!$L$4=1,'Kalkulation Herstellungskosten'!BB36,'Kalkulation Herstellungskosten'!BC36)</f>
        <v>1. Aufnahmeleitung</v>
      </c>
      <c r="C36" s="99">
        <v>0</v>
      </c>
      <c r="D36" s="385"/>
      <c r="E36" s="103"/>
      <c r="F36" s="1434">
        <f>C36*E36+C37*E37</f>
        <v>0</v>
      </c>
      <c r="G36" s="100">
        <f ca="1">IF(AND(Stammblatt!$I$9=TRUE,GHSTK&lt;=1220000),Kollektivvertrag!$C$60,IF(AND(Stammblatt!$I$9=TRUE,GHSTK&lt;=1570000),AY36/2,AY36))</f>
        <v>1584.9776807514331</v>
      </c>
      <c r="H36" s="841" t="str">
        <f t="shared" ca="1" si="26"/>
        <v/>
      </c>
      <c r="I36" s="848" t="str">
        <f t="shared" si="27"/>
        <v/>
      </c>
      <c r="J36" s="751"/>
      <c r="K36" s="751"/>
      <c r="L36" s="556">
        <f>F36*J36</f>
        <v>0</v>
      </c>
      <c r="M36" s="557">
        <f>F36*K36</f>
        <v>0</v>
      </c>
      <c r="N36" s="558" t="str">
        <f>IF((L36+M36)&lt;&gt;F36,"?","")</f>
        <v/>
      </c>
      <c r="O36" s="1404"/>
      <c r="P36" s="1430"/>
      <c r="Q36" s="1406"/>
      <c r="R36" s="1404"/>
      <c r="S36" s="514"/>
      <c r="T36" s="1404"/>
      <c r="U36" s="1404"/>
      <c r="V36" s="1432">
        <f>SUM(T36:U37)</f>
        <v>0</v>
      </c>
      <c r="W36" s="1432">
        <f>F36-V36</f>
        <v>0</v>
      </c>
      <c r="X36" s="1404"/>
      <c r="Y36" s="1430"/>
      <c r="Z36" s="1406"/>
      <c r="AA36" s="1404"/>
      <c r="AB36" s="295"/>
      <c r="AC36" s="336"/>
      <c r="AD36" s="1410"/>
      <c r="AE36" s="1420"/>
      <c r="AF36" s="1408"/>
      <c r="AG36" s="1418">
        <f>SUM(AE36:AF37)</f>
        <v>0</v>
      </c>
      <c r="AH36" s="1410"/>
      <c r="AI36" s="1420"/>
      <c r="AJ36" s="1408"/>
      <c r="AK36" s="1418">
        <f>SUM(AI36:AJ37)</f>
        <v>0</v>
      </c>
      <c r="AL36" s="1412"/>
      <c r="AM36" s="1420"/>
      <c r="AN36" s="1408"/>
      <c r="AO36" s="1418">
        <f t="shared" ref="AO36" si="34">SUM(AM36:AN37)</f>
        <v>0</v>
      </c>
      <c r="AP36" s="1428">
        <f t="shared" ref="AP36" si="35">SUM(F36,AD36,AH36,AL36)</f>
        <v>0</v>
      </c>
      <c r="AQ36" s="1416">
        <f t="shared" ref="AQ36:AQ53" si="36">SUM(AO36,AK36,AG36,V36)</f>
        <v>0</v>
      </c>
      <c r="AR36" s="1414">
        <f t="shared" ref="AR36:AR53" si="37">AP36-AQ36</f>
        <v>0</v>
      </c>
      <c r="AS36" s="310"/>
      <c r="AT36" s="310"/>
      <c r="AU36" s="393">
        <f ca="1">IF(AV37=TRUE,G36*0.8,G36)</f>
        <v>1584.9776807514331</v>
      </c>
      <c r="AV36" s="383"/>
      <c r="AW36" s="312">
        <f t="shared" si="30"/>
        <v>1901.9732169017198</v>
      </c>
      <c r="AX36" s="312">
        <f t="shared" si="31"/>
        <v>2060.4709849768633</v>
      </c>
      <c r="AY36" s="312">
        <f>IF(AND(Stammblatt!$I$7=TRUE,Stammblatt!$I$8=FALSE),Kollektivvertrag!C17,Kollektivvertrag!C18)</f>
        <v>1584.9776807514331</v>
      </c>
      <c r="AZ36" s="581"/>
      <c r="BA36" s="312"/>
      <c r="BB36" s="196" t="s">
        <v>943</v>
      </c>
      <c r="BC36" s="196" t="s">
        <v>368</v>
      </c>
      <c r="BD36" s="313"/>
      <c r="BE36" s="313"/>
      <c r="BF36" s="313"/>
      <c r="BG36" s="313"/>
      <c r="BH36" s="313"/>
      <c r="BI36" s="313"/>
      <c r="BJ36" s="313"/>
      <c r="BK36" s="313"/>
      <c r="BL36" s="313"/>
      <c r="BM36" s="313"/>
      <c r="BN36" s="313"/>
      <c r="BO36" s="313"/>
      <c r="BP36" s="313"/>
      <c r="BQ36" s="313"/>
      <c r="BR36" s="313"/>
      <c r="BS36" s="313"/>
      <c r="BT36" s="313"/>
      <c r="BU36" s="313"/>
      <c r="BV36" s="313"/>
      <c r="BW36" s="313"/>
      <c r="BX36" s="313"/>
      <c r="BY36" s="313"/>
      <c r="BZ36" s="313"/>
      <c r="CA36" s="313"/>
      <c r="CB36" s="313"/>
      <c r="CC36" s="313"/>
      <c r="CD36" s="313"/>
      <c r="CE36" s="313"/>
    </row>
    <row r="37" spans="1:275" s="101" customFormat="1" ht="12.75" customHeight="1" x14ac:dyDescent="0.2">
      <c r="A37" s="1097"/>
      <c r="B37" s="1098" t="str">
        <f>IF(Stammblatt!$L$4=1,'Kalkulation Herstellungskosten'!BB37,'Kalkulation Herstellungskosten'!BC37)</f>
        <v xml:space="preserve">Wochenpauschale (§ 7 KV) </v>
      </c>
      <c r="C37" s="94">
        <v>0</v>
      </c>
      <c r="D37" s="386"/>
      <c r="E37" s="95"/>
      <c r="F37" s="1435"/>
      <c r="G37" s="96">
        <f ca="1">IF(AND(Stammblatt!$I$9=TRUE,GHSTK&lt;=1220000),Kollektivvertrag!$E$60,IF(AND(Stammblatt!$I$9=TRUE,GHSTK&lt;=1570000),AY37/2,AY37))</f>
        <v>2195.1940878407349</v>
      </c>
      <c r="H37" s="842" t="str">
        <f t="shared" ca="1" si="26"/>
        <v/>
      </c>
      <c r="I37" s="849" t="str">
        <f t="shared" si="27"/>
        <v/>
      </c>
      <c r="J37" s="747"/>
      <c r="K37" s="748"/>
      <c r="L37" s="359"/>
      <c r="M37" s="359"/>
      <c r="N37" s="334"/>
      <c r="O37" s="1405"/>
      <c r="P37" s="1431"/>
      <c r="Q37" s="1407"/>
      <c r="R37" s="1405"/>
      <c r="S37" s="514"/>
      <c r="T37" s="1405"/>
      <c r="U37" s="1405"/>
      <c r="V37" s="1433"/>
      <c r="W37" s="1433"/>
      <c r="X37" s="1405"/>
      <c r="Y37" s="1431"/>
      <c r="Z37" s="1407"/>
      <c r="AA37" s="1405"/>
      <c r="AB37" s="295"/>
      <c r="AC37" s="336"/>
      <c r="AD37" s="1411"/>
      <c r="AE37" s="1421"/>
      <c r="AF37" s="1409"/>
      <c r="AG37" s="1419"/>
      <c r="AH37" s="1411"/>
      <c r="AI37" s="1421"/>
      <c r="AJ37" s="1409"/>
      <c r="AK37" s="1419"/>
      <c r="AL37" s="1413"/>
      <c r="AM37" s="1421"/>
      <c r="AN37" s="1409"/>
      <c r="AO37" s="1419"/>
      <c r="AP37" s="1429"/>
      <c r="AQ37" s="1417">
        <f t="shared" si="36"/>
        <v>0</v>
      </c>
      <c r="AR37" s="1415">
        <f t="shared" si="37"/>
        <v>0</v>
      </c>
      <c r="AS37" s="310"/>
      <c r="AT37" s="310"/>
      <c r="AU37" s="393">
        <f ca="1">IF(AV37=TRUE,G37*0.8,G37)</f>
        <v>2195.1940878407349</v>
      </c>
      <c r="AV37" s="383" t="b">
        <v>0</v>
      </c>
      <c r="AW37" s="312">
        <f t="shared" si="30"/>
        <v>2634.2329054088818</v>
      </c>
      <c r="AX37" s="312">
        <f t="shared" si="31"/>
        <v>2853.7523141929555</v>
      </c>
      <c r="AY37" s="312">
        <f>IF(AND(Stammblatt!$I$7=TRUE,Stammblatt!$I$8=FALSE),Kollektivvertrag!E17,Kollektivvertrag!E18)</f>
        <v>2195.1940878407349</v>
      </c>
      <c r="AZ37" s="581"/>
      <c r="BA37" s="315"/>
      <c r="BB37" s="196" t="s">
        <v>45</v>
      </c>
      <c r="BC37" s="196" t="s">
        <v>1024</v>
      </c>
      <c r="BD37" s="313"/>
      <c r="BE37" s="313"/>
      <c r="BF37" s="313"/>
      <c r="BG37" s="313"/>
      <c r="BH37" s="313"/>
      <c r="BI37" s="313"/>
      <c r="BJ37" s="313"/>
      <c r="BK37" s="313"/>
      <c r="BL37" s="313"/>
      <c r="BM37" s="313"/>
      <c r="BN37" s="313"/>
      <c r="BO37" s="313"/>
      <c r="BP37" s="313"/>
      <c r="BQ37" s="313"/>
      <c r="BR37" s="313"/>
      <c r="BS37" s="313"/>
      <c r="BT37" s="313"/>
      <c r="BU37" s="313"/>
      <c r="BV37" s="313"/>
      <c r="BW37" s="313"/>
      <c r="BX37" s="313"/>
      <c r="BY37" s="313"/>
      <c r="BZ37" s="313"/>
      <c r="CA37" s="313"/>
      <c r="CB37" s="313"/>
      <c r="CC37" s="313"/>
      <c r="CD37" s="313"/>
      <c r="CE37" s="313"/>
    </row>
    <row r="38" spans="1:275" s="101" customFormat="1" ht="12.75" customHeight="1" x14ac:dyDescent="0.2">
      <c r="A38" s="1099">
        <v>16</v>
      </c>
      <c r="B38" s="1096" t="str">
        <f>IF(Stammblatt!$L$4=1,'Kalkulation Herstellungskosten'!BB38,'Kalkulation Herstellungskosten'!BC38)</f>
        <v>Set-Aufnahmeleitung (2. AL)</v>
      </c>
      <c r="C38" s="99">
        <v>0</v>
      </c>
      <c r="D38" s="385"/>
      <c r="E38" s="103"/>
      <c r="F38" s="1434">
        <f>C38*E38+C39*E39</f>
        <v>0</v>
      </c>
      <c r="G38" s="100">
        <f>IF(Stammblatt!$I$9=TRUE,Kollektivvertrag!$C$60,Kollektivvertrag!C19)</f>
        <v>1281.1395141562466</v>
      </c>
      <c r="H38" s="841" t="str">
        <f t="shared" si="26"/>
        <v/>
      </c>
      <c r="I38" s="848" t="str">
        <f t="shared" si="27"/>
        <v/>
      </c>
      <c r="J38" s="751"/>
      <c r="K38" s="751"/>
      <c r="L38" s="556">
        <f>F38*J38</f>
        <v>0</v>
      </c>
      <c r="M38" s="557">
        <f>F38*K38</f>
        <v>0</v>
      </c>
      <c r="N38" s="558" t="str">
        <f>IF((L38+M38)&lt;&gt;F38,"?","")</f>
        <v/>
      </c>
      <c r="O38" s="1404"/>
      <c r="P38" s="1430"/>
      <c r="Q38" s="1404"/>
      <c r="R38" s="1404"/>
      <c r="S38" s="514"/>
      <c r="T38" s="1404"/>
      <c r="U38" s="1404"/>
      <c r="V38" s="1432">
        <f>SUM(T38:U39)</f>
        <v>0</v>
      </c>
      <c r="W38" s="1432">
        <f>F38-V38</f>
        <v>0</v>
      </c>
      <c r="X38" s="1404"/>
      <c r="Y38" s="1430"/>
      <c r="Z38" s="1404"/>
      <c r="AA38" s="1404"/>
      <c r="AB38" s="295"/>
      <c r="AC38" s="336"/>
      <c r="AD38" s="1410"/>
      <c r="AE38" s="1420"/>
      <c r="AF38" s="1408"/>
      <c r="AG38" s="1418">
        <f>SUM(AE38:AF39)</f>
        <v>0</v>
      </c>
      <c r="AH38" s="1410"/>
      <c r="AI38" s="1420"/>
      <c r="AJ38" s="1408"/>
      <c r="AK38" s="1418">
        <f>SUM(AI38:AJ39)</f>
        <v>0</v>
      </c>
      <c r="AL38" s="1412"/>
      <c r="AM38" s="1420"/>
      <c r="AN38" s="1408"/>
      <c r="AO38" s="1418">
        <f t="shared" ref="AO38" si="38">SUM(AM38:AN39)</f>
        <v>0</v>
      </c>
      <c r="AP38" s="1428">
        <f t="shared" ref="AP38" si="39">SUM(F38,AD38,AH38,AL38)</f>
        <v>0</v>
      </c>
      <c r="AQ38" s="1416">
        <f t="shared" si="36"/>
        <v>0</v>
      </c>
      <c r="AR38" s="1414">
        <f t="shared" si="37"/>
        <v>0</v>
      </c>
      <c r="AS38" s="310"/>
      <c r="AT38" s="310"/>
      <c r="AU38" s="393">
        <f>IF(AV39=TRUE,G38*0.8,G38)</f>
        <v>1281.1395141562466</v>
      </c>
      <c r="AV38" s="383"/>
      <c r="AW38" s="312">
        <f t="shared" ref="AW38:AW84" si="40">G38*1.2</f>
        <v>1537.367416987496</v>
      </c>
      <c r="AX38" s="312">
        <f t="shared" ref="AX38:AX84" si="41">G38*1.3</f>
        <v>1665.4813684031205</v>
      </c>
      <c r="AY38" s="312"/>
      <c r="AZ38" s="581"/>
      <c r="BA38" s="312"/>
      <c r="BB38" s="196" t="s">
        <v>720</v>
      </c>
      <c r="BC38" s="196" t="s">
        <v>314</v>
      </c>
      <c r="BD38" s="313"/>
      <c r="BE38" s="313"/>
      <c r="BF38" s="313"/>
      <c r="BG38" s="313"/>
      <c r="BH38" s="313"/>
      <c r="BI38" s="313"/>
      <c r="BJ38" s="313"/>
      <c r="BK38" s="313"/>
      <c r="BL38" s="313"/>
      <c r="BM38" s="313"/>
      <c r="BN38" s="313"/>
      <c r="BO38" s="313"/>
      <c r="BP38" s="313"/>
      <c r="BQ38" s="313"/>
      <c r="BR38" s="313"/>
      <c r="BS38" s="313"/>
      <c r="BT38" s="313"/>
      <c r="BU38" s="313"/>
      <c r="BV38" s="313"/>
      <c r="BW38" s="313"/>
      <c r="BX38" s="313"/>
      <c r="BY38" s="313"/>
      <c r="BZ38" s="313"/>
      <c r="CA38" s="313"/>
      <c r="CB38" s="313"/>
      <c r="CC38" s="313"/>
      <c r="CD38" s="313"/>
      <c r="CE38" s="313"/>
    </row>
    <row r="39" spans="1:275" s="101" customFormat="1" ht="12.75" customHeight="1" x14ac:dyDescent="0.2">
      <c r="A39" s="1097"/>
      <c r="B39" s="1098" t="str">
        <f>IF(Stammblatt!$L$4=1,'Kalkulation Herstellungskosten'!BB39,'Kalkulation Herstellungskosten'!BC39)</f>
        <v xml:space="preserve">Wochenpauschale (§ 7 KV) </v>
      </c>
      <c r="C39" s="94">
        <v>0</v>
      </c>
      <c r="D39" s="386"/>
      <c r="E39" s="95"/>
      <c r="F39" s="1435"/>
      <c r="G39" s="96">
        <f>IF(Stammblatt!$I$9=TRUE,Kollektivvertrag!$E$60,Kollektivvertrag!E19)</f>
        <v>1774.3782271064013</v>
      </c>
      <c r="H39" s="842" t="str">
        <f t="shared" si="26"/>
        <v/>
      </c>
      <c r="I39" s="849" t="str">
        <f t="shared" si="27"/>
        <v/>
      </c>
      <c r="J39" s="745"/>
      <c r="K39" s="746"/>
      <c r="L39" s="390"/>
      <c r="M39" s="390"/>
      <c r="N39" s="334"/>
      <c r="O39" s="1405"/>
      <c r="P39" s="1431"/>
      <c r="Q39" s="1405"/>
      <c r="R39" s="1405"/>
      <c r="S39" s="514"/>
      <c r="T39" s="1405"/>
      <c r="U39" s="1405"/>
      <c r="V39" s="1433"/>
      <c r="W39" s="1433"/>
      <c r="X39" s="1405"/>
      <c r="Y39" s="1431"/>
      <c r="Z39" s="1405"/>
      <c r="AA39" s="1405"/>
      <c r="AB39" s="295"/>
      <c r="AC39" s="336"/>
      <c r="AD39" s="1411"/>
      <c r="AE39" s="1421"/>
      <c r="AF39" s="1409"/>
      <c r="AG39" s="1419"/>
      <c r="AH39" s="1411"/>
      <c r="AI39" s="1421"/>
      <c r="AJ39" s="1409"/>
      <c r="AK39" s="1419"/>
      <c r="AL39" s="1413"/>
      <c r="AM39" s="1421"/>
      <c r="AN39" s="1409"/>
      <c r="AO39" s="1419"/>
      <c r="AP39" s="1429"/>
      <c r="AQ39" s="1417">
        <f t="shared" si="36"/>
        <v>0</v>
      </c>
      <c r="AR39" s="1415">
        <f t="shared" si="37"/>
        <v>0</v>
      </c>
      <c r="AS39" s="310"/>
      <c r="AT39" s="310"/>
      <c r="AU39" s="393">
        <f>IF(AV39=TRUE,G39*0.8,G39)</f>
        <v>1774.3782271064013</v>
      </c>
      <c r="AV39" s="383" t="b">
        <v>0</v>
      </c>
      <c r="AW39" s="312">
        <f t="shared" si="40"/>
        <v>2129.2538725276813</v>
      </c>
      <c r="AX39" s="312">
        <f t="shared" si="41"/>
        <v>2306.6916952383217</v>
      </c>
      <c r="AY39" s="312"/>
      <c r="AZ39" s="581"/>
      <c r="BA39" s="315"/>
      <c r="BB39" s="196" t="s">
        <v>45</v>
      </c>
      <c r="BC39" s="196" t="s">
        <v>1024</v>
      </c>
      <c r="BD39" s="313"/>
      <c r="BE39" s="313"/>
      <c r="BF39" s="313"/>
      <c r="BG39" s="313"/>
      <c r="BH39" s="313"/>
      <c r="BI39" s="313"/>
      <c r="BJ39" s="313"/>
      <c r="BK39" s="313"/>
      <c r="BL39" s="313"/>
      <c r="BM39" s="313"/>
      <c r="BN39" s="313"/>
      <c r="BO39" s="313"/>
      <c r="BP39" s="313"/>
      <c r="BQ39" s="313"/>
      <c r="BR39" s="313"/>
      <c r="BS39" s="313"/>
      <c r="BT39" s="313"/>
      <c r="BU39" s="313"/>
      <c r="BV39" s="313"/>
      <c r="BW39" s="313"/>
      <c r="BX39" s="313"/>
      <c r="BY39" s="313"/>
      <c r="BZ39" s="313"/>
      <c r="CA39" s="313"/>
      <c r="CB39" s="313"/>
      <c r="CC39" s="313"/>
      <c r="CD39" s="313"/>
      <c r="CE39" s="313"/>
    </row>
    <row r="40" spans="1:275" s="101" customFormat="1" ht="12.75" customHeight="1" x14ac:dyDescent="0.2">
      <c r="A40" s="1100">
        <v>17</v>
      </c>
      <c r="B40" s="1096" t="str">
        <f>IF(Stammblatt!$L$4=1,'Kalkulation Herstellungskosten'!BB40,'Kalkulation Herstellungskosten'!BC40)</f>
        <v>Setassistenz</v>
      </c>
      <c r="C40" s="99">
        <v>0</v>
      </c>
      <c r="D40" s="385"/>
      <c r="E40" s="103"/>
      <c r="F40" s="1434">
        <f>C40*E40+C41*E41</f>
        <v>0</v>
      </c>
      <c r="G40" s="100">
        <f>IF(Stammblatt!$I$9=TRUE,Kollektivvertrag!$C$60,Kollektivvertrag!C63)</f>
        <v>779.51604580095545</v>
      </c>
      <c r="H40" s="841" t="str">
        <f t="shared" si="26"/>
        <v/>
      </c>
      <c r="I40" s="848" t="str">
        <f t="shared" si="27"/>
        <v/>
      </c>
      <c r="J40" s="751"/>
      <c r="K40" s="751"/>
      <c r="L40" s="556">
        <f>F40*J40</f>
        <v>0</v>
      </c>
      <c r="M40" s="557">
        <f>F40*K40</f>
        <v>0</v>
      </c>
      <c r="N40" s="558" t="str">
        <f>IF((L40+M40)&lt;&gt;F40,"?","")</f>
        <v/>
      </c>
      <c r="O40" s="1404"/>
      <c r="P40" s="1430"/>
      <c r="Q40" s="1404"/>
      <c r="R40" s="1404"/>
      <c r="S40" s="514"/>
      <c r="T40" s="1404"/>
      <c r="U40" s="1404"/>
      <c r="V40" s="1432">
        <f t="shared" ref="V40" si="42">SUM(T40:U41)</f>
        <v>0</v>
      </c>
      <c r="W40" s="1432">
        <f t="shared" ref="W40" si="43">F40-V40</f>
        <v>0</v>
      </c>
      <c r="X40" s="1404"/>
      <c r="Y40" s="1430"/>
      <c r="Z40" s="686"/>
      <c r="AA40" s="685"/>
      <c r="AB40" s="295"/>
      <c r="AC40" s="336"/>
      <c r="AD40" s="1410"/>
      <c r="AE40" s="1420"/>
      <c r="AF40" s="1408"/>
      <c r="AG40" s="1418">
        <f t="shared" ref="AG40" si="44">SUM(AE40:AF41)</f>
        <v>0</v>
      </c>
      <c r="AH40" s="1410"/>
      <c r="AI40" s="1420"/>
      <c r="AJ40" s="1408"/>
      <c r="AK40" s="1418">
        <f t="shared" ref="AK40" si="45">SUM(AI40:AJ41)</f>
        <v>0</v>
      </c>
      <c r="AL40" s="1412"/>
      <c r="AM40" s="1420"/>
      <c r="AN40" s="1408"/>
      <c r="AO40" s="1418">
        <f t="shared" ref="AO40" si="46">SUM(AM40:AN41)</f>
        <v>0</v>
      </c>
      <c r="AP40" s="1428">
        <f t="shared" ref="AP40" si="47">SUM(F40,AD40,AH40,AL40)</f>
        <v>0</v>
      </c>
      <c r="AQ40" s="1416">
        <f t="shared" si="36"/>
        <v>0</v>
      </c>
      <c r="AR40" s="1414">
        <f t="shared" si="37"/>
        <v>0</v>
      </c>
      <c r="AS40" s="310"/>
      <c r="AT40" s="310"/>
      <c r="AU40" s="393">
        <f>IF(AV41=TRUE,G40*0.8,G40)</f>
        <v>779.51604580095545</v>
      </c>
      <c r="AV40" s="383"/>
      <c r="AW40" s="312">
        <f t="shared" ref="AW40:AW45" si="48">G40*1.2</f>
        <v>935.41925496114652</v>
      </c>
      <c r="AX40" s="312">
        <f t="shared" ref="AX40:AX45" si="49">G40*1.3</f>
        <v>1013.3708595412421</v>
      </c>
      <c r="AY40" s="312"/>
      <c r="AZ40" s="581"/>
      <c r="BA40" s="315"/>
      <c r="BB40" s="196" t="s">
        <v>914</v>
      </c>
      <c r="BC40" s="196" t="s">
        <v>1020</v>
      </c>
      <c r="BD40" s="313"/>
      <c r="BE40" s="313"/>
      <c r="BF40" s="313"/>
      <c r="BG40" s="313"/>
      <c r="BH40" s="313"/>
      <c r="BI40" s="313"/>
      <c r="BJ40" s="313"/>
      <c r="BK40" s="313"/>
      <c r="BL40" s="313"/>
      <c r="BM40" s="313"/>
      <c r="BN40" s="313"/>
      <c r="BO40" s="313"/>
      <c r="BP40" s="313"/>
      <c r="BQ40" s="313"/>
      <c r="BR40" s="313"/>
      <c r="BS40" s="313"/>
      <c r="BT40" s="313"/>
      <c r="BU40" s="313"/>
      <c r="BV40" s="313"/>
      <c r="BW40" s="313"/>
      <c r="BX40" s="313"/>
      <c r="BY40" s="313"/>
      <c r="BZ40" s="313"/>
      <c r="CA40" s="313"/>
      <c r="CB40" s="313"/>
      <c r="CC40" s="313"/>
      <c r="CD40" s="313"/>
      <c r="CE40" s="313"/>
    </row>
    <row r="41" spans="1:275" s="101" customFormat="1" ht="12.75" customHeight="1" x14ac:dyDescent="0.2">
      <c r="A41" s="1100"/>
      <c r="B41" s="1098" t="str">
        <f>IF(Stammblatt!$L$4=1,'Kalkulation Herstellungskosten'!BB41,'Kalkulation Herstellungskosten'!BC41)</f>
        <v xml:space="preserve">Wochenpauschale (§ 7 KV) </v>
      </c>
      <c r="C41" s="94">
        <v>0</v>
      </c>
      <c r="D41" s="386"/>
      <c r="E41" s="95"/>
      <c r="F41" s="1435"/>
      <c r="G41" s="96">
        <f>IF(Stammblatt!$I$9=TRUE,Kollektivvertrag!$E$60,Kollektivvertrag!E63)</f>
        <v>1079.6297234343233</v>
      </c>
      <c r="H41" s="842" t="str">
        <f t="shared" si="26"/>
        <v/>
      </c>
      <c r="I41" s="849" t="str">
        <f t="shared" si="27"/>
        <v/>
      </c>
      <c r="J41" s="745"/>
      <c r="K41" s="746"/>
      <c r="L41" s="390"/>
      <c r="M41" s="390"/>
      <c r="N41" s="334"/>
      <c r="O41" s="1405"/>
      <c r="P41" s="1431"/>
      <c r="Q41" s="1405"/>
      <c r="R41" s="1405"/>
      <c r="S41" s="514"/>
      <c r="T41" s="1405"/>
      <c r="U41" s="1405"/>
      <c r="V41" s="1433"/>
      <c r="W41" s="1433"/>
      <c r="X41" s="1405"/>
      <c r="Y41" s="1431"/>
      <c r="Z41" s="686"/>
      <c r="AA41" s="685"/>
      <c r="AB41" s="295"/>
      <c r="AC41" s="336"/>
      <c r="AD41" s="1411"/>
      <c r="AE41" s="1421"/>
      <c r="AF41" s="1409"/>
      <c r="AG41" s="1419"/>
      <c r="AH41" s="1411"/>
      <c r="AI41" s="1421"/>
      <c r="AJ41" s="1409"/>
      <c r="AK41" s="1419"/>
      <c r="AL41" s="1413"/>
      <c r="AM41" s="1421"/>
      <c r="AN41" s="1409"/>
      <c r="AO41" s="1419"/>
      <c r="AP41" s="1429"/>
      <c r="AQ41" s="1417">
        <f t="shared" si="36"/>
        <v>0</v>
      </c>
      <c r="AR41" s="1415">
        <f t="shared" si="37"/>
        <v>0</v>
      </c>
      <c r="AS41" s="310"/>
      <c r="AT41" s="310"/>
      <c r="AU41" s="393">
        <f t="shared" ref="AU41:AU45" si="50">IF(AV41=TRUE,G41*0.8,G41)</f>
        <v>1079.6297234343233</v>
      </c>
      <c r="AV41" s="383" t="b">
        <v>0</v>
      </c>
      <c r="AW41" s="312">
        <f t="shared" si="48"/>
        <v>1295.5556681211879</v>
      </c>
      <c r="AX41" s="312">
        <f t="shared" si="49"/>
        <v>1403.5186404646204</v>
      </c>
      <c r="AY41" s="312"/>
      <c r="AZ41" s="581"/>
      <c r="BA41" s="315"/>
      <c r="BB41" s="196" t="s">
        <v>45</v>
      </c>
      <c r="BC41" s="196" t="s">
        <v>1024</v>
      </c>
      <c r="BD41" s="313"/>
      <c r="BE41" s="313"/>
      <c r="BF41" s="313"/>
      <c r="BG41" s="313"/>
      <c r="BH41" s="313"/>
      <c r="BI41" s="313"/>
      <c r="BJ41" s="313"/>
      <c r="BK41" s="313"/>
      <c r="BL41" s="313"/>
      <c r="BM41" s="313"/>
      <c r="BN41" s="313"/>
      <c r="BO41" s="313"/>
      <c r="BP41" s="313"/>
      <c r="BQ41" s="313"/>
      <c r="BR41" s="313"/>
      <c r="BS41" s="313"/>
      <c r="BT41" s="313"/>
      <c r="BU41" s="313"/>
      <c r="BV41" s="313"/>
      <c r="BW41" s="313"/>
      <c r="BX41" s="313"/>
      <c r="BY41" s="313"/>
      <c r="BZ41" s="313"/>
      <c r="CA41" s="313"/>
      <c r="CB41" s="313"/>
      <c r="CC41" s="313"/>
      <c r="CD41" s="313"/>
      <c r="CE41" s="313"/>
    </row>
    <row r="42" spans="1:275" s="101" customFormat="1" ht="12.75" customHeight="1" x14ac:dyDescent="0.2">
      <c r="A42" s="1099">
        <v>18</v>
      </c>
      <c r="B42" s="1096" t="str">
        <f>IF(Stammblatt!$L$4=1,'Kalkulation Herstellungskosten'!BB42,'Kalkulation Herstellungskosten'!BC42)</f>
        <v>Motivaufnahmeleitung</v>
      </c>
      <c r="C42" s="99">
        <v>0</v>
      </c>
      <c r="D42" s="385"/>
      <c r="E42" s="103"/>
      <c r="F42" s="1434">
        <f>C42*E42+C43*E43</f>
        <v>0</v>
      </c>
      <c r="G42" s="100">
        <f>IF(Stammblatt!$I$9=TRUE,Kollektivvertrag!$C$60,Kollektivvertrag!C61)</f>
        <v>1206.6395990017711</v>
      </c>
      <c r="H42" s="841" t="str">
        <f t="shared" si="26"/>
        <v/>
      </c>
      <c r="I42" s="848" t="str">
        <f t="shared" si="27"/>
        <v/>
      </c>
      <c r="J42" s="751"/>
      <c r="K42" s="751"/>
      <c r="L42" s="556">
        <f>F42*J42</f>
        <v>0</v>
      </c>
      <c r="M42" s="557">
        <f>F42*K42</f>
        <v>0</v>
      </c>
      <c r="N42" s="558" t="str">
        <f>IF((L42+M42)&lt;&gt;F42,"?","")</f>
        <v/>
      </c>
      <c r="O42" s="1404"/>
      <c r="P42" s="1430"/>
      <c r="Q42" s="1404"/>
      <c r="R42" s="1404"/>
      <c r="S42" s="514"/>
      <c r="T42" s="1404"/>
      <c r="U42" s="1404"/>
      <c r="V42" s="1432">
        <f t="shared" ref="V42" si="51">SUM(T42:U43)</f>
        <v>0</v>
      </c>
      <c r="W42" s="1432">
        <f t="shared" ref="W42" si="52">F42-V42</f>
        <v>0</v>
      </c>
      <c r="X42" s="1404"/>
      <c r="Y42" s="1430"/>
      <c r="Z42" s="686"/>
      <c r="AA42" s="685"/>
      <c r="AB42" s="295"/>
      <c r="AC42" s="336"/>
      <c r="AD42" s="1410"/>
      <c r="AE42" s="1420"/>
      <c r="AF42" s="1408"/>
      <c r="AG42" s="1418">
        <f t="shared" ref="AG42" si="53">SUM(AE42:AF43)</f>
        <v>0</v>
      </c>
      <c r="AH42" s="1410"/>
      <c r="AI42" s="1420"/>
      <c r="AJ42" s="1408"/>
      <c r="AK42" s="1418">
        <f t="shared" ref="AK42" si="54">SUM(AI42:AJ43)</f>
        <v>0</v>
      </c>
      <c r="AL42" s="1412"/>
      <c r="AM42" s="1420"/>
      <c r="AN42" s="1408"/>
      <c r="AO42" s="1418">
        <f t="shared" ref="AO42" si="55">SUM(AM42:AN43)</f>
        <v>0</v>
      </c>
      <c r="AP42" s="1428">
        <f t="shared" ref="AP42" si="56">SUM(F42,AD42,AH42,AL42)</f>
        <v>0</v>
      </c>
      <c r="AQ42" s="1416">
        <f t="shared" si="36"/>
        <v>0</v>
      </c>
      <c r="AR42" s="1414">
        <f t="shared" si="37"/>
        <v>0</v>
      </c>
      <c r="AS42" s="310"/>
      <c r="AT42" s="310"/>
      <c r="AU42" s="393">
        <f>IF(AV43=TRUE,G42*0.8,G42)</f>
        <v>1206.6395990017711</v>
      </c>
      <c r="AV42" s="383"/>
      <c r="AW42" s="312">
        <f t="shared" si="48"/>
        <v>1447.9675188021254</v>
      </c>
      <c r="AX42" s="312">
        <f t="shared" si="49"/>
        <v>1568.6314787023025</v>
      </c>
      <c r="AY42" s="312"/>
      <c r="AZ42" s="581"/>
      <c r="BA42" s="315"/>
      <c r="BB42" s="196" t="s">
        <v>912</v>
      </c>
      <c r="BC42" s="196" t="s">
        <v>1021</v>
      </c>
      <c r="BD42" s="313"/>
      <c r="BE42" s="313"/>
      <c r="BF42" s="313"/>
      <c r="BG42" s="313"/>
      <c r="BH42" s="313"/>
      <c r="BI42" s="313"/>
      <c r="BJ42" s="313"/>
      <c r="BK42" s="313"/>
      <c r="BL42" s="313"/>
      <c r="BM42" s="313"/>
      <c r="BN42" s="313"/>
      <c r="BO42" s="313"/>
      <c r="BP42" s="313"/>
      <c r="BQ42" s="313"/>
      <c r="BR42" s="313"/>
      <c r="BS42" s="313"/>
      <c r="BT42" s="313"/>
      <c r="BU42" s="313"/>
      <c r="BV42" s="313"/>
      <c r="BW42" s="313"/>
      <c r="BX42" s="313"/>
      <c r="BY42" s="313"/>
      <c r="BZ42" s="313"/>
      <c r="CA42" s="313"/>
      <c r="CB42" s="313"/>
      <c r="CC42" s="313"/>
      <c r="CD42" s="313"/>
      <c r="CE42" s="313"/>
    </row>
    <row r="43" spans="1:275" s="101" customFormat="1" ht="12.75" customHeight="1" x14ac:dyDescent="0.2">
      <c r="A43" s="1097"/>
      <c r="B43" s="1098" t="str">
        <f>IF(Stammblatt!$L$4=1,'Kalkulation Herstellungskosten'!BB43,'Kalkulation Herstellungskosten'!BC43)</f>
        <v xml:space="preserve">Wochenpauschale (§ 7 KV) </v>
      </c>
      <c r="C43" s="94">
        <v>0</v>
      </c>
      <c r="D43" s="386"/>
      <c r="E43" s="95"/>
      <c r="F43" s="1435"/>
      <c r="G43" s="96">
        <f>IF(Stammblatt!$I$9=TRUE,Kollektivvertrag!$E$60,Kollektivvertrag!E61)</f>
        <v>1671.1958446174528</v>
      </c>
      <c r="H43" s="842" t="str">
        <f t="shared" si="26"/>
        <v/>
      </c>
      <c r="I43" s="849" t="str">
        <f t="shared" si="27"/>
        <v/>
      </c>
      <c r="J43" s="745"/>
      <c r="K43" s="746"/>
      <c r="L43" s="390"/>
      <c r="M43" s="390"/>
      <c r="N43" s="334"/>
      <c r="O43" s="1405"/>
      <c r="P43" s="1431"/>
      <c r="Q43" s="1405"/>
      <c r="R43" s="1405"/>
      <c r="S43" s="514"/>
      <c r="T43" s="1405"/>
      <c r="U43" s="1405"/>
      <c r="V43" s="1433"/>
      <c r="W43" s="1433"/>
      <c r="X43" s="1405"/>
      <c r="Y43" s="1431"/>
      <c r="Z43" s="686"/>
      <c r="AA43" s="685"/>
      <c r="AB43" s="295"/>
      <c r="AC43" s="336"/>
      <c r="AD43" s="1411"/>
      <c r="AE43" s="1421"/>
      <c r="AF43" s="1409"/>
      <c r="AG43" s="1419"/>
      <c r="AH43" s="1411"/>
      <c r="AI43" s="1421"/>
      <c r="AJ43" s="1409"/>
      <c r="AK43" s="1419"/>
      <c r="AL43" s="1413"/>
      <c r="AM43" s="1421"/>
      <c r="AN43" s="1409"/>
      <c r="AO43" s="1419"/>
      <c r="AP43" s="1429"/>
      <c r="AQ43" s="1417">
        <f t="shared" si="36"/>
        <v>0</v>
      </c>
      <c r="AR43" s="1415">
        <f t="shared" si="37"/>
        <v>0</v>
      </c>
      <c r="AS43" s="310"/>
      <c r="AT43" s="310"/>
      <c r="AU43" s="393">
        <f t="shared" si="50"/>
        <v>1671.1958446174528</v>
      </c>
      <c r="AV43" s="383" t="b">
        <v>0</v>
      </c>
      <c r="AW43" s="312">
        <f t="shared" si="48"/>
        <v>2005.4350135409434</v>
      </c>
      <c r="AX43" s="312">
        <f t="shared" si="49"/>
        <v>2172.5545980026886</v>
      </c>
      <c r="AY43" s="312"/>
      <c r="AZ43" s="581"/>
      <c r="BA43" s="315"/>
      <c r="BB43" s="196" t="s">
        <v>45</v>
      </c>
      <c r="BC43" s="196" t="s">
        <v>1024</v>
      </c>
      <c r="BD43" s="313"/>
      <c r="BE43" s="313"/>
      <c r="BF43" s="313"/>
      <c r="BG43" s="313"/>
      <c r="BH43" s="313"/>
      <c r="BI43" s="313"/>
      <c r="BJ43" s="313"/>
      <c r="BK43" s="313"/>
      <c r="BL43" s="313"/>
      <c r="BM43" s="313"/>
      <c r="BN43" s="313"/>
      <c r="BO43" s="313"/>
      <c r="BP43" s="313"/>
      <c r="BQ43" s="313"/>
      <c r="BR43" s="313"/>
      <c r="BS43" s="313"/>
      <c r="BT43" s="313"/>
      <c r="BU43" s="313"/>
      <c r="BV43" s="313"/>
      <c r="BW43" s="313"/>
      <c r="BX43" s="313"/>
      <c r="BY43" s="313"/>
      <c r="BZ43" s="313"/>
      <c r="CA43" s="313"/>
      <c r="CB43" s="313"/>
      <c r="CC43" s="313"/>
      <c r="CD43" s="313"/>
      <c r="CE43" s="313"/>
    </row>
    <row r="44" spans="1:275" s="101" customFormat="1" ht="12.75" customHeight="1" x14ac:dyDescent="0.2">
      <c r="A44" s="1099">
        <v>19</v>
      </c>
      <c r="B44" s="1096" t="str">
        <f>IF(Stammblatt!$L$4=1,'Kalkulation Herstellungskosten'!BB44,'Kalkulation Herstellungskosten'!BC44)</f>
        <v>Motivaufnahmeleitung Assi</v>
      </c>
      <c r="C44" s="99">
        <v>0</v>
      </c>
      <c r="D44" s="391"/>
      <c r="E44" s="103"/>
      <c r="F44" s="1434">
        <f>C44*E44+C45*E45</f>
        <v>0</v>
      </c>
      <c r="G44" s="100">
        <f>IF(Stammblatt!$I$9=TRUE,Kollektivvertrag!$C$60,Kollektivvertrag!C62)</f>
        <v>929.16855060165233</v>
      </c>
      <c r="H44" s="841" t="str">
        <f t="shared" si="26"/>
        <v/>
      </c>
      <c r="I44" s="848" t="str">
        <f t="shared" si="27"/>
        <v/>
      </c>
      <c r="J44" s="751"/>
      <c r="K44" s="751"/>
      <c r="L44" s="556">
        <f>F44*J44</f>
        <v>0</v>
      </c>
      <c r="M44" s="557">
        <f>F44*K44</f>
        <v>0</v>
      </c>
      <c r="N44" s="558" t="str">
        <f>IF((L44+M44)&lt;&gt;F44,"?","")</f>
        <v/>
      </c>
      <c r="O44" s="1404"/>
      <c r="P44" s="1430"/>
      <c r="Q44" s="1404"/>
      <c r="R44" s="1404"/>
      <c r="S44" s="514"/>
      <c r="T44" s="1404"/>
      <c r="U44" s="1404"/>
      <c r="V44" s="1432">
        <f t="shared" ref="V44" si="57">SUM(T44:U45)</f>
        <v>0</v>
      </c>
      <c r="W44" s="1432">
        <f t="shared" ref="W44" si="58">F44-V44</f>
        <v>0</v>
      </c>
      <c r="X44" s="1404"/>
      <c r="Y44" s="1430"/>
      <c r="Z44" s="686"/>
      <c r="AA44" s="685"/>
      <c r="AB44" s="295"/>
      <c r="AC44" s="336"/>
      <c r="AD44" s="1410"/>
      <c r="AE44" s="1420"/>
      <c r="AF44" s="1408"/>
      <c r="AG44" s="1418">
        <f t="shared" ref="AG44" si="59">SUM(AE44:AF45)</f>
        <v>0</v>
      </c>
      <c r="AH44" s="1410"/>
      <c r="AI44" s="1420"/>
      <c r="AJ44" s="1408"/>
      <c r="AK44" s="1418">
        <f t="shared" ref="AK44" si="60">SUM(AI44:AJ45)</f>
        <v>0</v>
      </c>
      <c r="AL44" s="1412"/>
      <c r="AM44" s="1420"/>
      <c r="AN44" s="1408"/>
      <c r="AO44" s="1418">
        <f t="shared" ref="AO44" si="61">SUM(AM44:AN45)</f>
        <v>0</v>
      </c>
      <c r="AP44" s="1428">
        <f t="shared" ref="AP44" si="62">SUM(F44,AD44,AH44,AL44)</f>
        <v>0</v>
      </c>
      <c r="AQ44" s="1416">
        <f t="shared" si="36"/>
        <v>0</v>
      </c>
      <c r="AR44" s="1414">
        <f t="shared" si="37"/>
        <v>0</v>
      </c>
      <c r="AS44" s="310"/>
      <c r="AT44" s="310"/>
      <c r="AU44" s="393">
        <f>IF(AV45=TRUE,G44*0.8,G44)</f>
        <v>929.16855060165233</v>
      </c>
      <c r="AV44" s="383"/>
      <c r="AW44" s="312">
        <f t="shared" si="48"/>
        <v>1115.0022607219828</v>
      </c>
      <c r="AX44" s="312">
        <f t="shared" si="49"/>
        <v>1207.9191157821481</v>
      </c>
      <c r="AY44" s="312"/>
      <c r="AZ44" s="581"/>
      <c r="BA44" s="315"/>
      <c r="BB44" s="196" t="s">
        <v>913</v>
      </c>
      <c r="BC44" s="196" t="s">
        <v>1022</v>
      </c>
      <c r="BD44" s="313"/>
      <c r="BE44" s="313"/>
      <c r="BF44" s="313"/>
      <c r="BG44" s="313"/>
      <c r="BH44" s="313"/>
      <c r="BI44" s="313"/>
      <c r="BJ44" s="313"/>
      <c r="BK44" s="313"/>
      <c r="BL44" s="313"/>
      <c r="BM44" s="313"/>
      <c r="BN44" s="313"/>
      <c r="BO44" s="313"/>
      <c r="BP44" s="313"/>
      <c r="BQ44" s="313"/>
      <c r="BR44" s="313"/>
      <c r="BS44" s="313"/>
      <c r="BT44" s="313"/>
      <c r="BU44" s="313"/>
      <c r="BV44" s="313"/>
      <c r="BW44" s="313"/>
      <c r="BX44" s="313"/>
      <c r="BY44" s="313"/>
      <c r="BZ44" s="313"/>
      <c r="CA44" s="313"/>
      <c r="CB44" s="313"/>
      <c r="CC44" s="313"/>
      <c r="CD44" s="313"/>
      <c r="CE44" s="313"/>
    </row>
    <row r="45" spans="1:275" s="101" customFormat="1" ht="12.75" customHeight="1" x14ac:dyDescent="0.2">
      <c r="A45" s="1097"/>
      <c r="B45" s="1098" t="str">
        <f>IF(Stammblatt!$L$4=1,'Kalkulation Herstellungskosten'!BB45,'Kalkulation Herstellungskosten'!BC45)</f>
        <v xml:space="preserve">Wochenpauschale (§ 7 KV) </v>
      </c>
      <c r="C45" s="94">
        <v>0</v>
      </c>
      <c r="D45" s="391"/>
      <c r="E45" s="95"/>
      <c r="F45" s="1435"/>
      <c r="G45" s="96">
        <f>IF(Stammblatt!$I$9=TRUE,Kollektivvertrag!$E$60,Kollektivvertrag!E62)</f>
        <v>1286.8984425832884</v>
      </c>
      <c r="H45" s="842" t="str">
        <f t="shared" si="26"/>
        <v/>
      </c>
      <c r="I45" s="849" t="str">
        <f t="shared" si="27"/>
        <v/>
      </c>
      <c r="J45" s="745"/>
      <c r="K45" s="746"/>
      <c r="L45" s="390"/>
      <c r="M45" s="390"/>
      <c r="N45" s="334"/>
      <c r="O45" s="1405"/>
      <c r="P45" s="1431"/>
      <c r="Q45" s="1405"/>
      <c r="R45" s="1405"/>
      <c r="S45" s="514"/>
      <c r="T45" s="1405"/>
      <c r="U45" s="1405"/>
      <c r="V45" s="1433"/>
      <c r="W45" s="1433"/>
      <c r="X45" s="1405"/>
      <c r="Y45" s="1431"/>
      <c r="Z45" s="686"/>
      <c r="AA45" s="685"/>
      <c r="AB45" s="295"/>
      <c r="AC45" s="336"/>
      <c r="AD45" s="1411"/>
      <c r="AE45" s="1421"/>
      <c r="AF45" s="1409"/>
      <c r="AG45" s="1419"/>
      <c r="AH45" s="1411"/>
      <c r="AI45" s="1421"/>
      <c r="AJ45" s="1409"/>
      <c r="AK45" s="1419"/>
      <c r="AL45" s="1413"/>
      <c r="AM45" s="1421"/>
      <c r="AN45" s="1409"/>
      <c r="AO45" s="1419"/>
      <c r="AP45" s="1429"/>
      <c r="AQ45" s="1417">
        <f t="shared" si="36"/>
        <v>0</v>
      </c>
      <c r="AR45" s="1415">
        <f t="shared" si="37"/>
        <v>0</v>
      </c>
      <c r="AS45" s="310"/>
      <c r="AT45" s="310"/>
      <c r="AU45" s="393">
        <f t="shared" si="50"/>
        <v>1286.8984425832884</v>
      </c>
      <c r="AV45" s="383" t="b">
        <v>0</v>
      </c>
      <c r="AW45" s="312">
        <f t="shared" si="48"/>
        <v>1544.278131099946</v>
      </c>
      <c r="AX45" s="312">
        <f t="shared" si="49"/>
        <v>1672.967975358275</v>
      </c>
      <c r="AY45" s="312"/>
      <c r="AZ45" s="581"/>
      <c r="BA45" s="315"/>
      <c r="BB45" s="196" t="s">
        <v>45</v>
      </c>
      <c r="BC45" s="196" t="s">
        <v>1024</v>
      </c>
      <c r="BD45" s="313"/>
      <c r="BE45" s="313"/>
      <c r="BF45" s="313"/>
      <c r="BG45" s="313"/>
      <c r="BH45" s="313"/>
      <c r="BI45" s="313"/>
      <c r="BJ45" s="313"/>
      <c r="BK45" s="313"/>
      <c r="BL45" s="313"/>
      <c r="BM45" s="313"/>
      <c r="BN45" s="313"/>
      <c r="BO45" s="313"/>
      <c r="BP45" s="313"/>
      <c r="BQ45" s="313"/>
      <c r="BR45" s="313"/>
      <c r="BS45" s="313"/>
      <c r="BT45" s="313"/>
      <c r="BU45" s="313"/>
      <c r="BV45" s="313"/>
      <c r="BW45" s="313"/>
      <c r="BX45" s="313"/>
      <c r="BY45" s="313"/>
      <c r="BZ45" s="313"/>
      <c r="CA45" s="313"/>
      <c r="CB45" s="313"/>
      <c r="CC45" s="313"/>
      <c r="CD45" s="313"/>
      <c r="CE45" s="313"/>
    </row>
    <row r="46" spans="1:275" s="101" customFormat="1" ht="12.75" customHeight="1" x14ac:dyDescent="0.2">
      <c r="A46" s="1099">
        <v>20</v>
      </c>
      <c r="B46" s="1096" t="str">
        <f>IF(Stammblatt!$L$4=1,'Kalkulation Herstellungskosten'!BB46,'Kalkulation Herstellungskosten'!BC46)</f>
        <v>Produktionskoordination</v>
      </c>
      <c r="C46" s="99">
        <v>0</v>
      </c>
      <c r="D46" s="385"/>
      <c r="E46" s="103"/>
      <c r="F46" s="1434">
        <f>C46*E46+C47*E47</f>
        <v>0</v>
      </c>
      <c r="G46" s="100">
        <f>IF(Stammblatt!$I$9=TRUE,Kollektivvertrag!$C$60,Kollektivvertrag!C34)</f>
        <v>1178.181799288692</v>
      </c>
      <c r="H46" s="841" t="str">
        <f t="shared" si="26"/>
        <v/>
      </c>
      <c r="I46" s="848" t="str">
        <f t="shared" si="27"/>
        <v/>
      </c>
      <c r="J46" s="751"/>
      <c r="K46" s="751"/>
      <c r="L46" s="556">
        <f>F46*J46</f>
        <v>0</v>
      </c>
      <c r="M46" s="557">
        <f>F46*K46</f>
        <v>0</v>
      </c>
      <c r="N46" s="558" t="str">
        <f>IF((L46+M46)&lt;&gt;F46,"?","")</f>
        <v/>
      </c>
      <c r="O46" s="1404"/>
      <c r="P46" s="1430"/>
      <c r="Q46" s="1406"/>
      <c r="R46" s="1404"/>
      <c r="S46" s="514"/>
      <c r="T46" s="1404"/>
      <c r="U46" s="1404"/>
      <c r="V46" s="1432">
        <f>SUM(T46:U47)</f>
        <v>0</v>
      </c>
      <c r="W46" s="1432">
        <f>F46-V46</f>
        <v>0</v>
      </c>
      <c r="X46" s="1404"/>
      <c r="Y46" s="1430"/>
      <c r="Z46" s="1406"/>
      <c r="AA46" s="1404"/>
      <c r="AB46" s="295"/>
      <c r="AC46" s="336"/>
      <c r="AD46" s="1410"/>
      <c r="AE46" s="1420"/>
      <c r="AF46" s="1408"/>
      <c r="AG46" s="1418">
        <f>SUM(AE46:AF47)</f>
        <v>0</v>
      </c>
      <c r="AH46" s="1410"/>
      <c r="AI46" s="1420"/>
      <c r="AJ46" s="1408"/>
      <c r="AK46" s="1418">
        <f>SUM(AI46:AJ47)</f>
        <v>0</v>
      </c>
      <c r="AL46" s="1412"/>
      <c r="AM46" s="1420"/>
      <c r="AN46" s="1408"/>
      <c r="AO46" s="1418">
        <f t="shared" ref="AO46" si="63">SUM(AM46:AN47)</f>
        <v>0</v>
      </c>
      <c r="AP46" s="1428">
        <f t="shared" ref="AP46" si="64">SUM(F46,AD46,AH46,AL46)</f>
        <v>0</v>
      </c>
      <c r="AQ46" s="1416">
        <f t="shared" si="36"/>
        <v>0</v>
      </c>
      <c r="AR46" s="1414">
        <f t="shared" si="37"/>
        <v>0</v>
      </c>
      <c r="AS46" s="310"/>
      <c r="AT46" s="310"/>
      <c r="AU46" s="393">
        <f>IF(AV47=TRUE,G46*0.8,G46)</f>
        <v>1178.181799288692</v>
      </c>
      <c r="AV46" s="383"/>
      <c r="AW46" s="312">
        <f t="shared" si="40"/>
        <v>1413.8181591464304</v>
      </c>
      <c r="AX46" s="312">
        <f t="shared" si="41"/>
        <v>1531.6363390752997</v>
      </c>
      <c r="AY46" s="312"/>
      <c r="AZ46" s="581"/>
      <c r="BA46" s="312"/>
      <c r="BB46" s="196" t="s">
        <v>585</v>
      </c>
      <c r="BC46" s="196" t="s">
        <v>601</v>
      </c>
      <c r="BD46" s="313"/>
      <c r="BE46" s="313"/>
      <c r="BF46" s="313"/>
      <c r="BG46" s="313"/>
      <c r="BH46" s="313"/>
      <c r="BI46" s="313"/>
      <c r="BJ46" s="313"/>
      <c r="BK46" s="313"/>
      <c r="BL46" s="313"/>
      <c r="BM46" s="313"/>
      <c r="BN46" s="313"/>
      <c r="BO46" s="313"/>
      <c r="BP46" s="313"/>
      <c r="BQ46" s="313"/>
      <c r="BR46" s="313"/>
      <c r="BS46" s="313"/>
      <c r="BT46" s="313"/>
      <c r="BU46" s="313"/>
      <c r="BV46" s="313"/>
      <c r="BW46" s="313"/>
      <c r="BX46" s="313"/>
      <c r="BY46" s="313"/>
      <c r="BZ46" s="313"/>
      <c r="CA46" s="313"/>
      <c r="CB46" s="313"/>
      <c r="CC46" s="313"/>
      <c r="CD46" s="313"/>
      <c r="CE46" s="313"/>
    </row>
    <row r="47" spans="1:275" s="101" customFormat="1" ht="12.75" customHeight="1" x14ac:dyDescent="0.2">
      <c r="A47" s="1097"/>
      <c r="B47" s="1098" t="str">
        <f>IF(Stammblatt!$L$4=1,'Kalkulation Herstellungskosten'!BB47,'Kalkulation Herstellungskosten'!BC47)</f>
        <v xml:space="preserve">Wochenpauschale (§ 7 KV) </v>
      </c>
      <c r="C47" s="94">
        <v>0</v>
      </c>
      <c r="D47" s="386"/>
      <c r="E47" s="95"/>
      <c r="F47" s="1435"/>
      <c r="G47" s="96">
        <f>IF(Stammblatt!$I$9=TRUE,Kollektivvertrag!$E$60,Kollektivvertrag!E34)</f>
        <v>1631.7817920148384</v>
      </c>
      <c r="H47" s="842" t="str">
        <f t="shared" si="26"/>
        <v/>
      </c>
      <c r="I47" s="849" t="str">
        <f t="shared" si="27"/>
        <v/>
      </c>
      <c r="J47" s="747"/>
      <c r="K47" s="748"/>
      <c r="L47" s="359"/>
      <c r="M47" s="359"/>
      <c r="N47" s="334"/>
      <c r="O47" s="1405"/>
      <c r="P47" s="1431"/>
      <c r="Q47" s="1407"/>
      <c r="R47" s="1405"/>
      <c r="S47" s="514"/>
      <c r="T47" s="1405"/>
      <c r="U47" s="1405"/>
      <c r="V47" s="1433"/>
      <c r="W47" s="1433"/>
      <c r="X47" s="1405"/>
      <c r="Y47" s="1431"/>
      <c r="Z47" s="1407"/>
      <c r="AA47" s="1405"/>
      <c r="AB47" s="295"/>
      <c r="AC47" s="336"/>
      <c r="AD47" s="1411"/>
      <c r="AE47" s="1421"/>
      <c r="AF47" s="1409"/>
      <c r="AG47" s="1419"/>
      <c r="AH47" s="1411"/>
      <c r="AI47" s="1421"/>
      <c r="AJ47" s="1409"/>
      <c r="AK47" s="1419"/>
      <c r="AL47" s="1413"/>
      <c r="AM47" s="1421"/>
      <c r="AN47" s="1409"/>
      <c r="AO47" s="1419"/>
      <c r="AP47" s="1429"/>
      <c r="AQ47" s="1417">
        <f t="shared" si="36"/>
        <v>0</v>
      </c>
      <c r="AR47" s="1415">
        <f t="shared" si="37"/>
        <v>0</v>
      </c>
      <c r="AS47" s="310"/>
      <c r="AT47" s="310"/>
      <c r="AU47" s="393">
        <f>IF(AV47=TRUE,G47*0.8,G47)</f>
        <v>1631.7817920148384</v>
      </c>
      <c r="AV47" s="383" t="b">
        <v>0</v>
      </c>
      <c r="AW47" s="312">
        <f t="shared" si="40"/>
        <v>1958.1381504178059</v>
      </c>
      <c r="AX47" s="312">
        <f t="shared" si="41"/>
        <v>2121.3163296192902</v>
      </c>
      <c r="AY47" s="312"/>
      <c r="AZ47" s="581"/>
      <c r="BA47" s="315"/>
      <c r="BB47" s="196" t="s">
        <v>45</v>
      </c>
      <c r="BC47" s="196" t="s">
        <v>1024</v>
      </c>
      <c r="BD47" s="313"/>
      <c r="BE47" s="313"/>
      <c r="BF47" s="313"/>
      <c r="BG47" s="313"/>
      <c r="BH47" s="313"/>
      <c r="BI47" s="313"/>
      <c r="BJ47" s="313"/>
      <c r="BK47" s="313"/>
      <c r="BL47" s="313"/>
      <c r="BM47" s="313"/>
      <c r="BN47" s="313"/>
      <c r="BO47" s="313"/>
      <c r="BP47" s="313"/>
      <c r="BQ47" s="313"/>
      <c r="BR47" s="313"/>
      <c r="BS47" s="313"/>
      <c r="BT47" s="313"/>
      <c r="BU47" s="313"/>
      <c r="BV47" s="313"/>
      <c r="BW47" s="313"/>
      <c r="BX47" s="313"/>
      <c r="BY47" s="313"/>
      <c r="BZ47" s="313"/>
      <c r="CA47" s="313"/>
      <c r="CB47" s="313"/>
      <c r="CC47" s="313"/>
      <c r="CD47" s="313"/>
      <c r="CE47" s="313"/>
    </row>
    <row r="48" spans="1:275" s="101" customFormat="1" ht="12.75" customHeight="1" x14ac:dyDescent="0.2">
      <c r="A48" s="1099">
        <v>21</v>
      </c>
      <c r="B48" s="1096" t="str">
        <f>IF(Stammblatt!$L$4=1,'Kalkulation Herstellungskosten'!BB48,'Kalkulation Herstellungskosten'!BC48)</f>
        <v>Postproduktionskoordination</v>
      </c>
      <c r="C48" s="99">
        <v>0</v>
      </c>
      <c r="D48" s="385"/>
      <c r="E48" s="103"/>
      <c r="F48" s="1434">
        <f>C48*E48+C49*E49</f>
        <v>0</v>
      </c>
      <c r="G48" s="100">
        <f>IF(Stammblatt!$I$9=TRUE,Kollektivvertrag!$C$60,Kollektivvertrag!C35)</f>
        <v>1414.62502759124</v>
      </c>
      <c r="H48" s="841" t="str">
        <f t="shared" si="26"/>
        <v/>
      </c>
      <c r="I48" s="848" t="str">
        <f t="shared" si="27"/>
        <v/>
      </c>
      <c r="J48" s="751"/>
      <c r="K48" s="751"/>
      <c r="L48" s="556">
        <f>F48*J48</f>
        <v>0</v>
      </c>
      <c r="M48" s="557">
        <f>F48*K48</f>
        <v>0</v>
      </c>
      <c r="N48" s="558" t="str">
        <f>IF((L48+M48)&lt;&gt;F48,"?","")</f>
        <v/>
      </c>
      <c r="O48" s="1404"/>
      <c r="P48" s="1430"/>
      <c r="Q48" s="1404"/>
      <c r="R48" s="1404"/>
      <c r="S48" s="514"/>
      <c r="T48" s="1404"/>
      <c r="U48" s="1404"/>
      <c r="V48" s="1432">
        <f>SUM(T48:U49)</f>
        <v>0</v>
      </c>
      <c r="W48" s="1432">
        <f>F48-V48</f>
        <v>0</v>
      </c>
      <c r="X48" s="1404"/>
      <c r="Y48" s="1430"/>
      <c r="Z48" s="1404"/>
      <c r="AA48" s="1404"/>
      <c r="AB48" s="295"/>
      <c r="AC48" s="336"/>
      <c r="AD48" s="1410"/>
      <c r="AE48" s="1420"/>
      <c r="AF48" s="1408"/>
      <c r="AG48" s="1418">
        <f>SUM(AE48:AF49)</f>
        <v>0</v>
      </c>
      <c r="AH48" s="1410"/>
      <c r="AI48" s="1420"/>
      <c r="AJ48" s="1408"/>
      <c r="AK48" s="1418">
        <f>SUM(AI48:AJ49)</f>
        <v>0</v>
      </c>
      <c r="AL48" s="1412"/>
      <c r="AM48" s="1420"/>
      <c r="AN48" s="1408"/>
      <c r="AO48" s="1418">
        <f t="shared" ref="AO48" si="65">SUM(AM48:AN49)</f>
        <v>0</v>
      </c>
      <c r="AP48" s="1428">
        <f t="shared" ref="AP48" si="66">SUM(F48,AD48,AH48,AL48)</f>
        <v>0</v>
      </c>
      <c r="AQ48" s="1416">
        <f t="shared" si="36"/>
        <v>0</v>
      </c>
      <c r="AR48" s="1414">
        <f t="shared" si="37"/>
        <v>0</v>
      </c>
      <c r="AS48" s="310"/>
      <c r="AT48" s="310"/>
      <c r="AU48" s="393">
        <f>IF(AV49=TRUE,G48*0.8,G48)</f>
        <v>1414.62502759124</v>
      </c>
      <c r="AV48" s="383"/>
      <c r="AW48" s="312">
        <f t="shared" si="40"/>
        <v>1697.5500331094879</v>
      </c>
      <c r="AX48" s="312">
        <f t="shared" si="41"/>
        <v>1839.0125358686121</v>
      </c>
      <c r="AY48" s="312"/>
      <c r="AZ48" s="581"/>
      <c r="BA48" s="312"/>
      <c r="BB48" s="196" t="s">
        <v>586</v>
      </c>
      <c r="BC48" s="196" t="s">
        <v>531</v>
      </c>
      <c r="BD48" s="313"/>
      <c r="BE48" s="313"/>
      <c r="BF48" s="313"/>
      <c r="BG48" s="313"/>
      <c r="BH48" s="313"/>
      <c r="BI48" s="313"/>
      <c r="BJ48" s="313"/>
      <c r="BK48" s="313"/>
      <c r="BL48" s="313"/>
      <c r="BM48" s="313"/>
      <c r="BN48" s="313"/>
      <c r="BO48" s="313"/>
      <c r="BP48" s="313"/>
      <c r="BQ48" s="313"/>
      <c r="BR48" s="313"/>
      <c r="BS48" s="313"/>
      <c r="BT48" s="313"/>
      <c r="BU48" s="313"/>
      <c r="BV48" s="313"/>
      <c r="BW48" s="313"/>
      <c r="BX48" s="313"/>
      <c r="BY48" s="313"/>
      <c r="BZ48" s="313"/>
      <c r="CA48" s="313"/>
      <c r="CB48" s="313"/>
      <c r="CC48" s="313"/>
      <c r="CD48" s="313"/>
      <c r="CE48" s="313"/>
    </row>
    <row r="49" spans="1:83" s="101" customFormat="1" ht="12.75" customHeight="1" x14ac:dyDescent="0.2">
      <c r="A49" s="1097"/>
      <c r="B49" s="1098" t="str">
        <f>IF(Stammblatt!$L$4=1,'Kalkulation Herstellungskosten'!BB49,'Kalkulation Herstellungskosten'!BC49)</f>
        <v xml:space="preserve">Wochenpauschale (§ 7 KV) </v>
      </c>
      <c r="C49" s="94">
        <v>0</v>
      </c>
      <c r="D49" s="386"/>
      <c r="E49" s="95"/>
      <c r="F49" s="1435"/>
      <c r="G49" s="96">
        <f>IF(Stammblatt!$I$9=TRUE,Kollektivvertrag!$E$60,Kollektivvertrag!E35)</f>
        <v>1959.2556632138676</v>
      </c>
      <c r="H49" s="842" t="str">
        <f t="shared" si="26"/>
        <v/>
      </c>
      <c r="I49" s="849" t="str">
        <f t="shared" si="27"/>
        <v/>
      </c>
      <c r="J49" s="745"/>
      <c r="K49" s="746"/>
      <c r="L49" s="390"/>
      <c r="M49" s="390"/>
      <c r="N49" s="334"/>
      <c r="O49" s="1405"/>
      <c r="P49" s="1431"/>
      <c r="Q49" s="1405"/>
      <c r="R49" s="1405"/>
      <c r="S49" s="514"/>
      <c r="T49" s="1405"/>
      <c r="U49" s="1405"/>
      <c r="V49" s="1433"/>
      <c r="W49" s="1433"/>
      <c r="X49" s="1405"/>
      <c r="Y49" s="1431"/>
      <c r="Z49" s="1405"/>
      <c r="AA49" s="1405"/>
      <c r="AB49" s="295"/>
      <c r="AC49" s="336"/>
      <c r="AD49" s="1411"/>
      <c r="AE49" s="1421"/>
      <c r="AF49" s="1409"/>
      <c r="AG49" s="1419"/>
      <c r="AH49" s="1411"/>
      <c r="AI49" s="1421"/>
      <c r="AJ49" s="1409"/>
      <c r="AK49" s="1419"/>
      <c r="AL49" s="1413"/>
      <c r="AM49" s="1421"/>
      <c r="AN49" s="1409"/>
      <c r="AO49" s="1419"/>
      <c r="AP49" s="1429"/>
      <c r="AQ49" s="1417">
        <f t="shared" si="36"/>
        <v>0</v>
      </c>
      <c r="AR49" s="1415">
        <f t="shared" si="37"/>
        <v>0</v>
      </c>
      <c r="AS49" s="310"/>
      <c r="AT49" s="310"/>
      <c r="AU49" s="393">
        <f>IF(AV49=TRUE,G49*0.8,G49)</f>
        <v>1959.2556632138676</v>
      </c>
      <c r="AV49" s="383" t="b">
        <v>0</v>
      </c>
      <c r="AW49" s="312">
        <f t="shared" si="40"/>
        <v>2351.1067958566409</v>
      </c>
      <c r="AX49" s="312">
        <f t="shared" si="41"/>
        <v>2547.0323621780281</v>
      </c>
      <c r="AY49" s="312"/>
      <c r="AZ49" s="581"/>
      <c r="BA49" s="315"/>
      <c r="BB49" s="196" t="s">
        <v>45</v>
      </c>
      <c r="BC49" s="196" t="s">
        <v>1024</v>
      </c>
      <c r="BD49" s="313"/>
      <c r="BE49" s="313"/>
      <c r="BF49" s="313"/>
      <c r="BG49" s="313"/>
      <c r="BH49" s="313"/>
      <c r="BI49" s="313"/>
      <c r="BJ49" s="313"/>
      <c r="BK49" s="313"/>
      <c r="BL49" s="313"/>
      <c r="BM49" s="313"/>
      <c r="BN49" s="313"/>
      <c r="BO49" s="313"/>
      <c r="BP49" s="313"/>
      <c r="BQ49" s="313"/>
      <c r="BR49" s="313"/>
      <c r="BS49" s="313"/>
      <c r="BT49" s="313"/>
      <c r="BU49" s="313"/>
      <c r="BV49" s="313"/>
      <c r="BW49" s="313"/>
      <c r="BX49" s="313"/>
      <c r="BY49" s="313"/>
      <c r="BZ49" s="313"/>
      <c r="CA49" s="313"/>
      <c r="CB49" s="313"/>
      <c r="CC49" s="313"/>
      <c r="CD49" s="313"/>
      <c r="CE49" s="313"/>
    </row>
    <row r="50" spans="1:83" s="101" customFormat="1" ht="12.75" customHeight="1" x14ac:dyDescent="0.2">
      <c r="A50" s="1099">
        <v>22</v>
      </c>
      <c r="B50" s="1096" t="str">
        <f>IF(Stammblatt!$L$4=1,'Kalkulation Herstellungskosten'!BB50,'Kalkulation Herstellungskosten'!BC50)</f>
        <v>Produktionsassistenz</v>
      </c>
      <c r="C50" s="99">
        <v>0</v>
      </c>
      <c r="D50" s="385"/>
      <c r="E50" s="103"/>
      <c r="F50" s="1434">
        <f>C50*E50+C51*E51</f>
        <v>0</v>
      </c>
      <c r="G50" s="100">
        <f>IF(Stammblatt!$I$9=TRUE,Kollektivvertrag!$C$60,Kollektivvertrag!C23)</f>
        <v>1007.421868661481</v>
      </c>
      <c r="H50" s="841" t="str">
        <f t="shared" si="26"/>
        <v/>
      </c>
      <c r="I50" s="848" t="str">
        <f t="shared" si="27"/>
        <v/>
      </c>
      <c r="J50" s="751"/>
      <c r="K50" s="751"/>
      <c r="L50" s="556">
        <f>F50*J50</f>
        <v>0</v>
      </c>
      <c r="M50" s="557">
        <f>F50*K50</f>
        <v>0</v>
      </c>
      <c r="N50" s="558" t="str">
        <f>IF((L50+M50)&lt;&gt;F50,"?","")</f>
        <v/>
      </c>
      <c r="O50" s="1404"/>
      <c r="P50" s="1430"/>
      <c r="Q50" s="1406"/>
      <c r="R50" s="1404"/>
      <c r="S50" s="514"/>
      <c r="T50" s="1404"/>
      <c r="U50" s="1404"/>
      <c r="V50" s="1432">
        <f>SUM(T50:U51)</f>
        <v>0</v>
      </c>
      <c r="W50" s="1432">
        <f>F50-V50</f>
        <v>0</v>
      </c>
      <c r="X50" s="1404"/>
      <c r="Y50" s="1430"/>
      <c r="Z50" s="1406"/>
      <c r="AA50" s="1404"/>
      <c r="AB50" s="295"/>
      <c r="AC50" s="336"/>
      <c r="AD50" s="1410"/>
      <c r="AE50" s="1420"/>
      <c r="AF50" s="1408"/>
      <c r="AG50" s="1418">
        <f>SUM(AE50:AF51)</f>
        <v>0</v>
      </c>
      <c r="AH50" s="1410"/>
      <c r="AI50" s="1420"/>
      <c r="AJ50" s="1408"/>
      <c r="AK50" s="1418">
        <f>SUM(AI50:AJ51)</f>
        <v>0</v>
      </c>
      <c r="AL50" s="1412"/>
      <c r="AM50" s="1420"/>
      <c r="AN50" s="1408"/>
      <c r="AO50" s="1418">
        <f t="shared" ref="AO50" si="67">SUM(AM50:AN51)</f>
        <v>0</v>
      </c>
      <c r="AP50" s="1428">
        <f t="shared" ref="AP50" si="68">SUM(F50,AD50,AH50,AL50)</f>
        <v>0</v>
      </c>
      <c r="AQ50" s="1416">
        <f t="shared" si="36"/>
        <v>0</v>
      </c>
      <c r="AR50" s="1414">
        <f t="shared" si="37"/>
        <v>0</v>
      </c>
      <c r="AS50" s="310"/>
      <c r="AT50" s="310"/>
      <c r="AU50" s="393">
        <f>IF(AV51=TRUE,G50*0.8,G50)</f>
        <v>1007.421868661481</v>
      </c>
      <c r="AV50" s="383"/>
      <c r="AW50" s="312">
        <f t="shared" si="40"/>
        <v>1208.9062423937771</v>
      </c>
      <c r="AX50" s="312">
        <f t="shared" si="41"/>
        <v>1309.6484292599253</v>
      </c>
      <c r="AY50" s="312"/>
      <c r="AZ50" s="581"/>
      <c r="BA50" s="315"/>
      <c r="BB50" s="196" t="s">
        <v>581</v>
      </c>
      <c r="BC50" s="196" t="s">
        <v>602</v>
      </c>
      <c r="BD50" s="313"/>
      <c r="BE50" s="313"/>
      <c r="BF50" s="313"/>
      <c r="BG50" s="313"/>
      <c r="BH50" s="313"/>
      <c r="BI50" s="313"/>
      <c r="BJ50" s="313"/>
      <c r="BK50" s="313"/>
      <c r="BL50" s="313"/>
      <c r="BM50" s="313"/>
      <c r="BN50" s="313"/>
      <c r="BO50" s="313"/>
      <c r="BP50" s="313"/>
      <c r="BQ50" s="313"/>
      <c r="BR50" s="313"/>
      <c r="BS50" s="313"/>
      <c r="BT50" s="313"/>
      <c r="BU50" s="313"/>
      <c r="BV50" s="313"/>
      <c r="BW50" s="313"/>
      <c r="BX50" s="313"/>
      <c r="BY50" s="313"/>
      <c r="BZ50" s="313"/>
      <c r="CA50" s="313"/>
      <c r="CB50" s="313"/>
      <c r="CC50" s="313"/>
      <c r="CD50" s="313"/>
      <c r="CE50" s="313"/>
    </row>
    <row r="51" spans="1:83" s="101" customFormat="1" ht="12.75" customHeight="1" x14ac:dyDescent="0.2">
      <c r="A51" s="1097"/>
      <c r="B51" s="1098" t="str">
        <f>IF(Stammblatt!$L$4=1,'Kalkulation Herstellungskosten'!BB51,'Kalkulation Herstellungskosten'!BC51)</f>
        <v xml:space="preserve">Wochenpauschale (§ 7 KV) </v>
      </c>
      <c r="C51" s="94">
        <v>0</v>
      </c>
      <c r="D51" s="386"/>
      <c r="E51" s="95"/>
      <c r="F51" s="1435"/>
      <c r="G51" s="96">
        <f>IF(Stammblatt!$I$9=TRUE,Kollektivvertrag!$E$60,Kollektivvertrag!E23)</f>
        <v>1395.279288096151</v>
      </c>
      <c r="H51" s="842" t="str">
        <f t="shared" si="26"/>
        <v/>
      </c>
      <c r="I51" s="849" t="str">
        <f t="shared" si="27"/>
        <v/>
      </c>
      <c r="J51" s="747"/>
      <c r="K51" s="748"/>
      <c r="L51" s="359"/>
      <c r="M51" s="359"/>
      <c r="N51" s="334"/>
      <c r="O51" s="1405"/>
      <c r="P51" s="1431"/>
      <c r="Q51" s="1407"/>
      <c r="R51" s="1405"/>
      <c r="S51" s="514"/>
      <c r="T51" s="1405"/>
      <c r="U51" s="1405"/>
      <c r="V51" s="1433"/>
      <c r="W51" s="1433"/>
      <c r="X51" s="1405"/>
      <c r="Y51" s="1431"/>
      <c r="Z51" s="1407"/>
      <c r="AA51" s="1405"/>
      <c r="AB51" s="295"/>
      <c r="AC51" s="336"/>
      <c r="AD51" s="1411"/>
      <c r="AE51" s="1421"/>
      <c r="AF51" s="1409"/>
      <c r="AG51" s="1419"/>
      <c r="AH51" s="1411"/>
      <c r="AI51" s="1421"/>
      <c r="AJ51" s="1409"/>
      <c r="AK51" s="1419"/>
      <c r="AL51" s="1413"/>
      <c r="AM51" s="1421"/>
      <c r="AN51" s="1409"/>
      <c r="AO51" s="1419"/>
      <c r="AP51" s="1429"/>
      <c r="AQ51" s="1417">
        <f t="shared" si="36"/>
        <v>0</v>
      </c>
      <c r="AR51" s="1415">
        <f t="shared" si="37"/>
        <v>0</v>
      </c>
      <c r="AS51" s="310"/>
      <c r="AT51" s="310"/>
      <c r="AU51" s="393">
        <f>IF(AV51=TRUE,G51*0.8,G51)</f>
        <v>1395.279288096151</v>
      </c>
      <c r="AV51" s="383" t="b">
        <v>0</v>
      </c>
      <c r="AW51" s="312">
        <f t="shared" si="40"/>
        <v>1674.3351457153813</v>
      </c>
      <c r="AX51" s="312">
        <f t="shared" si="41"/>
        <v>1813.8630745249964</v>
      </c>
      <c r="AY51" s="312"/>
      <c r="AZ51" s="581"/>
      <c r="BA51" s="315"/>
      <c r="BB51" s="196" t="s">
        <v>45</v>
      </c>
      <c r="BC51" s="196" t="s">
        <v>1024</v>
      </c>
      <c r="BD51" s="313"/>
      <c r="BE51" s="313"/>
      <c r="BF51" s="313"/>
      <c r="BG51" s="313"/>
      <c r="BH51" s="313"/>
      <c r="BI51" s="313"/>
      <c r="BJ51" s="313"/>
      <c r="BK51" s="313"/>
      <c r="BL51" s="313"/>
      <c r="BM51" s="313"/>
      <c r="BN51" s="313"/>
      <c r="BO51" s="313"/>
      <c r="BP51" s="313"/>
      <c r="BQ51" s="313"/>
      <c r="BR51" s="313"/>
      <c r="BS51" s="313"/>
      <c r="BT51" s="313"/>
      <c r="BU51" s="313"/>
      <c r="BV51" s="313"/>
      <c r="BW51" s="313"/>
      <c r="BX51" s="313"/>
      <c r="BY51" s="313"/>
      <c r="BZ51" s="313"/>
      <c r="CA51" s="313"/>
      <c r="CB51" s="313"/>
      <c r="CC51" s="313"/>
      <c r="CD51" s="313"/>
      <c r="CE51" s="313"/>
    </row>
    <row r="52" spans="1:83" s="101" customFormat="1" ht="12.75" customHeight="1" x14ac:dyDescent="0.2">
      <c r="A52" s="1099">
        <v>23</v>
      </c>
      <c r="B52" s="1096" t="str">
        <f>IF(Stammblatt!$L$4=1,'Kalkulation Herstellungskosten'!BB52,'Kalkulation Herstellungskosten'!BC52)</f>
        <v>Filmgeschäftsführung</v>
      </c>
      <c r="C52" s="99">
        <v>0</v>
      </c>
      <c r="D52" s="385"/>
      <c r="E52" s="103"/>
      <c r="F52" s="1434">
        <f>C52*E52+C53*E53</f>
        <v>0</v>
      </c>
      <c r="G52" s="100">
        <f ca="1">IF(AND(Stammblatt!$I$9=TRUE,GHSTK&lt;=1220000),Kollektivvertrag!$C$60,IF(AND(Stammblatt!$I$9=TRUE,GHSTK&lt;=1570000),Kollektivvertrag!C22/2,Kollektivvertrag!C22))</f>
        <v>1655.417863833401</v>
      </c>
      <c r="H52" s="841" t="str">
        <f t="shared" ca="1" si="26"/>
        <v/>
      </c>
      <c r="I52" s="848" t="str">
        <f t="shared" si="27"/>
        <v/>
      </c>
      <c r="J52" s="751"/>
      <c r="K52" s="751"/>
      <c r="L52" s="556">
        <f>F52*J52</f>
        <v>0</v>
      </c>
      <c r="M52" s="557">
        <f>F52*K52</f>
        <v>0</v>
      </c>
      <c r="N52" s="558" t="str">
        <f>IF((L52+M52)&lt;&gt;F52,"?","")</f>
        <v/>
      </c>
      <c r="O52" s="1404"/>
      <c r="P52" s="1430"/>
      <c r="Q52" s="1406"/>
      <c r="R52" s="1404"/>
      <c r="S52" s="514"/>
      <c r="T52" s="1404"/>
      <c r="U52" s="1404"/>
      <c r="V52" s="1432">
        <f>SUM(T52:U53)</f>
        <v>0</v>
      </c>
      <c r="W52" s="1432">
        <f>F52-V52</f>
        <v>0</v>
      </c>
      <c r="X52" s="1404"/>
      <c r="Y52" s="1430"/>
      <c r="Z52" s="1406"/>
      <c r="AA52" s="1404"/>
      <c r="AB52" s="295"/>
      <c r="AC52" s="336"/>
      <c r="AD52" s="1410"/>
      <c r="AE52" s="1420"/>
      <c r="AF52" s="1408"/>
      <c r="AG52" s="1418">
        <f>SUM(AE52:AF53)</f>
        <v>0</v>
      </c>
      <c r="AH52" s="1410"/>
      <c r="AI52" s="1420"/>
      <c r="AJ52" s="1408"/>
      <c r="AK52" s="1418">
        <f>SUM(AI52:AJ53)</f>
        <v>0</v>
      </c>
      <c r="AL52" s="1412"/>
      <c r="AM52" s="1420"/>
      <c r="AN52" s="1408"/>
      <c r="AO52" s="1418">
        <f t="shared" ref="AO52" si="69">SUM(AM52:AN53)</f>
        <v>0</v>
      </c>
      <c r="AP52" s="1428">
        <f>SUM(F52,AD52,AH52,AL52)</f>
        <v>0</v>
      </c>
      <c r="AQ52" s="1416">
        <f t="shared" si="36"/>
        <v>0</v>
      </c>
      <c r="AR52" s="1414">
        <f t="shared" si="37"/>
        <v>0</v>
      </c>
      <c r="AS52" s="310"/>
      <c r="AT52" s="310"/>
      <c r="AU52" s="393">
        <f ca="1">IF(AV53=TRUE,G52*0.8,G52)</f>
        <v>1655.417863833401</v>
      </c>
      <c r="AV52" s="383"/>
      <c r="AW52" s="312">
        <f t="shared" ca="1" si="40"/>
        <v>1986.5014366000812</v>
      </c>
      <c r="AX52" s="312">
        <f t="shared" ca="1" si="41"/>
        <v>2152.0432229834214</v>
      </c>
      <c r="AY52" s="312"/>
      <c r="AZ52" s="581"/>
      <c r="BA52" s="312"/>
      <c r="BB52" s="196" t="s">
        <v>180</v>
      </c>
      <c r="BC52" s="196" t="s">
        <v>282</v>
      </c>
      <c r="BD52" s="313"/>
      <c r="BE52" s="313"/>
      <c r="BF52" s="313"/>
      <c r="BG52" s="313"/>
      <c r="BH52" s="313"/>
      <c r="BI52" s="313"/>
      <c r="BJ52" s="313"/>
      <c r="BK52" s="313"/>
      <c r="BL52" s="313"/>
      <c r="BM52" s="313"/>
      <c r="BN52" s="313"/>
      <c r="BO52" s="313"/>
      <c r="BP52" s="313"/>
      <c r="BQ52" s="313"/>
      <c r="BR52" s="313"/>
      <c r="BS52" s="313"/>
      <c r="BT52" s="313"/>
      <c r="BU52" s="313"/>
      <c r="BV52" s="313"/>
      <c r="BW52" s="313"/>
      <c r="BX52" s="313"/>
      <c r="BY52" s="313"/>
      <c r="BZ52" s="313"/>
      <c r="CA52" s="313"/>
      <c r="CB52" s="313"/>
      <c r="CC52" s="313"/>
      <c r="CD52" s="313"/>
      <c r="CE52" s="313"/>
    </row>
    <row r="53" spans="1:83" s="101" customFormat="1" ht="12.75" customHeight="1" x14ac:dyDescent="0.2">
      <c r="A53" s="1097"/>
      <c r="B53" s="1098" t="str">
        <f>IF(Stammblatt!$L$4=1,'Kalkulation Herstellungskosten'!BB53,'Kalkulation Herstellungskosten'!BC53)</f>
        <v xml:space="preserve">Wochenpauschale (§ 7 KV) </v>
      </c>
      <c r="C53" s="94">
        <v>0</v>
      </c>
      <c r="D53" s="386"/>
      <c r="E53" s="95"/>
      <c r="F53" s="1435"/>
      <c r="G53" s="96">
        <f ca="1">IF(AND(Stammblatt!$I$9=TRUE,GHSTK&lt;=1220000),Kollektivvertrag!$E$60,IF(AND(Stammblatt!$I$9=TRUE,GHSTK&lt;=1570000),Kollektivvertrag!E22/2,Kollektivvertrag!E22))</f>
        <v>2292.7537414092603</v>
      </c>
      <c r="H53" s="842" t="str">
        <f t="shared" ca="1" si="26"/>
        <v/>
      </c>
      <c r="I53" s="849" t="str">
        <f t="shared" si="27"/>
        <v/>
      </c>
      <c r="J53" s="749"/>
      <c r="K53" s="749"/>
      <c r="L53" s="697"/>
      <c r="M53" s="697"/>
      <c r="N53" s="334"/>
      <c r="O53" s="1405"/>
      <c r="P53" s="1431"/>
      <c r="Q53" s="1407"/>
      <c r="R53" s="1405"/>
      <c r="S53" s="514"/>
      <c r="T53" s="1405"/>
      <c r="U53" s="1405"/>
      <c r="V53" s="1433"/>
      <c r="W53" s="1433"/>
      <c r="X53" s="1405"/>
      <c r="Y53" s="1431"/>
      <c r="Z53" s="1407"/>
      <c r="AA53" s="1405"/>
      <c r="AB53" s="295"/>
      <c r="AC53" s="336"/>
      <c r="AD53" s="1411"/>
      <c r="AE53" s="1421"/>
      <c r="AF53" s="1409"/>
      <c r="AG53" s="1419"/>
      <c r="AH53" s="1411"/>
      <c r="AI53" s="1421"/>
      <c r="AJ53" s="1409"/>
      <c r="AK53" s="1419"/>
      <c r="AL53" s="1413"/>
      <c r="AM53" s="1421"/>
      <c r="AN53" s="1409"/>
      <c r="AO53" s="1419"/>
      <c r="AP53" s="1429"/>
      <c r="AQ53" s="1417">
        <f t="shared" si="36"/>
        <v>0</v>
      </c>
      <c r="AR53" s="1415">
        <f t="shared" si="37"/>
        <v>0</v>
      </c>
      <c r="AS53" s="310"/>
      <c r="AT53" s="310"/>
      <c r="AU53" s="393">
        <f ca="1">IF(AV53=TRUE,G53*0.8,G53)</f>
        <v>2292.7537414092603</v>
      </c>
      <c r="AV53" s="383" t="b">
        <v>0</v>
      </c>
      <c r="AW53" s="312">
        <f t="shared" ca="1" si="40"/>
        <v>2751.3044896911124</v>
      </c>
      <c r="AX53" s="312">
        <f t="shared" ca="1" si="41"/>
        <v>2980.5798638320384</v>
      </c>
      <c r="AY53" s="312"/>
      <c r="AZ53" s="581"/>
      <c r="BA53" s="315"/>
      <c r="BB53" s="196" t="s">
        <v>45</v>
      </c>
      <c r="BC53" s="196" t="s">
        <v>1024</v>
      </c>
      <c r="BD53" s="313"/>
      <c r="BE53" s="313"/>
      <c r="BF53" s="313"/>
      <c r="BG53" s="313"/>
      <c r="BH53" s="313"/>
      <c r="BI53" s="313"/>
      <c r="BJ53" s="313"/>
      <c r="BK53" s="313"/>
      <c r="BL53" s="313"/>
      <c r="BM53" s="313"/>
      <c r="BN53" s="313"/>
      <c r="BO53" s="313"/>
      <c r="BP53" s="313"/>
      <c r="BQ53" s="313"/>
      <c r="BR53" s="313"/>
      <c r="BS53" s="313"/>
      <c r="BT53" s="313"/>
      <c r="BU53" s="313"/>
      <c r="BV53" s="313"/>
      <c r="BW53" s="313"/>
      <c r="BX53" s="313"/>
      <c r="BY53" s="313"/>
      <c r="BZ53" s="313"/>
      <c r="CA53" s="313"/>
      <c r="CB53" s="313"/>
      <c r="CC53" s="313"/>
      <c r="CD53" s="313"/>
      <c r="CE53" s="313"/>
    </row>
    <row r="54" spans="1:83" s="101" customFormat="1" ht="12.75" customHeight="1" x14ac:dyDescent="0.2">
      <c r="A54" s="1445">
        <v>24</v>
      </c>
      <c r="B54" s="1447" t="str">
        <f>IF(Stammblatt!$L$4=1,'Kalkulation Herstellungskosten'!BB55,'Kalkulation Herstellungskosten'!BC55)</f>
        <v>Regie</v>
      </c>
      <c r="C54" s="695"/>
      <c r="D54" s="695"/>
      <c r="E54" s="696">
        <f>IF(E7&gt;15000,E7-15000,0)</f>
        <v>0</v>
      </c>
      <c r="F54" s="691"/>
      <c r="G54" s="703"/>
      <c r="H54" s="840"/>
      <c r="I54" s="384"/>
      <c r="J54" s="750"/>
      <c r="K54" s="750"/>
      <c r="L54" s="701"/>
      <c r="M54" s="701"/>
      <c r="N54" s="702"/>
      <c r="O54" s="514"/>
      <c r="P54" s="514"/>
      <c r="Q54" s="514"/>
      <c r="R54" s="514"/>
      <c r="S54" s="514"/>
      <c r="T54" s="514"/>
      <c r="U54" s="514"/>
      <c r="V54" s="1046"/>
      <c r="W54" s="1046"/>
      <c r="X54" s="514"/>
      <c r="Y54" s="514"/>
      <c r="Z54" s="514"/>
      <c r="AA54" s="514"/>
      <c r="AB54" s="514"/>
      <c r="AC54" s="514"/>
      <c r="AD54" s="811"/>
      <c r="AE54" s="812"/>
      <c r="AF54" s="811"/>
      <c r="AG54" s="1136"/>
      <c r="AH54" s="811"/>
      <c r="AI54" s="812"/>
      <c r="AJ54" s="811"/>
      <c r="AK54" s="1136"/>
      <c r="AL54" s="811"/>
      <c r="AM54" s="812"/>
      <c r="AN54" s="811"/>
      <c r="AO54" s="1136"/>
      <c r="AP54" s="1136"/>
      <c r="AQ54" s="1140"/>
      <c r="AR54" s="1141"/>
      <c r="AS54" s="310"/>
      <c r="AT54" s="310"/>
      <c r="AU54" s="393"/>
      <c r="AV54" s="383"/>
      <c r="AW54" s="312"/>
      <c r="AX54" s="312"/>
      <c r="AY54" s="312"/>
      <c r="AZ54" s="581"/>
      <c r="BA54" s="315"/>
      <c r="BB54" s="196"/>
      <c r="BC54" s="196"/>
      <c r="BD54" s="313"/>
      <c r="BE54" s="313"/>
      <c r="BF54" s="313"/>
      <c r="BG54" s="313"/>
      <c r="BH54" s="313"/>
      <c r="BI54" s="313"/>
      <c r="BJ54" s="313"/>
      <c r="BK54" s="313"/>
      <c r="BL54" s="313"/>
      <c r="BM54" s="313"/>
      <c r="BN54" s="313"/>
      <c r="BO54" s="313"/>
      <c r="BP54" s="313"/>
      <c r="BQ54" s="313"/>
      <c r="BR54" s="313"/>
      <c r="BS54" s="313"/>
      <c r="BT54" s="313"/>
      <c r="BU54" s="313"/>
      <c r="BV54" s="313"/>
      <c r="BW54" s="313"/>
      <c r="BX54" s="313"/>
      <c r="BY54" s="313"/>
      <c r="BZ54" s="313"/>
      <c r="CA54" s="313"/>
      <c r="CB54" s="313"/>
      <c r="CC54" s="313"/>
      <c r="CD54" s="313"/>
      <c r="CE54" s="313"/>
    </row>
    <row r="55" spans="1:83" s="101" customFormat="1" ht="18" customHeight="1" x14ac:dyDescent="0.2">
      <c r="A55" s="1446"/>
      <c r="B55" s="1448"/>
      <c r="C55" s="94">
        <v>0</v>
      </c>
      <c r="D55" s="386"/>
      <c r="E55" s="95"/>
      <c r="F55" s="389">
        <f>C55*E55</f>
        <v>0</v>
      </c>
      <c r="G55" s="698">
        <f ca="1">AU55-E54</f>
        <v>0</v>
      </c>
      <c r="H55" s="842" t="str">
        <f ca="1">IF(F55&gt;G55*1.3,F55-G55*1.3,"")</f>
        <v/>
      </c>
      <c r="I55" s="849" t="str">
        <f>IF(F55=0,"",F55/G55-1)</f>
        <v/>
      </c>
      <c r="J55" s="752"/>
      <c r="K55" s="752"/>
      <c r="L55" s="699">
        <f>F55*J55</f>
        <v>0</v>
      </c>
      <c r="M55" s="699">
        <f>F55*K55</f>
        <v>0</v>
      </c>
      <c r="N55" s="700" t="str">
        <f>IF((L55+M55)&lt;&gt;F55,"?","")</f>
        <v/>
      </c>
      <c r="O55" s="512"/>
      <c r="P55" s="1250"/>
      <c r="Q55" s="507"/>
      <c r="R55" s="505"/>
      <c r="S55" s="514"/>
      <c r="T55" s="507"/>
      <c r="U55" s="84"/>
      <c r="V55" s="397">
        <f>SUM(T55:U55)</f>
        <v>0</v>
      </c>
      <c r="W55" s="1047">
        <f>F55-V55</f>
        <v>0</v>
      </c>
      <c r="X55" s="512"/>
      <c r="Y55" s="506"/>
      <c r="Z55" s="507"/>
      <c r="AA55" s="505"/>
      <c r="AB55" s="295"/>
      <c r="AC55" s="336"/>
      <c r="AD55" s="813"/>
      <c r="AE55" s="800"/>
      <c r="AF55" s="814"/>
      <c r="AG55" s="1137">
        <f>SUM(AE55:AF55)</f>
        <v>0</v>
      </c>
      <c r="AH55" s="813"/>
      <c r="AI55" s="800"/>
      <c r="AJ55" s="814"/>
      <c r="AK55" s="1137">
        <f>SUM(AI55:AJ55)</f>
        <v>0</v>
      </c>
      <c r="AL55" s="815"/>
      <c r="AM55" s="800"/>
      <c r="AN55" s="814"/>
      <c r="AO55" s="1137">
        <f>SUM(AM55:AN55)</f>
        <v>0</v>
      </c>
      <c r="AP55" s="1142">
        <f>SUM(F55,AD55,AH55,AL55)</f>
        <v>0</v>
      </c>
      <c r="AQ55" s="1079">
        <f t="shared" ref="AQ55:AQ57" si="70">SUM(AO55,AK55,AG55,V55)</f>
        <v>0</v>
      </c>
      <c r="AR55" s="1080">
        <f t="shared" ref="AR55:AR57" si="71">AP55-AQ55</f>
        <v>0</v>
      </c>
      <c r="AS55" s="310"/>
      <c r="AT55" s="310"/>
      <c r="AU55" s="393">
        <f ca="1">ROUND(IF(AV55=TRUE,AZ55*0.8,AZ55),-1)</f>
        <v>0</v>
      </c>
      <c r="AV55" s="383" t="b">
        <v>0</v>
      </c>
      <c r="AW55" s="585">
        <f ca="1">ROUND(Regie_Richtsatz*0.85,-1)</f>
        <v>0</v>
      </c>
      <c r="AX55" s="585"/>
      <c r="AY55" s="585">
        <f ca="1">Regie_Richtsatz</f>
        <v>0</v>
      </c>
      <c r="AZ55" s="585">
        <f ca="1">IF(Stammblatt!I14=TRUE,'Kalkulation Herstellungskosten'!AW55,'Kalkulation Herstellungskosten'!AY55)</f>
        <v>0</v>
      </c>
      <c r="BA55" s="312"/>
      <c r="BB55" s="196" t="s">
        <v>142</v>
      </c>
      <c r="BC55" s="196" t="s">
        <v>278</v>
      </c>
      <c r="BD55" s="313"/>
      <c r="BE55" s="313"/>
      <c r="BF55" s="313"/>
      <c r="BG55" s="313"/>
      <c r="BH55" s="313"/>
      <c r="BI55" s="313"/>
      <c r="BJ55" s="313"/>
      <c r="BK55" s="313"/>
      <c r="BL55" s="313"/>
      <c r="BM55" s="313"/>
      <c r="BN55" s="313"/>
      <c r="BO55" s="313"/>
      <c r="BP55" s="313"/>
      <c r="BQ55" s="313"/>
      <c r="BR55" s="313"/>
      <c r="BS55" s="313"/>
      <c r="BT55" s="313"/>
      <c r="BU55" s="313"/>
      <c r="BV55" s="313"/>
      <c r="BW55" s="313"/>
      <c r="BX55" s="313"/>
      <c r="BY55" s="313"/>
      <c r="BZ55" s="313"/>
      <c r="CA55" s="313"/>
      <c r="CB55" s="313"/>
      <c r="CC55" s="313"/>
      <c r="CD55" s="313"/>
      <c r="CE55" s="313"/>
    </row>
    <row r="56" spans="1:83" s="101" customFormat="1" ht="12.75" customHeight="1" x14ac:dyDescent="0.2">
      <c r="A56" s="1099">
        <v>25</v>
      </c>
      <c r="B56" s="1096" t="str">
        <f>IF(Stammblatt!$L$4=1,'Kalkulation Herstellungskosten'!BB56,'Kalkulation Herstellungskosten'!BC56)</f>
        <v>Regieassistenz</v>
      </c>
      <c r="C56" s="99">
        <v>0</v>
      </c>
      <c r="D56" s="385"/>
      <c r="E56" s="103"/>
      <c r="F56" s="1434">
        <f>C56*E56+C57*E57</f>
        <v>0</v>
      </c>
      <c r="G56" s="100">
        <f ca="1">IF(AND(Stammblatt!$I$9=TRUE,GHSTK&lt;=1220000),Kollektivvertrag!$C$60,IF(AND(Stammblatt!$I$9=TRUE,GHSTK&lt;=1570000),Kollektivvertrag!C12/2,Kollektivvertrag!C12))</f>
        <v>1666.5369404041264</v>
      </c>
      <c r="H56" s="841" t="str">
        <f t="shared" ref="H56:H87" ca="1" si="72">IF(E56&gt;G56*1.1,C56*(E56-G56*1.1),"")</f>
        <v/>
      </c>
      <c r="I56" s="848" t="str">
        <f t="shared" ref="I56:I87" si="73">IF(E56=0,"",E56/G56-1)</f>
        <v/>
      </c>
      <c r="J56" s="751"/>
      <c r="K56" s="751"/>
      <c r="L56" s="556">
        <f>F56*J56</f>
        <v>0</v>
      </c>
      <c r="M56" s="557">
        <f>F56*K56</f>
        <v>0</v>
      </c>
      <c r="N56" s="558" t="str">
        <f>IF((L56+M56)&lt;&gt;F56,"?","")</f>
        <v/>
      </c>
      <c r="O56" s="1404"/>
      <c r="P56" s="1430"/>
      <c r="Q56" s="1406"/>
      <c r="R56" s="1404"/>
      <c r="S56" s="514"/>
      <c r="T56" s="1404"/>
      <c r="U56" s="1404"/>
      <c r="V56" s="1432">
        <f>SUM(T56:U57)</f>
        <v>0</v>
      </c>
      <c r="W56" s="1432">
        <f>F56-V56</f>
        <v>0</v>
      </c>
      <c r="X56" s="1404"/>
      <c r="Y56" s="1430"/>
      <c r="Z56" s="1406"/>
      <c r="AA56" s="1404"/>
      <c r="AB56" s="295"/>
      <c r="AC56" s="336"/>
      <c r="AD56" s="1410"/>
      <c r="AE56" s="1420"/>
      <c r="AF56" s="1408"/>
      <c r="AG56" s="1418">
        <f>SUM(AE56:AF57)</f>
        <v>0</v>
      </c>
      <c r="AH56" s="1410"/>
      <c r="AI56" s="1420"/>
      <c r="AJ56" s="1408"/>
      <c r="AK56" s="1418">
        <f>SUM(AI56:AJ57)</f>
        <v>0</v>
      </c>
      <c r="AL56" s="1412"/>
      <c r="AM56" s="1420"/>
      <c r="AN56" s="1408"/>
      <c r="AO56" s="1418">
        <f>SUM(AM56:AN57)</f>
        <v>0</v>
      </c>
      <c r="AP56" s="1428">
        <f>SUM(F56,AD56,AH56,AL56)</f>
        <v>0</v>
      </c>
      <c r="AQ56" s="1416">
        <f t="shared" si="70"/>
        <v>0</v>
      </c>
      <c r="AR56" s="1414">
        <f t="shared" si="71"/>
        <v>0</v>
      </c>
      <c r="AS56" s="310"/>
      <c r="AT56" s="310"/>
      <c r="AU56" s="393">
        <f ca="1">IF(AV57=TRUE,G56*0.8,G56)</f>
        <v>1666.5369404041264</v>
      </c>
      <c r="AV56" s="383"/>
      <c r="AW56" s="312">
        <f t="shared" ca="1" si="40"/>
        <v>1999.8443284849516</v>
      </c>
      <c r="AX56" s="312">
        <f t="shared" ca="1" si="41"/>
        <v>2166.4980225253644</v>
      </c>
      <c r="AY56" s="312"/>
      <c r="AZ56" s="312"/>
      <c r="BA56" s="312"/>
      <c r="BB56" s="196" t="s">
        <v>577</v>
      </c>
      <c r="BC56" s="196" t="s">
        <v>339</v>
      </c>
      <c r="BD56" s="313"/>
      <c r="BE56" s="313"/>
      <c r="BF56" s="313"/>
      <c r="BG56" s="313"/>
      <c r="BH56" s="313"/>
      <c r="BI56" s="313"/>
      <c r="BJ56" s="313"/>
      <c r="BK56" s="313"/>
      <c r="BL56" s="313"/>
      <c r="BM56" s="313"/>
      <c r="BN56" s="313"/>
      <c r="BO56" s="313"/>
      <c r="BP56" s="313"/>
      <c r="BQ56" s="313"/>
      <c r="BR56" s="313"/>
      <c r="BS56" s="313"/>
      <c r="BT56" s="313"/>
      <c r="BU56" s="313"/>
      <c r="BV56" s="313"/>
      <c r="BW56" s="313"/>
      <c r="BX56" s="313"/>
      <c r="BY56" s="313"/>
      <c r="BZ56" s="313"/>
      <c r="CA56" s="313"/>
      <c r="CB56" s="313"/>
      <c r="CC56" s="313"/>
      <c r="CD56" s="313"/>
      <c r="CE56" s="313"/>
    </row>
    <row r="57" spans="1:83" s="101" customFormat="1" ht="12.75" customHeight="1" x14ac:dyDescent="0.2">
      <c r="A57" s="1097"/>
      <c r="B57" s="1098" t="str">
        <f>IF(Stammblatt!$L$4=1,'Kalkulation Herstellungskosten'!BB57,'Kalkulation Herstellungskosten'!BC57)</f>
        <v xml:space="preserve">Wochenpauschale (§ 7 KV) </v>
      </c>
      <c r="C57" s="94">
        <v>0</v>
      </c>
      <c r="D57" s="386"/>
      <c r="E57" s="95"/>
      <c r="F57" s="1435"/>
      <c r="G57" s="96">
        <f ca="1">IF(AND(Stammblatt!$I$9=TRUE,GHSTK&lt;=1220000),Kollektivvertrag!$E$60,IF(AND(Stammblatt!$I$9=TRUE,GHSTK&lt;=1570000),Kollektivvertrag!E12/2,Kollektivvertrag!E12))</f>
        <v>2308.1536624597152</v>
      </c>
      <c r="H57" s="842" t="str">
        <f t="shared" ca="1" si="72"/>
        <v/>
      </c>
      <c r="I57" s="849" t="str">
        <f t="shared" si="73"/>
        <v/>
      </c>
      <c r="J57" s="747"/>
      <c r="K57" s="748"/>
      <c r="L57" s="359"/>
      <c r="M57" s="359"/>
      <c r="N57" s="334"/>
      <c r="O57" s="1405"/>
      <c r="P57" s="1431"/>
      <c r="Q57" s="1407"/>
      <c r="R57" s="1405"/>
      <c r="S57" s="514"/>
      <c r="T57" s="1405"/>
      <c r="U57" s="1405"/>
      <c r="V57" s="1433"/>
      <c r="W57" s="1433"/>
      <c r="X57" s="1405"/>
      <c r="Y57" s="1431"/>
      <c r="Z57" s="1407"/>
      <c r="AA57" s="1405"/>
      <c r="AB57" s="295"/>
      <c r="AC57" s="336"/>
      <c r="AD57" s="1411"/>
      <c r="AE57" s="1421"/>
      <c r="AF57" s="1409"/>
      <c r="AG57" s="1419"/>
      <c r="AH57" s="1411"/>
      <c r="AI57" s="1421"/>
      <c r="AJ57" s="1409"/>
      <c r="AK57" s="1419"/>
      <c r="AL57" s="1413"/>
      <c r="AM57" s="1421"/>
      <c r="AN57" s="1409"/>
      <c r="AO57" s="1419"/>
      <c r="AP57" s="1429"/>
      <c r="AQ57" s="1417">
        <f t="shared" si="70"/>
        <v>0</v>
      </c>
      <c r="AR57" s="1415">
        <f t="shared" si="71"/>
        <v>0</v>
      </c>
      <c r="AS57" s="310"/>
      <c r="AT57" s="310"/>
      <c r="AU57" s="393">
        <f ca="1">IF(AV57=TRUE,G57*0.8,G57)</f>
        <v>2308.1536624597152</v>
      </c>
      <c r="AV57" s="383" t="b">
        <v>0</v>
      </c>
      <c r="AW57" s="312">
        <f t="shared" ca="1" si="40"/>
        <v>2769.7843949516582</v>
      </c>
      <c r="AX57" s="312">
        <f t="shared" ca="1" si="41"/>
        <v>3000.59976119763</v>
      </c>
      <c r="AY57" s="312"/>
      <c r="AZ57" s="312"/>
      <c r="BA57" s="315"/>
      <c r="BB57" s="196" t="s">
        <v>45</v>
      </c>
      <c r="BC57" s="196" t="s">
        <v>1024</v>
      </c>
      <c r="BD57" s="313"/>
      <c r="BE57" s="313"/>
      <c r="BF57" s="313"/>
      <c r="BG57" s="313"/>
      <c r="BH57" s="313"/>
      <c r="BI57" s="313"/>
      <c r="BJ57" s="313"/>
      <c r="BK57" s="313"/>
      <c r="BL57" s="313"/>
      <c r="BM57" s="313"/>
      <c r="BN57" s="313"/>
      <c r="BO57" s="313"/>
      <c r="BP57" s="313"/>
      <c r="BQ57" s="313"/>
      <c r="BR57" s="313"/>
      <c r="BS57" s="313"/>
      <c r="BT57" s="313"/>
      <c r="BU57" s="313"/>
      <c r="BV57" s="313"/>
      <c r="BW57" s="313"/>
      <c r="BX57" s="313"/>
      <c r="BY57" s="313"/>
      <c r="BZ57" s="313"/>
      <c r="CA57" s="313"/>
      <c r="CB57" s="313"/>
      <c r="CC57" s="313"/>
      <c r="CD57" s="313"/>
      <c r="CE57" s="313"/>
    </row>
    <row r="58" spans="1:83" s="101" customFormat="1" ht="12.75" customHeight="1" x14ac:dyDescent="0.2">
      <c r="A58" s="1100">
        <v>26</v>
      </c>
      <c r="B58" s="1096" t="str">
        <f>IF(Stammblatt!$L$4=1,'Kalkulation Herstellungskosten'!BB58,'Kalkulation Herstellungskosten'!BC58)</f>
        <v>2. Regieassistenz</v>
      </c>
      <c r="C58" s="99">
        <v>0</v>
      </c>
      <c r="D58" s="391"/>
      <c r="E58" s="103"/>
      <c r="F58" s="1434">
        <f>C58*E58+C59*E59</f>
        <v>0</v>
      </c>
      <c r="G58" s="100">
        <f>IF(Stammblatt!$I$9=TRUE,Kollektivvertrag!$C$60,Kollektivvertrag!C64)</f>
        <v>969.60704354630343</v>
      </c>
      <c r="H58" s="841" t="str">
        <f t="shared" si="72"/>
        <v/>
      </c>
      <c r="I58" s="848" t="str">
        <f t="shared" si="73"/>
        <v/>
      </c>
      <c r="J58" s="751"/>
      <c r="K58" s="751"/>
      <c r="L58" s="556">
        <f>F58*J58</f>
        <v>0</v>
      </c>
      <c r="M58" s="557">
        <f>F58*K58</f>
        <v>0</v>
      </c>
      <c r="N58" s="558" t="str">
        <f>IF((L58+M58)&lt;&gt;F58,"?","")</f>
        <v/>
      </c>
      <c r="O58" s="1404"/>
      <c r="P58" s="1430"/>
      <c r="Q58" s="686"/>
      <c r="R58" s="685"/>
      <c r="S58" s="514"/>
      <c r="T58" s="1404"/>
      <c r="U58" s="1404"/>
      <c r="V58" s="1432">
        <f>SUM(T58:U59)</f>
        <v>0</v>
      </c>
      <c r="W58" s="1432">
        <f>F58-V58</f>
        <v>0</v>
      </c>
      <c r="X58" s="1404"/>
      <c r="Y58" s="1430"/>
      <c r="Z58" s="686"/>
      <c r="AA58" s="685"/>
      <c r="AB58" s="295"/>
      <c r="AC58" s="336"/>
      <c r="AD58" s="1410"/>
      <c r="AE58" s="1420"/>
      <c r="AF58" s="1408"/>
      <c r="AG58" s="1418">
        <f>SUM(AE58:AF59)</f>
        <v>0</v>
      </c>
      <c r="AH58" s="1410"/>
      <c r="AI58" s="1420"/>
      <c r="AJ58" s="1408"/>
      <c r="AK58" s="1418">
        <f>SUM(AI58:AJ59)</f>
        <v>0</v>
      </c>
      <c r="AL58" s="1412"/>
      <c r="AM58" s="1420"/>
      <c r="AN58" s="1408"/>
      <c r="AO58" s="1418">
        <f>SUM(AM58:AN59)</f>
        <v>0</v>
      </c>
      <c r="AP58" s="1428">
        <f>SUM(F58,AD58,AH58,AL58)</f>
        <v>0</v>
      </c>
      <c r="AQ58" s="1416">
        <f t="shared" ref="AQ58:AQ121" si="74">SUM(AO58,AK58,AG58,V58)</f>
        <v>0</v>
      </c>
      <c r="AR58" s="1414">
        <f t="shared" ref="AR58:AR121" si="75">AP58-AQ58</f>
        <v>0</v>
      </c>
      <c r="AS58" s="310"/>
      <c r="AT58" s="310"/>
      <c r="AU58" s="393">
        <f>IF(AV59=TRUE,G58*0.8,G58)</f>
        <v>969.60704354630343</v>
      </c>
      <c r="AV58" s="383"/>
      <c r="AW58" s="312">
        <f t="shared" ref="AW58:AW59" si="76">G58*1.2</f>
        <v>1163.5284522555642</v>
      </c>
      <c r="AX58" s="312">
        <f t="shared" ref="AX58:AX59" si="77">G58*1.3</f>
        <v>1260.4891566101944</v>
      </c>
      <c r="AY58" s="312"/>
      <c r="AZ58" s="312"/>
      <c r="BA58" s="315"/>
      <c r="BB58" s="196" t="s">
        <v>915</v>
      </c>
      <c r="BC58" s="196" t="s">
        <v>1023</v>
      </c>
      <c r="BD58" s="313"/>
      <c r="BE58" s="313"/>
      <c r="BF58" s="313"/>
      <c r="BG58" s="313"/>
      <c r="BH58" s="313"/>
      <c r="BI58" s="313"/>
      <c r="BJ58" s="313"/>
      <c r="BK58" s="313"/>
      <c r="BL58" s="313"/>
      <c r="BM58" s="313"/>
      <c r="BN58" s="313"/>
      <c r="BO58" s="313"/>
      <c r="BP58" s="313"/>
      <c r="BQ58" s="313"/>
      <c r="BR58" s="313"/>
      <c r="BS58" s="313"/>
      <c r="BT58" s="313"/>
      <c r="BU58" s="313"/>
      <c r="BV58" s="313"/>
      <c r="BW58" s="313"/>
      <c r="BX58" s="313"/>
      <c r="BY58" s="313"/>
      <c r="BZ58" s="313"/>
      <c r="CA58" s="313"/>
      <c r="CB58" s="313"/>
      <c r="CC58" s="313"/>
      <c r="CD58" s="313"/>
      <c r="CE58" s="313"/>
    </row>
    <row r="59" spans="1:83" s="101" customFormat="1" ht="12.75" customHeight="1" x14ac:dyDescent="0.2">
      <c r="A59" s="1100"/>
      <c r="B59" s="1098" t="str">
        <f>IF(Stammblatt!$L$4=1,'Kalkulation Herstellungskosten'!BB59,'Kalkulation Herstellungskosten'!BC59)</f>
        <v xml:space="preserve">Wochenpauschale (§ 7 KV) </v>
      </c>
      <c r="C59" s="94">
        <v>0</v>
      </c>
      <c r="D59" s="391"/>
      <c r="E59" s="95"/>
      <c r="F59" s="1435"/>
      <c r="G59" s="96">
        <f>IF(Stammblatt!$I$9=TRUE,Kollektivvertrag!$E$60,Kollektivvertrag!E64)</f>
        <v>1342.9057553116299</v>
      </c>
      <c r="H59" s="842" t="str">
        <f t="shared" si="72"/>
        <v/>
      </c>
      <c r="I59" s="849" t="str">
        <f t="shared" si="73"/>
        <v/>
      </c>
      <c r="J59" s="747"/>
      <c r="K59" s="748"/>
      <c r="L59" s="359"/>
      <c r="M59" s="359"/>
      <c r="N59" s="334"/>
      <c r="O59" s="1405"/>
      <c r="P59" s="1431"/>
      <c r="Q59" s="686"/>
      <c r="R59" s="685"/>
      <c r="S59" s="514"/>
      <c r="T59" s="1405"/>
      <c r="U59" s="1405"/>
      <c r="V59" s="1433"/>
      <c r="W59" s="1433"/>
      <c r="X59" s="1405"/>
      <c r="Y59" s="1431"/>
      <c r="Z59" s="686"/>
      <c r="AA59" s="685"/>
      <c r="AB59" s="295"/>
      <c r="AC59" s="336"/>
      <c r="AD59" s="1411"/>
      <c r="AE59" s="1421"/>
      <c r="AF59" s="1409"/>
      <c r="AG59" s="1419"/>
      <c r="AH59" s="1411"/>
      <c r="AI59" s="1421"/>
      <c r="AJ59" s="1409"/>
      <c r="AK59" s="1419"/>
      <c r="AL59" s="1413"/>
      <c r="AM59" s="1421"/>
      <c r="AN59" s="1409"/>
      <c r="AO59" s="1419"/>
      <c r="AP59" s="1429"/>
      <c r="AQ59" s="1417">
        <f t="shared" si="74"/>
        <v>0</v>
      </c>
      <c r="AR59" s="1415">
        <f t="shared" si="75"/>
        <v>0</v>
      </c>
      <c r="AS59" s="310"/>
      <c r="AT59" s="310"/>
      <c r="AU59" s="393">
        <f>IF(AV59=TRUE,G59*0.8,G59)</f>
        <v>1342.9057553116299</v>
      </c>
      <c r="AV59" s="383" t="b">
        <v>0</v>
      </c>
      <c r="AW59" s="312">
        <f t="shared" si="76"/>
        <v>1611.4869063739559</v>
      </c>
      <c r="AX59" s="312">
        <f t="shared" si="77"/>
        <v>1745.777481905119</v>
      </c>
      <c r="AY59" s="312"/>
      <c r="AZ59" s="312"/>
      <c r="BA59" s="315"/>
      <c r="BB59" s="196" t="s">
        <v>45</v>
      </c>
      <c r="BC59" s="196" t="s">
        <v>1024</v>
      </c>
      <c r="BD59" s="313"/>
      <c r="BE59" s="313"/>
      <c r="BF59" s="313"/>
      <c r="BG59" s="313"/>
      <c r="BH59" s="313"/>
      <c r="BI59" s="313"/>
      <c r="BJ59" s="313"/>
      <c r="BK59" s="313"/>
      <c r="BL59" s="313"/>
      <c r="BM59" s="313"/>
      <c r="BN59" s="313"/>
      <c r="BO59" s="313"/>
      <c r="BP59" s="313"/>
      <c r="BQ59" s="313"/>
      <c r="BR59" s="313"/>
      <c r="BS59" s="313"/>
      <c r="BT59" s="313"/>
      <c r="BU59" s="313"/>
      <c r="BV59" s="313"/>
      <c r="BW59" s="313"/>
      <c r="BX59" s="313"/>
      <c r="BY59" s="313"/>
      <c r="BZ59" s="313"/>
      <c r="CA59" s="313"/>
      <c r="CB59" s="313"/>
      <c r="CC59" s="313"/>
      <c r="CD59" s="313"/>
      <c r="CE59" s="313"/>
    </row>
    <row r="60" spans="1:83" s="101" customFormat="1" ht="12.75" customHeight="1" x14ac:dyDescent="0.2">
      <c r="A60" s="1099">
        <v>27</v>
      </c>
      <c r="B60" s="1096" t="str">
        <f>IF(Stammblatt!$L$4=1,'Kalkulation Herstellungskosten'!BB60,'Kalkulation Herstellungskosten'!BC60)</f>
        <v>Continuity/Skript</v>
      </c>
      <c r="C60" s="99">
        <v>0</v>
      </c>
      <c r="D60" s="385"/>
      <c r="E60" s="103"/>
      <c r="F60" s="1434">
        <f>C60*E60+C61*E61</f>
        <v>0</v>
      </c>
      <c r="G60" s="100">
        <f>IF(Stammblatt!$I$9=TRUE,Kollektivvertrag!$C$60,Kollektivvertrag!C24)</f>
        <v>1208.2364900867794</v>
      </c>
      <c r="H60" s="841" t="str">
        <f t="shared" si="72"/>
        <v/>
      </c>
      <c r="I60" s="848" t="str">
        <f t="shared" si="73"/>
        <v/>
      </c>
      <c r="J60" s="751"/>
      <c r="K60" s="751"/>
      <c r="L60" s="556">
        <f>F60*J60</f>
        <v>0</v>
      </c>
      <c r="M60" s="557">
        <f>F60*K60</f>
        <v>0</v>
      </c>
      <c r="N60" s="558" t="str">
        <f>IF((L60+M60)&lt;&gt;F60,"?","")</f>
        <v/>
      </c>
      <c r="O60" s="1404"/>
      <c r="P60" s="1430"/>
      <c r="Q60" s="1406"/>
      <c r="R60" s="1404"/>
      <c r="S60" s="514"/>
      <c r="T60" s="1404"/>
      <c r="U60" s="1404"/>
      <c r="V60" s="1432">
        <f>SUM(T60:U61)</f>
        <v>0</v>
      </c>
      <c r="W60" s="1432">
        <f>F60-V60</f>
        <v>0</v>
      </c>
      <c r="X60" s="1404"/>
      <c r="Y60" s="1430"/>
      <c r="Z60" s="1406"/>
      <c r="AA60" s="1404"/>
      <c r="AB60" s="295"/>
      <c r="AC60" s="336"/>
      <c r="AD60" s="1410"/>
      <c r="AE60" s="1420"/>
      <c r="AF60" s="1408"/>
      <c r="AG60" s="1418">
        <f>SUM(AE60:AF61)</f>
        <v>0</v>
      </c>
      <c r="AH60" s="1410"/>
      <c r="AI60" s="1420"/>
      <c r="AJ60" s="1408"/>
      <c r="AK60" s="1418">
        <f>SUM(AI60:AJ61)</f>
        <v>0</v>
      </c>
      <c r="AL60" s="1412"/>
      <c r="AM60" s="1420"/>
      <c r="AN60" s="1408"/>
      <c r="AO60" s="1418">
        <f>SUM(AM60:AN61)</f>
        <v>0</v>
      </c>
      <c r="AP60" s="1428">
        <f>SUM(F60,AD60,AH60,AL60)</f>
        <v>0</v>
      </c>
      <c r="AQ60" s="1416">
        <f t="shared" si="74"/>
        <v>0</v>
      </c>
      <c r="AR60" s="1414">
        <f t="shared" si="75"/>
        <v>0</v>
      </c>
      <c r="AS60" s="310"/>
      <c r="AT60" s="310"/>
      <c r="AU60" s="393">
        <f>IF(AV61=TRUE,G60*0.8,G60)</f>
        <v>1208.2364900867794</v>
      </c>
      <c r="AV60" s="383"/>
      <c r="AW60" s="312">
        <f t="shared" si="40"/>
        <v>1449.8837881041352</v>
      </c>
      <c r="AX60" s="312">
        <f t="shared" si="41"/>
        <v>1570.7074371128133</v>
      </c>
      <c r="AY60" s="312"/>
      <c r="AZ60" s="312"/>
      <c r="BA60" s="312"/>
      <c r="BB60" s="196" t="s">
        <v>603</v>
      </c>
      <c r="BC60" s="196" t="s">
        <v>315</v>
      </c>
      <c r="BD60" s="313"/>
      <c r="BE60" s="313"/>
      <c r="BF60" s="313"/>
      <c r="BG60" s="313"/>
      <c r="BH60" s="313"/>
      <c r="BI60" s="313"/>
      <c r="BJ60" s="313"/>
      <c r="BK60" s="313"/>
      <c r="BL60" s="313"/>
      <c r="BM60" s="313"/>
      <c r="BN60" s="313"/>
      <c r="BO60" s="313"/>
      <c r="BP60" s="313"/>
      <c r="BQ60" s="313"/>
      <c r="BR60" s="313"/>
      <c r="BS60" s="313"/>
      <c r="BT60" s="313"/>
      <c r="BU60" s="313"/>
      <c r="BV60" s="313"/>
      <c r="BW60" s="313"/>
      <c r="BX60" s="313"/>
      <c r="BY60" s="313"/>
      <c r="BZ60" s="313"/>
      <c r="CA60" s="313"/>
      <c r="CB60" s="313"/>
      <c r="CC60" s="313"/>
      <c r="CD60" s="313"/>
      <c r="CE60" s="313"/>
    </row>
    <row r="61" spans="1:83" s="101" customFormat="1" ht="12.75" customHeight="1" x14ac:dyDescent="0.2">
      <c r="A61" s="1097"/>
      <c r="B61" s="1098" t="str">
        <f>IF(Stammblatt!$L$4=1,'Kalkulation Herstellungskosten'!BB61,'Kalkulation Herstellungskosten'!BC61)</f>
        <v xml:space="preserve">Wochenpauschale (§ 7 KV) </v>
      </c>
      <c r="C61" s="94">
        <v>0</v>
      </c>
      <c r="D61" s="386"/>
      <c r="E61" s="95"/>
      <c r="F61" s="1435"/>
      <c r="G61" s="96">
        <f>IF(Stammblatt!$I$9=TRUE,Kollektivvertrag!$E$60,Kollektivvertrag!E24)</f>
        <v>1673.4075387701896</v>
      </c>
      <c r="H61" s="842" t="str">
        <f t="shared" si="72"/>
        <v/>
      </c>
      <c r="I61" s="849" t="str">
        <f t="shared" si="73"/>
        <v/>
      </c>
      <c r="J61" s="747"/>
      <c r="K61" s="748"/>
      <c r="L61" s="359"/>
      <c r="M61" s="359"/>
      <c r="N61" s="334"/>
      <c r="O61" s="1405"/>
      <c r="P61" s="1431"/>
      <c r="Q61" s="1407"/>
      <c r="R61" s="1405"/>
      <c r="S61" s="514"/>
      <c r="T61" s="1405"/>
      <c r="U61" s="1405"/>
      <c r="V61" s="1433"/>
      <c r="W61" s="1433"/>
      <c r="X61" s="1405"/>
      <c r="Y61" s="1431"/>
      <c r="Z61" s="1407"/>
      <c r="AA61" s="1405"/>
      <c r="AB61" s="295"/>
      <c r="AC61" s="336"/>
      <c r="AD61" s="1411"/>
      <c r="AE61" s="1421"/>
      <c r="AF61" s="1409"/>
      <c r="AG61" s="1419"/>
      <c r="AH61" s="1411"/>
      <c r="AI61" s="1421"/>
      <c r="AJ61" s="1409"/>
      <c r="AK61" s="1419"/>
      <c r="AL61" s="1413"/>
      <c r="AM61" s="1421"/>
      <c r="AN61" s="1409"/>
      <c r="AO61" s="1419"/>
      <c r="AP61" s="1429"/>
      <c r="AQ61" s="1417">
        <f t="shared" si="74"/>
        <v>0</v>
      </c>
      <c r="AR61" s="1415">
        <f t="shared" si="75"/>
        <v>0</v>
      </c>
      <c r="AS61" s="310"/>
      <c r="AT61" s="310"/>
      <c r="AU61" s="393">
        <f>IF(AV61=TRUE,G61*0.8,G61)</f>
        <v>1673.4075387701896</v>
      </c>
      <c r="AV61" s="383" t="b">
        <v>0</v>
      </c>
      <c r="AW61" s="312">
        <f t="shared" si="40"/>
        <v>2008.0890465242273</v>
      </c>
      <c r="AX61" s="312">
        <f t="shared" si="41"/>
        <v>2175.4298004012467</v>
      </c>
      <c r="AY61" s="312"/>
      <c r="AZ61" s="312"/>
      <c r="BA61" s="315"/>
      <c r="BB61" s="196" t="s">
        <v>45</v>
      </c>
      <c r="BC61" s="196" t="s">
        <v>1024</v>
      </c>
      <c r="BD61" s="313"/>
      <c r="BE61" s="313"/>
      <c r="BF61" s="313"/>
      <c r="BG61" s="313"/>
      <c r="BH61" s="313"/>
      <c r="BI61" s="313"/>
      <c r="BJ61" s="313"/>
      <c r="BK61" s="313"/>
      <c r="BL61" s="313"/>
      <c r="BM61" s="313"/>
      <c r="BN61" s="313"/>
      <c r="BO61" s="313"/>
      <c r="BP61" s="313"/>
      <c r="BQ61" s="313"/>
      <c r="BR61" s="313"/>
      <c r="BS61" s="313"/>
      <c r="BT61" s="313"/>
      <c r="BU61" s="313"/>
      <c r="BV61" s="313"/>
      <c r="BW61" s="313"/>
      <c r="BX61" s="313"/>
      <c r="BY61" s="313"/>
      <c r="BZ61" s="313"/>
      <c r="CA61" s="313"/>
      <c r="CB61" s="313"/>
      <c r="CC61" s="313"/>
      <c r="CD61" s="313"/>
      <c r="CE61" s="313"/>
    </row>
    <row r="62" spans="1:83" s="101" customFormat="1" ht="12.75" customHeight="1" x14ac:dyDescent="0.2">
      <c r="A62" s="1099">
        <v>28</v>
      </c>
      <c r="B62" s="1096" t="str">
        <f>IF(Stammblatt!$L$4=1,'Kalkulation Herstellungskosten'!BB62,'Kalkulation Herstellungskosten'!BC62)</f>
        <v>Kamera</v>
      </c>
      <c r="C62" s="99">
        <v>0</v>
      </c>
      <c r="D62" s="385"/>
      <c r="E62" s="103"/>
      <c r="F62" s="1434">
        <f>C62*E62+C63*E63</f>
        <v>0</v>
      </c>
      <c r="G62" s="100">
        <f ca="1">IF(AND(Stammblatt!$I$9=TRUE,GHSTK&lt;=1220000),Kollektivvertrag!$C$60,IF(AND(Stammblatt!$I$9=TRUE,GHSTK&lt;=1570000),AY62/2,AY62))</f>
        <v>3768.4532810713745</v>
      </c>
      <c r="H62" s="841" t="str">
        <f t="shared" ca="1" si="72"/>
        <v/>
      </c>
      <c r="I62" s="848" t="str">
        <f t="shared" si="73"/>
        <v/>
      </c>
      <c r="J62" s="751"/>
      <c r="K62" s="751"/>
      <c r="L62" s="556">
        <f>F62*J62</f>
        <v>0</v>
      </c>
      <c r="M62" s="557">
        <f>F62*K62</f>
        <v>0</v>
      </c>
      <c r="N62" s="558" t="str">
        <f>IF((L62+M62)&lt;&gt;F62,"?","")</f>
        <v/>
      </c>
      <c r="O62" s="1404"/>
      <c r="P62" s="1430"/>
      <c r="Q62" s="1406"/>
      <c r="R62" s="1404"/>
      <c r="S62" s="514"/>
      <c r="T62" s="1404"/>
      <c r="U62" s="1404"/>
      <c r="V62" s="1432">
        <f>SUM(T62:U63)</f>
        <v>0</v>
      </c>
      <c r="W62" s="1432">
        <f>F62-V62</f>
        <v>0</v>
      </c>
      <c r="X62" s="1404"/>
      <c r="Y62" s="1430"/>
      <c r="Z62" s="1406"/>
      <c r="AA62" s="1404"/>
      <c r="AB62" s="295"/>
      <c r="AC62" s="336"/>
      <c r="AD62" s="1410"/>
      <c r="AE62" s="1420"/>
      <c r="AF62" s="1408"/>
      <c r="AG62" s="1418">
        <f>SUM(AE62:AF63)</f>
        <v>0</v>
      </c>
      <c r="AH62" s="1410"/>
      <c r="AI62" s="1420"/>
      <c r="AJ62" s="1408"/>
      <c r="AK62" s="1418">
        <f>SUM(AI62:AJ63)</f>
        <v>0</v>
      </c>
      <c r="AL62" s="1412"/>
      <c r="AM62" s="1420"/>
      <c r="AN62" s="1408"/>
      <c r="AO62" s="1418">
        <f>SUM(AM62:AN63)</f>
        <v>0</v>
      </c>
      <c r="AP62" s="1428">
        <f>SUM(F62,AD62,AH62,AL62)</f>
        <v>0</v>
      </c>
      <c r="AQ62" s="1416">
        <f t="shared" si="74"/>
        <v>0</v>
      </c>
      <c r="AR62" s="1414">
        <f t="shared" si="75"/>
        <v>0</v>
      </c>
      <c r="AS62" s="310"/>
      <c r="AT62" s="310"/>
      <c r="AU62" s="393">
        <f ca="1">IF(AV63=TRUE,G62*0.8,G62)</f>
        <v>3768.4532810713745</v>
      </c>
      <c r="AV62" s="383"/>
      <c r="AW62" s="312">
        <f t="shared" ca="1" si="40"/>
        <v>4522.1439372856494</v>
      </c>
      <c r="AX62" s="312">
        <f t="shared" ca="1" si="41"/>
        <v>4898.9892653927873</v>
      </c>
      <c r="AY62" s="312">
        <f>IF(AND(Stammblatt!$I$7=TRUE,Stammblatt!$I$8=FALSE),Kollektivvertrag!C26,Kollektivvertrag!C27)</f>
        <v>3768.4532810713745</v>
      </c>
      <c r="AZ62" s="312"/>
      <c r="BA62" s="312"/>
      <c r="BB62" s="196" t="s">
        <v>198</v>
      </c>
      <c r="BC62" s="196" t="s">
        <v>340</v>
      </c>
      <c r="BD62" s="313"/>
      <c r="BE62" s="313"/>
      <c r="BF62" s="313"/>
      <c r="BG62" s="313"/>
      <c r="BH62" s="313"/>
      <c r="BI62" s="313"/>
      <c r="BJ62" s="313"/>
      <c r="BK62" s="313"/>
      <c r="BL62" s="313"/>
      <c r="BM62" s="313"/>
      <c r="BN62" s="313"/>
      <c r="BO62" s="313"/>
      <c r="BP62" s="313"/>
      <c r="BQ62" s="313"/>
      <c r="BR62" s="313"/>
      <c r="BS62" s="313"/>
      <c r="BT62" s="313"/>
      <c r="BU62" s="313"/>
      <c r="BV62" s="313"/>
      <c r="BW62" s="313"/>
      <c r="BX62" s="313"/>
      <c r="BY62" s="313"/>
      <c r="BZ62" s="313"/>
      <c r="CA62" s="313"/>
      <c r="CB62" s="313"/>
      <c r="CC62" s="313"/>
      <c r="CD62" s="313"/>
      <c r="CE62" s="313"/>
    </row>
    <row r="63" spans="1:83" s="101" customFormat="1" ht="12.75" customHeight="1" x14ac:dyDescent="0.2">
      <c r="A63" s="1097"/>
      <c r="B63" s="1098" t="str">
        <f>IF(Stammblatt!$L$4=1,'Kalkulation Herstellungskosten'!BB63,'Kalkulation Herstellungskosten'!BC63)</f>
        <v xml:space="preserve">Wochenpauschale (§ 7 KV) </v>
      </c>
      <c r="C63" s="94">
        <v>0</v>
      </c>
      <c r="D63" s="386"/>
      <c r="E63" s="95"/>
      <c r="F63" s="1435"/>
      <c r="G63" s="96">
        <f ca="1">IF(AND(Stammblatt!$I$9=TRUE,GHSTK&lt;=1220000),Kollektivvertrag!$E$60,IF(AND(Stammblatt!$I$9=TRUE,GHSTK&lt;=1570000),AY63/2,AY63))</f>
        <v>5219.3077942838536</v>
      </c>
      <c r="H63" s="842" t="str">
        <f t="shared" ca="1" si="72"/>
        <v/>
      </c>
      <c r="I63" s="849" t="str">
        <f t="shared" si="73"/>
        <v/>
      </c>
      <c r="J63" s="747"/>
      <c r="K63" s="748"/>
      <c r="L63" s="359"/>
      <c r="M63" s="359"/>
      <c r="N63" s="334"/>
      <c r="O63" s="1405"/>
      <c r="P63" s="1431"/>
      <c r="Q63" s="1407"/>
      <c r="R63" s="1405"/>
      <c r="S63" s="514"/>
      <c r="T63" s="1405"/>
      <c r="U63" s="1405"/>
      <c r="V63" s="1433"/>
      <c r="W63" s="1433"/>
      <c r="X63" s="1405"/>
      <c r="Y63" s="1431"/>
      <c r="Z63" s="1407"/>
      <c r="AA63" s="1405"/>
      <c r="AB63" s="295"/>
      <c r="AC63" s="336"/>
      <c r="AD63" s="1411"/>
      <c r="AE63" s="1421"/>
      <c r="AF63" s="1409"/>
      <c r="AG63" s="1419"/>
      <c r="AH63" s="1411"/>
      <c r="AI63" s="1421"/>
      <c r="AJ63" s="1409"/>
      <c r="AK63" s="1419"/>
      <c r="AL63" s="1413"/>
      <c r="AM63" s="1421"/>
      <c r="AN63" s="1409"/>
      <c r="AO63" s="1419"/>
      <c r="AP63" s="1429"/>
      <c r="AQ63" s="1417">
        <f t="shared" si="74"/>
        <v>0</v>
      </c>
      <c r="AR63" s="1415">
        <f t="shared" si="75"/>
        <v>0</v>
      </c>
      <c r="AS63" s="310"/>
      <c r="AT63" s="310"/>
      <c r="AU63" s="393">
        <f ca="1">IF(AV63=TRUE,G63*0.8,G63)</f>
        <v>5219.3077942838536</v>
      </c>
      <c r="AV63" s="383" t="b">
        <v>0</v>
      </c>
      <c r="AW63" s="312">
        <f t="shared" ca="1" si="40"/>
        <v>6263.1693531406245</v>
      </c>
      <c r="AX63" s="312">
        <f t="shared" ca="1" si="41"/>
        <v>6785.1001325690095</v>
      </c>
      <c r="AY63" s="312">
        <f>IF(AND(Stammblatt!$I$7=TRUE,Stammblatt!$I$8=FALSE),Kollektivvertrag!E26,Kollektivvertrag!E27)</f>
        <v>5219.3077942838536</v>
      </c>
      <c r="AZ63" s="312"/>
      <c r="BA63" s="315"/>
      <c r="BB63" s="196" t="s">
        <v>45</v>
      </c>
      <c r="BC63" s="196" t="s">
        <v>1024</v>
      </c>
      <c r="BD63" s="313"/>
      <c r="BE63" s="313"/>
      <c r="BF63" s="313"/>
      <c r="BG63" s="313"/>
      <c r="BH63" s="313"/>
      <c r="BI63" s="313"/>
      <c r="BJ63" s="313"/>
      <c r="BK63" s="313"/>
      <c r="BL63" s="313"/>
      <c r="BM63" s="313"/>
      <c r="BN63" s="313"/>
      <c r="BO63" s="313"/>
      <c r="BP63" s="313"/>
      <c r="BQ63" s="313"/>
      <c r="BR63" s="313"/>
      <c r="BS63" s="313"/>
      <c r="BT63" s="313"/>
      <c r="BU63" s="313"/>
      <c r="BV63" s="313"/>
      <c r="BW63" s="313"/>
      <c r="BX63" s="313"/>
      <c r="BY63" s="313"/>
      <c r="BZ63" s="313"/>
      <c r="CA63" s="313"/>
      <c r="CB63" s="313"/>
      <c r="CC63" s="313"/>
      <c r="CD63" s="313"/>
      <c r="CE63" s="313"/>
    </row>
    <row r="64" spans="1:83" s="101" customFormat="1" ht="12.75" customHeight="1" x14ac:dyDescent="0.2">
      <c r="A64" s="1099">
        <v>29</v>
      </c>
      <c r="B64" s="1096" t="str">
        <f>IF(Stammblatt!$L$4=1,'Kalkulation Herstellungskosten'!BB64,'Kalkulation Herstellungskosten'!BC64)</f>
        <v>1. Kameraassistenz</v>
      </c>
      <c r="C64" s="99">
        <v>0</v>
      </c>
      <c r="D64" s="385"/>
      <c r="E64" s="103"/>
      <c r="F64" s="1434">
        <f>C64*E64+C65*E65</f>
        <v>0</v>
      </c>
      <c r="G64" s="100">
        <f ca="1">IF(AND(Stammblatt!$I$9=TRUE,GHSTK&lt;=1220000),Kollektivvertrag!$C$60,IF(AND(Stammblatt!$I$9=TRUE,GHSTK&lt;=1570000),Kollektivvertrag!C30/2,Kollektivvertrag!C30))</f>
        <v>1584.9776807514331</v>
      </c>
      <c r="H64" s="841" t="str">
        <f t="shared" ca="1" si="72"/>
        <v/>
      </c>
      <c r="I64" s="848" t="str">
        <f t="shared" si="73"/>
        <v/>
      </c>
      <c r="J64" s="751"/>
      <c r="K64" s="751"/>
      <c r="L64" s="556">
        <f>F64*J64</f>
        <v>0</v>
      </c>
      <c r="M64" s="557">
        <f>F64*K64</f>
        <v>0</v>
      </c>
      <c r="N64" s="558" t="str">
        <f>IF((L64+M64)&lt;&gt;F64,"?","")</f>
        <v/>
      </c>
      <c r="O64" s="1404"/>
      <c r="P64" s="1430"/>
      <c r="Q64" s="1406"/>
      <c r="R64" s="1404"/>
      <c r="S64" s="514"/>
      <c r="T64" s="1404"/>
      <c r="U64" s="1404"/>
      <c r="V64" s="1432">
        <f>SUM(T64:U65)</f>
        <v>0</v>
      </c>
      <c r="W64" s="1432">
        <f>F64-V64</f>
        <v>0</v>
      </c>
      <c r="X64" s="1404"/>
      <c r="Y64" s="1430"/>
      <c r="Z64" s="1406"/>
      <c r="AA64" s="1404"/>
      <c r="AB64" s="295"/>
      <c r="AC64" s="336"/>
      <c r="AD64" s="1410"/>
      <c r="AE64" s="1420"/>
      <c r="AF64" s="1408"/>
      <c r="AG64" s="1418">
        <f>SUM(AE64:AF65)</f>
        <v>0</v>
      </c>
      <c r="AH64" s="1410"/>
      <c r="AI64" s="1420"/>
      <c r="AJ64" s="1408"/>
      <c r="AK64" s="1418">
        <f>SUM(AI64:AJ65)</f>
        <v>0</v>
      </c>
      <c r="AL64" s="1412"/>
      <c r="AM64" s="1420"/>
      <c r="AN64" s="1408"/>
      <c r="AO64" s="1418">
        <f>SUM(AM64:AN65)</f>
        <v>0</v>
      </c>
      <c r="AP64" s="1428">
        <f>SUM(F64,AD64,AH64,AL64)</f>
        <v>0</v>
      </c>
      <c r="AQ64" s="1416">
        <f t="shared" si="74"/>
        <v>0</v>
      </c>
      <c r="AR64" s="1414">
        <f t="shared" si="75"/>
        <v>0</v>
      </c>
      <c r="AS64" s="310"/>
      <c r="AT64" s="310"/>
      <c r="AU64" s="393">
        <f ca="1">IF(AV65=TRUE,G64*0.8,G64)</f>
        <v>1584.9776807514331</v>
      </c>
      <c r="AV64" s="383"/>
      <c r="AW64" s="312">
        <f t="shared" ca="1" si="40"/>
        <v>1901.9732169017198</v>
      </c>
      <c r="AX64" s="312">
        <f t="shared" ca="1" si="41"/>
        <v>2060.4709849768633</v>
      </c>
      <c r="AY64" s="312"/>
      <c r="AZ64" s="312"/>
      <c r="BA64" s="312"/>
      <c r="BB64" s="196" t="s">
        <v>604</v>
      </c>
      <c r="BC64" s="196" t="s">
        <v>474</v>
      </c>
      <c r="BD64" s="313"/>
      <c r="BE64" s="313"/>
      <c r="BF64" s="313"/>
      <c r="BG64" s="313"/>
      <c r="BH64" s="313"/>
      <c r="BI64" s="313"/>
      <c r="BJ64" s="313"/>
      <c r="BK64" s="313"/>
      <c r="BL64" s="313"/>
      <c r="BM64" s="313"/>
      <c r="BN64" s="313"/>
      <c r="BO64" s="313"/>
      <c r="BP64" s="313"/>
      <c r="BQ64" s="313"/>
      <c r="BR64" s="313"/>
      <c r="BS64" s="313"/>
      <c r="BT64" s="313"/>
      <c r="BU64" s="313"/>
      <c r="BV64" s="313"/>
      <c r="BW64" s="313"/>
      <c r="BX64" s="313"/>
      <c r="BY64" s="313"/>
      <c r="BZ64" s="313"/>
      <c r="CA64" s="313"/>
      <c r="CB64" s="313"/>
      <c r="CC64" s="313"/>
      <c r="CD64" s="313"/>
      <c r="CE64" s="313"/>
    </row>
    <row r="65" spans="1:83" s="101" customFormat="1" ht="12.75" customHeight="1" x14ac:dyDescent="0.2">
      <c r="A65" s="1097"/>
      <c r="B65" s="1098" t="str">
        <f>IF(Stammblatt!$L$4=1,'Kalkulation Herstellungskosten'!BB65,'Kalkulation Herstellungskosten'!BC65)</f>
        <v xml:space="preserve">Wochenpauschale (§ 7 KV) </v>
      </c>
      <c r="C65" s="94">
        <v>0</v>
      </c>
      <c r="D65" s="386"/>
      <c r="E65" s="95"/>
      <c r="F65" s="1435"/>
      <c r="G65" s="96">
        <f ca="1">IF(AND(Stammblatt!$I$9=TRUE,GHSTK&lt;=1220000),Kollektivvertrag!$E$60,IF(AND(Stammblatt!$I$9=TRUE,GHSTK&lt;=1570000),Kollektivvertrag!E30/2,Kollektivvertrag!E30))</f>
        <v>2195.1940878407349</v>
      </c>
      <c r="H65" s="842" t="str">
        <f t="shared" ca="1" si="72"/>
        <v/>
      </c>
      <c r="I65" s="849" t="str">
        <f t="shared" si="73"/>
        <v/>
      </c>
      <c r="J65" s="747"/>
      <c r="K65" s="748"/>
      <c r="L65" s="359"/>
      <c r="M65" s="359"/>
      <c r="N65" s="334"/>
      <c r="O65" s="1405"/>
      <c r="P65" s="1431"/>
      <c r="Q65" s="1407"/>
      <c r="R65" s="1405"/>
      <c r="S65" s="514"/>
      <c r="T65" s="1405"/>
      <c r="U65" s="1405"/>
      <c r="V65" s="1433"/>
      <c r="W65" s="1433"/>
      <c r="X65" s="1405"/>
      <c r="Y65" s="1431"/>
      <c r="Z65" s="1407"/>
      <c r="AA65" s="1405"/>
      <c r="AB65" s="295"/>
      <c r="AC65" s="336"/>
      <c r="AD65" s="1411"/>
      <c r="AE65" s="1421"/>
      <c r="AF65" s="1409"/>
      <c r="AG65" s="1419"/>
      <c r="AH65" s="1411"/>
      <c r="AI65" s="1421"/>
      <c r="AJ65" s="1409"/>
      <c r="AK65" s="1419"/>
      <c r="AL65" s="1413"/>
      <c r="AM65" s="1421"/>
      <c r="AN65" s="1409"/>
      <c r="AO65" s="1419"/>
      <c r="AP65" s="1429"/>
      <c r="AQ65" s="1417">
        <f t="shared" si="74"/>
        <v>0</v>
      </c>
      <c r="AR65" s="1415">
        <f t="shared" si="75"/>
        <v>0</v>
      </c>
      <c r="AS65" s="310"/>
      <c r="AT65" s="310"/>
      <c r="AU65" s="393">
        <f ca="1">IF(AV65=TRUE,G65*0.8,G65)</f>
        <v>2195.1940878407349</v>
      </c>
      <c r="AV65" s="383" t="b">
        <v>0</v>
      </c>
      <c r="AW65" s="312">
        <f t="shared" ca="1" si="40"/>
        <v>2634.2329054088818</v>
      </c>
      <c r="AX65" s="312">
        <f t="shared" ca="1" si="41"/>
        <v>2853.7523141929555</v>
      </c>
      <c r="AY65" s="312"/>
      <c r="AZ65" s="312"/>
      <c r="BA65" s="315"/>
      <c r="BB65" s="196" t="s">
        <v>45</v>
      </c>
      <c r="BC65" s="196" t="s">
        <v>1024</v>
      </c>
      <c r="BD65" s="313"/>
      <c r="BE65" s="313"/>
      <c r="BF65" s="313"/>
      <c r="BG65" s="313"/>
      <c r="BH65" s="313"/>
      <c r="BI65" s="313"/>
      <c r="BJ65" s="313"/>
      <c r="BK65" s="313"/>
      <c r="BL65" s="313"/>
      <c r="BM65" s="313"/>
      <c r="BN65" s="313"/>
      <c r="BO65" s="313"/>
      <c r="BP65" s="313"/>
      <c r="BQ65" s="313"/>
      <c r="BR65" s="313"/>
      <c r="BS65" s="313"/>
      <c r="BT65" s="313"/>
      <c r="BU65" s="313"/>
      <c r="BV65" s="313"/>
      <c r="BW65" s="313"/>
      <c r="BX65" s="313"/>
      <c r="BY65" s="313"/>
      <c r="BZ65" s="313"/>
      <c r="CA65" s="313"/>
      <c r="CB65" s="313"/>
      <c r="CC65" s="313"/>
      <c r="CD65" s="313"/>
      <c r="CE65" s="313"/>
    </row>
    <row r="66" spans="1:83" s="101" customFormat="1" ht="12.75" customHeight="1" x14ac:dyDescent="0.2">
      <c r="A66" s="1099">
        <v>30</v>
      </c>
      <c r="B66" s="1096" t="str">
        <f>IF(Stammblatt!$L$4=1,'Kalkulation Herstellungskosten'!BB66,'Kalkulation Herstellungskosten'!BC66)</f>
        <v>2. Kameraassistenz</v>
      </c>
      <c r="C66" s="99">
        <v>0</v>
      </c>
      <c r="D66" s="385"/>
      <c r="E66" s="103"/>
      <c r="F66" s="1434">
        <f>C66*E66+C67*E67</f>
        <v>0</v>
      </c>
      <c r="G66" s="100">
        <f>IF(Stammblatt!$I$9=TRUE,Kollektivvertrag!$C$60,Kollektivvertrag!C31)</f>
        <v>1206.875981279037</v>
      </c>
      <c r="H66" s="841" t="str">
        <f t="shared" si="72"/>
        <v/>
      </c>
      <c r="I66" s="848" t="str">
        <f t="shared" si="73"/>
        <v/>
      </c>
      <c r="J66" s="751"/>
      <c r="K66" s="751"/>
      <c r="L66" s="556">
        <f>F66*J66</f>
        <v>0</v>
      </c>
      <c r="M66" s="557">
        <f>F66*K66</f>
        <v>0</v>
      </c>
      <c r="N66" s="558" t="str">
        <f>IF((L66+M66)&lt;&gt;F66,"?","")</f>
        <v/>
      </c>
      <c r="O66" s="1404"/>
      <c r="P66" s="1430"/>
      <c r="Q66" s="1406"/>
      <c r="R66" s="1404"/>
      <c r="S66" s="514"/>
      <c r="T66" s="1404"/>
      <c r="U66" s="1404"/>
      <c r="V66" s="1432">
        <f>SUM(T66:U67)</f>
        <v>0</v>
      </c>
      <c r="W66" s="1432">
        <f>F66-V66</f>
        <v>0</v>
      </c>
      <c r="X66" s="1404"/>
      <c r="Y66" s="1430"/>
      <c r="Z66" s="1406"/>
      <c r="AA66" s="1404"/>
      <c r="AB66" s="295"/>
      <c r="AC66" s="336"/>
      <c r="AD66" s="1410"/>
      <c r="AE66" s="1420"/>
      <c r="AF66" s="1408"/>
      <c r="AG66" s="1418">
        <f>SUM(AE66:AF67)</f>
        <v>0</v>
      </c>
      <c r="AH66" s="1410"/>
      <c r="AI66" s="1420"/>
      <c r="AJ66" s="1408"/>
      <c r="AK66" s="1418">
        <f>SUM(AI66:AJ67)</f>
        <v>0</v>
      </c>
      <c r="AL66" s="1412"/>
      <c r="AM66" s="1420"/>
      <c r="AN66" s="1408"/>
      <c r="AO66" s="1418">
        <f>SUM(AM66:AN67)</f>
        <v>0</v>
      </c>
      <c r="AP66" s="1428">
        <f>SUM(F66,AD66,AH66,AL66)</f>
        <v>0</v>
      </c>
      <c r="AQ66" s="1416">
        <f t="shared" si="74"/>
        <v>0</v>
      </c>
      <c r="AR66" s="1414">
        <f t="shared" si="75"/>
        <v>0</v>
      </c>
      <c r="AS66" s="310"/>
      <c r="AT66" s="310"/>
      <c r="AU66" s="393">
        <f>IF(AV67=TRUE,G66*0.8,G66)</f>
        <v>1206.875981279037</v>
      </c>
      <c r="AV66" s="383"/>
      <c r="AW66" s="312">
        <f t="shared" si="40"/>
        <v>1448.2511775348444</v>
      </c>
      <c r="AX66" s="312">
        <f t="shared" si="41"/>
        <v>1568.9387756627482</v>
      </c>
      <c r="AY66" s="312"/>
      <c r="AZ66" s="312"/>
      <c r="BA66" s="312"/>
      <c r="BB66" s="196" t="s">
        <v>605</v>
      </c>
      <c r="BC66" s="196" t="s">
        <v>475</v>
      </c>
      <c r="BD66" s="313"/>
      <c r="BE66" s="313"/>
      <c r="BF66" s="313"/>
      <c r="BG66" s="313"/>
      <c r="BH66" s="313"/>
      <c r="BI66" s="313"/>
      <c r="BJ66" s="313"/>
      <c r="BK66" s="313"/>
      <c r="BL66" s="313"/>
      <c r="BM66" s="313"/>
      <c r="BN66" s="313"/>
      <c r="BO66" s="313"/>
      <c r="BP66" s="313"/>
      <c r="BQ66" s="313"/>
      <c r="BR66" s="313"/>
      <c r="BS66" s="313"/>
      <c r="BT66" s="313"/>
      <c r="BU66" s="313"/>
      <c r="BV66" s="313"/>
      <c r="BW66" s="313"/>
      <c r="BX66" s="313"/>
      <c r="BY66" s="313"/>
      <c r="BZ66" s="313"/>
      <c r="CA66" s="313"/>
      <c r="CB66" s="313"/>
      <c r="CC66" s="313"/>
      <c r="CD66" s="313"/>
      <c r="CE66" s="313"/>
    </row>
    <row r="67" spans="1:83" s="101" customFormat="1" ht="12.75" customHeight="1" x14ac:dyDescent="0.2">
      <c r="A67" s="1097"/>
      <c r="B67" s="1098" t="str">
        <f>IF(Stammblatt!$L$4=1,'Kalkulation Herstellungskosten'!BB67,'Kalkulation Herstellungskosten'!BC67)</f>
        <v xml:space="preserve">Wochenpauschale (§ 7 KV) </v>
      </c>
      <c r="C67" s="94">
        <v>0</v>
      </c>
      <c r="D67" s="386"/>
      <c r="E67" s="95"/>
      <c r="F67" s="1435"/>
      <c r="G67" s="96">
        <f>IF(Stammblatt!$I$9=TRUE,Kollektivvertrag!$E$60,Kollektivvertrag!E31)</f>
        <v>1671.523234071466</v>
      </c>
      <c r="H67" s="842" t="str">
        <f t="shared" si="72"/>
        <v/>
      </c>
      <c r="I67" s="849" t="str">
        <f t="shared" si="73"/>
        <v/>
      </c>
      <c r="J67" s="747"/>
      <c r="K67" s="748"/>
      <c r="L67" s="359"/>
      <c r="M67" s="359"/>
      <c r="N67" s="334"/>
      <c r="O67" s="1405"/>
      <c r="P67" s="1431"/>
      <c r="Q67" s="1407"/>
      <c r="R67" s="1405"/>
      <c r="S67" s="514"/>
      <c r="T67" s="1405"/>
      <c r="U67" s="1405"/>
      <c r="V67" s="1433"/>
      <c r="W67" s="1433"/>
      <c r="X67" s="1405"/>
      <c r="Y67" s="1431"/>
      <c r="Z67" s="1407"/>
      <c r="AA67" s="1405"/>
      <c r="AB67" s="295"/>
      <c r="AC67" s="336"/>
      <c r="AD67" s="1411"/>
      <c r="AE67" s="1421"/>
      <c r="AF67" s="1409"/>
      <c r="AG67" s="1419"/>
      <c r="AH67" s="1411"/>
      <c r="AI67" s="1421"/>
      <c r="AJ67" s="1409"/>
      <c r="AK67" s="1419"/>
      <c r="AL67" s="1413"/>
      <c r="AM67" s="1421"/>
      <c r="AN67" s="1409"/>
      <c r="AO67" s="1419"/>
      <c r="AP67" s="1429"/>
      <c r="AQ67" s="1417">
        <f t="shared" si="74"/>
        <v>0</v>
      </c>
      <c r="AR67" s="1415">
        <f t="shared" si="75"/>
        <v>0</v>
      </c>
      <c r="AS67" s="310"/>
      <c r="AT67" s="310"/>
      <c r="AU67" s="393">
        <f>IF(AV67=TRUE,G67*0.8,G67)</f>
        <v>1671.523234071466</v>
      </c>
      <c r="AV67" s="383" t="b">
        <v>0</v>
      </c>
      <c r="AW67" s="312">
        <f t="shared" si="40"/>
        <v>2005.8278808857592</v>
      </c>
      <c r="AX67" s="312">
        <f t="shared" si="41"/>
        <v>2172.9802042929059</v>
      </c>
      <c r="AY67" s="312"/>
      <c r="AZ67" s="312"/>
      <c r="BA67" s="315"/>
      <c r="BB67" s="196" t="s">
        <v>45</v>
      </c>
      <c r="BC67" s="196" t="s">
        <v>1024</v>
      </c>
      <c r="BD67" s="313"/>
      <c r="BE67" s="313"/>
      <c r="BF67" s="313"/>
      <c r="BG67" s="313"/>
      <c r="BH67" s="313"/>
      <c r="BI67" s="313"/>
      <c r="BJ67" s="313"/>
      <c r="BK67" s="313"/>
      <c r="BL67" s="313"/>
      <c r="BM67" s="313"/>
      <c r="BN67" s="313"/>
      <c r="BO67" s="313"/>
      <c r="BP67" s="313"/>
      <c r="BQ67" s="313"/>
      <c r="BR67" s="313"/>
      <c r="BS67" s="313"/>
      <c r="BT67" s="313"/>
      <c r="BU67" s="313"/>
      <c r="BV67" s="313"/>
      <c r="BW67" s="313"/>
      <c r="BX67" s="313"/>
      <c r="BY67" s="313"/>
      <c r="BZ67" s="313"/>
      <c r="CA67" s="313"/>
      <c r="CB67" s="313"/>
      <c r="CC67" s="313"/>
      <c r="CD67" s="313"/>
      <c r="CE67" s="313"/>
    </row>
    <row r="68" spans="1:83" s="101" customFormat="1" ht="12.75" customHeight="1" x14ac:dyDescent="0.2">
      <c r="A68" s="1099">
        <v>31</v>
      </c>
      <c r="B68" s="1096" t="str">
        <f>IF(Stammblatt!$L$4=1,'Kalkulation Herstellungskosten'!BB68,'Kalkulation Herstellungskosten'!BC68)</f>
        <v>Kamera im Verbund, Schwenker*in</v>
      </c>
      <c r="C68" s="99">
        <v>0</v>
      </c>
      <c r="D68" s="385"/>
      <c r="E68" s="103"/>
      <c r="F68" s="1434">
        <f>C68*E68+C69*E69</f>
        <v>0</v>
      </c>
      <c r="G68" s="100">
        <f ca="1">IF(AND(Stammblatt!$I$9=TRUE,GHSTK&lt;=1220000),Kollektivvertrag!$C$60,IF(AND(Stammblatt!$I$9=TRUE,GHSTK&lt;=1570000),Kollektivvertrag!C29/2,Kollektivvertrag!C29))</f>
        <v>1623.5571266130048</v>
      </c>
      <c r="H68" s="841" t="str">
        <f t="shared" ca="1" si="72"/>
        <v/>
      </c>
      <c r="I68" s="848" t="str">
        <f t="shared" si="73"/>
        <v/>
      </c>
      <c r="J68" s="751"/>
      <c r="K68" s="751"/>
      <c r="L68" s="556">
        <f>F68*J68</f>
        <v>0</v>
      </c>
      <c r="M68" s="557">
        <f>F68*K68</f>
        <v>0</v>
      </c>
      <c r="N68" s="558" t="str">
        <f>IF((L68+M68)&lt;&gt;F68,"?","")</f>
        <v/>
      </c>
      <c r="O68" s="1404"/>
      <c r="P68" s="1430"/>
      <c r="Q68" s="1406"/>
      <c r="R68" s="1404"/>
      <c r="S68" s="514"/>
      <c r="T68" s="1404"/>
      <c r="U68" s="1404"/>
      <c r="V68" s="1432">
        <f>SUM(T68:U69)</f>
        <v>0</v>
      </c>
      <c r="W68" s="1432">
        <f>F68-V68</f>
        <v>0</v>
      </c>
      <c r="X68" s="1404"/>
      <c r="Y68" s="1430"/>
      <c r="Z68" s="1406"/>
      <c r="AA68" s="1404"/>
      <c r="AB68" s="295"/>
      <c r="AC68" s="336"/>
      <c r="AD68" s="1410"/>
      <c r="AE68" s="1420"/>
      <c r="AF68" s="1408"/>
      <c r="AG68" s="1418">
        <f>SUM(AE68:AF69)</f>
        <v>0</v>
      </c>
      <c r="AH68" s="1410"/>
      <c r="AI68" s="1420"/>
      <c r="AJ68" s="1408"/>
      <c r="AK68" s="1418">
        <f>SUM(AI68:AJ69)</f>
        <v>0</v>
      </c>
      <c r="AL68" s="1412"/>
      <c r="AM68" s="1420"/>
      <c r="AN68" s="1408"/>
      <c r="AO68" s="1418">
        <f>SUM(AM68:AN69)</f>
        <v>0</v>
      </c>
      <c r="AP68" s="1428">
        <f>SUM(F68,AD68,AH68,AL68)</f>
        <v>0</v>
      </c>
      <c r="AQ68" s="1416">
        <f t="shared" si="74"/>
        <v>0</v>
      </c>
      <c r="AR68" s="1414">
        <f t="shared" si="75"/>
        <v>0</v>
      </c>
      <c r="AS68" s="310"/>
      <c r="AT68" s="310"/>
      <c r="AU68" s="393">
        <f ca="1">IF(AV69=TRUE,G68*0.8,G68)</f>
        <v>1623.5571266130048</v>
      </c>
      <c r="AV68" s="383"/>
      <c r="AW68" s="312">
        <f t="shared" ca="1" si="40"/>
        <v>1948.2685519356057</v>
      </c>
      <c r="AX68" s="312">
        <f t="shared" ca="1" si="41"/>
        <v>2110.6242645969064</v>
      </c>
      <c r="AY68" s="312"/>
      <c r="AZ68" s="312"/>
      <c r="BA68" s="312"/>
      <c r="BB68" s="196" t="s">
        <v>840</v>
      </c>
      <c r="BC68" s="196" t="s">
        <v>316</v>
      </c>
      <c r="BD68" s="313"/>
      <c r="BE68" s="313"/>
      <c r="BF68" s="313"/>
      <c r="BG68" s="313"/>
      <c r="BH68" s="313"/>
      <c r="BI68" s="313"/>
      <c r="BJ68" s="313"/>
      <c r="BK68" s="313"/>
      <c r="BL68" s="313"/>
      <c r="BM68" s="313"/>
      <c r="BN68" s="313"/>
      <c r="BO68" s="313"/>
      <c r="BP68" s="313"/>
      <c r="BQ68" s="313"/>
      <c r="BR68" s="313"/>
      <c r="BS68" s="313"/>
      <c r="BT68" s="313"/>
      <c r="BU68" s="313"/>
      <c r="BV68" s="313"/>
      <c r="BW68" s="313"/>
      <c r="BX68" s="313"/>
      <c r="BY68" s="313"/>
      <c r="BZ68" s="313"/>
      <c r="CA68" s="313"/>
      <c r="CB68" s="313"/>
      <c r="CC68" s="313"/>
      <c r="CD68" s="313"/>
      <c r="CE68" s="313"/>
    </row>
    <row r="69" spans="1:83" s="101" customFormat="1" ht="12.75" customHeight="1" x14ac:dyDescent="0.2">
      <c r="A69" s="1097"/>
      <c r="B69" s="1098" t="str">
        <f>IF(Stammblatt!$L$4=1,'Kalkulation Herstellungskosten'!BB69,'Kalkulation Herstellungskosten'!BC69)</f>
        <v xml:space="preserve">Wochenpauschale (§ 7 KV) </v>
      </c>
      <c r="C69" s="94">
        <v>0</v>
      </c>
      <c r="D69" s="386"/>
      <c r="E69" s="95"/>
      <c r="F69" s="1435"/>
      <c r="G69" s="96">
        <f ca="1">IF(AND(Stammblatt!$I$9=TRUE,GHSTK&lt;=1220000),Kollektivvertrag!$E$60,IF(AND(Stammblatt!$I$9=TRUE,GHSTK&lt;=1570000),Kollektivvertrag!E29/2,Kollektivvertrag!E29))</f>
        <v>2248.6266203590121</v>
      </c>
      <c r="H69" s="842" t="str">
        <f t="shared" ca="1" si="72"/>
        <v/>
      </c>
      <c r="I69" s="849" t="str">
        <f t="shared" si="73"/>
        <v/>
      </c>
      <c r="J69" s="747"/>
      <c r="K69" s="748"/>
      <c r="L69" s="359"/>
      <c r="M69" s="359"/>
      <c r="N69" s="334"/>
      <c r="O69" s="1405"/>
      <c r="P69" s="1431"/>
      <c r="Q69" s="1407"/>
      <c r="R69" s="1405"/>
      <c r="S69" s="514"/>
      <c r="T69" s="1405"/>
      <c r="U69" s="1405"/>
      <c r="V69" s="1433"/>
      <c r="W69" s="1433"/>
      <c r="X69" s="1405"/>
      <c r="Y69" s="1431"/>
      <c r="Z69" s="1407"/>
      <c r="AA69" s="1405"/>
      <c r="AB69" s="295"/>
      <c r="AC69" s="336"/>
      <c r="AD69" s="1411"/>
      <c r="AE69" s="1421"/>
      <c r="AF69" s="1409"/>
      <c r="AG69" s="1419"/>
      <c r="AH69" s="1411"/>
      <c r="AI69" s="1421"/>
      <c r="AJ69" s="1409"/>
      <c r="AK69" s="1419"/>
      <c r="AL69" s="1413"/>
      <c r="AM69" s="1421"/>
      <c r="AN69" s="1409"/>
      <c r="AO69" s="1419"/>
      <c r="AP69" s="1429"/>
      <c r="AQ69" s="1417">
        <f t="shared" si="74"/>
        <v>0</v>
      </c>
      <c r="AR69" s="1415">
        <f t="shared" si="75"/>
        <v>0</v>
      </c>
      <c r="AS69" s="310"/>
      <c r="AT69" s="310"/>
      <c r="AU69" s="393">
        <f ca="1">IF(AV69=TRUE,G69*0.8,G69)</f>
        <v>2248.6266203590121</v>
      </c>
      <c r="AV69" s="383" t="b">
        <v>0</v>
      </c>
      <c r="AW69" s="312">
        <f t="shared" ca="1" si="40"/>
        <v>2698.3519444308145</v>
      </c>
      <c r="AX69" s="312">
        <f t="shared" ca="1" si="41"/>
        <v>2923.2146064667158</v>
      </c>
      <c r="AY69" s="312"/>
      <c r="AZ69" s="312"/>
      <c r="BA69" s="315"/>
      <c r="BB69" s="196" t="s">
        <v>45</v>
      </c>
      <c r="BC69" s="196" t="s">
        <v>1024</v>
      </c>
      <c r="BD69" s="313"/>
      <c r="BE69" s="313"/>
      <c r="BF69" s="313"/>
      <c r="BG69" s="313"/>
      <c r="BH69" s="313"/>
      <c r="BI69" s="313"/>
      <c r="BJ69" s="313"/>
      <c r="BK69" s="313"/>
      <c r="BL69" s="313"/>
      <c r="BM69" s="313"/>
      <c r="BN69" s="313"/>
      <c r="BO69" s="313"/>
      <c r="BP69" s="313"/>
      <c r="BQ69" s="313"/>
      <c r="BR69" s="313"/>
      <c r="BS69" s="313"/>
      <c r="BT69" s="313"/>
      <c r="BU69" s="313"/>
      <c r="BV69" s="313"/>
      <c r="BW69" s="313"/>
      <c r="BX69" s="313"/>
      <c r="BY69" s="313"/>
      <c r="BZ69" s="313"/>
      <c r="CA69" s="313"/>
      <c r="CB69" s="313"/>
      <c r="CC69" s="313"/>
      <c r="CD69" s="313"/>
      <c r="CE69" s="313"/>
    </row>
    <row r="70" spans="1:83" s="101" customFormat="1" ht="12.75" customHeight="1" x14ac:dyDescent="0.2">
      <c r="A70" s="1099">
        <v>32</v>
      </c>
      <c r="B70" s="1096" t="str">
        <f>IF(Stammblatt!$L$4=1,'Kalkulation Herstellungskosten'!BB70,'Kalkulation Herstellungskosten'!BC70)</f>
        <v>1. Kamerabühne</v>
      </c>
      <c r="C70" s="99">
        <v>0</v>
      </c>
      <c r="D70" s="385"/>
      <c r="E70" s="103"/>
      <c r="F70" s="1434">
        <f>C70*E70+C71*E71</f>
        <v>0</v>
      </c>
      <c r="G70" s="100">
        <f>IF(Stammblatt!$I$9=TRUE,Kollektivvertrag!$C$60,Kollektivvertrag!C73)</f>
        <v>1385.3601674804368</v>
      </c>
      <c r="H70" s="841" t="str">
        <f t="shared" si="72"/>
        <v/>
      </c>
      <c r="I70" s="848" t="str">
        <f t="shared" si="73"/>
        <v/>
      </c>
      <c r="J70" s="751"/>
      <c r="K70" s="751"/>
      <c r="L70" s="556">
        <f>F70*J70</f>
        <v>0</v>
      </c>
      <c r="M70" s="557">
        <f>F70*K70</f>
        <v>0</v>
      </c>
      <c r="N70" s="558" t="str">
        <f>IF((L70+M70)&lt;&gt;F70,"?","")</f>
        <v/>
      </c>
      <c r="O70" s="1404"/>
      <c r="P70" s="1430"/>
      <c r="Q70" s="1406"/>
      <c r="R70" s="1404"/>
      <c r="S70" s="514"/>
      <c r="T70" s="1404"/>
      <c r="U70" s="1404"/>
      <c r="V70" s="1432">
        <f t="shared" ref="V70" si="78">SUM(T70:U71)</f>
        <v>0</v>
      </c>
      <c r="W70" s="1432">
        <f t="shared" ref="W70" si="79">F70-V70</f>
        <v>0</v>
      </c>
      <c r="X70" s="1404"/>
      <c r="Y70" s="1430"/>
      <c r="Z70" s="1406"/>
      <c r="AA70" s="1404"/>
      <c r="AB70" s="295"/>
      <c r="AC70" s="336"/>
      <c r="AD70" s="1410"/>
      <c r="AE70" s="1420"/>
      <c r="AF70" s="1408"/>
      <c r="AG70" s="1418">
        <f t="shared" ref="AG70" si="80">SUM(AE70:AF71)</f>
        <v>0</v>
      </c>
      <c r="AH70" s="1410"/>
      <c r="AI70" s="1420"/>
      <c r="AJ70" s="1408"/>
      <c r="AK70" s="1418">
        <f t="shared" ref="AK70" si="81">SUM(AI70:AJ71)</f>
        <v>0</v>
      </c>
      <c r="AL70" s="1412"/>
      <c r="AM70" s="1420"/>
      <c r="AN70" s="1408"/>
      <c r="AO70" s="1418">
        <f t="shared" ref="AO70" si="82">SUM(AM70:AN71)</f>
        <v>0</v>
      </c>
      <c r="AP70" s="1428">
        <f>SUM(F70,AD70,AH70,AL70)</f>
        <v>0</v>
      </c>
      <c r="AQ70" s="1416">
        <f t="shared" si="74"/>
        <v>0</v>
      </c>
      <c r="AR70" s="1414">
        <f t="shared" si="75"/>
        <v>0</v>
      </c>
      <c r="AS70" s="310"/>
      <c r="AT70" s="310"/>
      <c r="AU70" s="393">
        <f>IF(AV71=TRUE,G70*0.8,G70)</f>
        <v>1385.3601674804368</v>
      </c>
      <c r="AV70" s="383"/>
      <c r="AW70" s="312">
        <f t="shared" ref="AW70:AW75" si="83">G70*1.2</f>
        <v>1662.432200976524</v>
      </c>
      <c r="AX70" s="312">
        <f t="shared" ref="AX70:AX75" si="84">G70*1.3</f>
        <v>1800.9682177245679</v>
      </c>
      <c r="AY70" s="312"/>
      <c r="AZ70" s="312"/>
      <c r="BA70" s="315"/>
      <c r="BB70" s="196" t="s">
        <v>924</v>
      </c>
      <c r="BC70" s="196" t="s">
        <v>1025</v>
      </c>
      <c r="BD70" s="313"/>
      <c r="BE70" s="313"/>
      <c r="BF70" s="313"/>
      <c r="BG70" s="313"/>
      <c r="BH70" s="313"/>
      <c r="BI70" s="313"/>
      <c r="BJ70" s="313"/>
      <c r="BK70" s="313"/>
      <c r="BL70" s="313"/>
      <c r="BM70" s="313"/>
      <c r="BN70" s="313"/>
      <c r="BO70" s="313"/>
      <c r="BP70" s="313"/>
      <c r="BQ70" s="313"/>
      <c r="BR70" s="313"/>
      <c r="BS70" s="313"/>
      <c r="BT70" s="313"/>
      <c r="BU70" s="313"/>
      <c r="BV70" s="313"/>
      <c r="BW70" s="313"/>
      <c r="BX70" s="313"/>
      <c r="BY70" s="313"/>
      <c r="BZ70" s="313"/>
      <c r="CA70" s="313"/>
      <c r="CB70" s="313"/>
      <c r="CC70" s="313"/>
      <c r="CD70" s="313"/>
      <c r="CE70" s="313"/>
    </row>
    <row r="71" spans="1:83" s="101" customFormat="1" ht="12.75" customHeight="1" x14ac:dyDescent="0.2">
      <c r="A71" s="1097"/>
      <c r="B71" s="1098" t="str">
        <f>IF(Stammblatt!$L$4=1,'Kalkulation Herstellungskosten'!BB71,'Kalkulation Herstellungskosten'!BC71)</f>
        <v xml:space="preserve">Wochenpauschale (§ 7 KV) </v>
      </c>
      <c r="C71" s="94">
        <v>0</v>
      </c>
      <c r="D71" s="386"/>
      <c r="E71" s="95"/>
      <c r="F71" s="1435"/>
      <c r="G71" s="96">
        <f>IF(Stammblatt!$I$9=TRUE,Kollektivvertrag!$E$60,Kollektivvertrag!E73)</f>
        <v>1918.7238319604051</v>
      </c>
      <c r="H71" s="842" t="str">
        <f t="shared" si="72"/>
        <v/>
      </c>
      <c r="I71" s="849" t="str">
        <f t="shared" si="73"/>
        <v/>
      </c>
      <c r="J71" s="747"/>
      <c r="K71" s="748"/>
      <c r="L71" s="359"/>
      <c r="M71" s="359"/>
      <c r="N71" s="334"/>
      <c r="O71" s="1405"/>
      <c r="P71" s="1431"/>
      <c r="Q71" s="1407"/>
      <c r="R71" s="1405"/>
      <c r="S71" s="514"/>
      <c r="T71" s="1405"/>
      <c r="U71" s="1405"/>
      <c r="V71" s="1433"/>
      <c r="W71" s="1433"/>
      <c r="X71" s="1405"/>
      <c r="Y71" s="1431"/>
      <c r="Z71" s="1407"/>
      <c r="AA71" s="1405"/>
      <c r="AB71" s="295"/>
      <c r="AC71" s="336"/>
      <c r="AD71" s="1411"/>
      <c r="AE71" s="1421"/>
      <c r="AF71" s="1409"/>
      <c r="AG71" s="1419"/>
      <c r="AH71" s="1411"/>
      <c r="AI71" s="1421"/>
      <c r="AJ71" s="1409"/>
      <c r="AK71" s="1419"/>
      <c r="AL71" s="1413"/>
      <c r="AM71" s="1421"/>
      <c r="AN71" s="1409"/>
      <c r="AO71" s="1419"/>
      <c r="AP71" s="1429"/>
      <c r="AQ71" s="1417">
        <f t="shared" si="74"/>
        <v>0</v>
      </c>
      <c r="AR71" s="1415">
        <f t="shared" si="75"/>
        <v>0</v>
      </c>
      <c r="AS71" s="310"/>
      <c r="AT71" s="310"/>
      <c r="AU71" s="393">
        <f>IF(AV71=TRUE,G71*0.8,G71)</f>
        <v>1918.7238319604051</v>
      </c>
      <c r="AV71" s="383" t="b">
        <v>0</v>
      </c>
      <c r="AW71" s="312">
        <f t="shared" si="83"/>
        <v>2302.468598352486</v>
      </c>
      <c r="AX71" s="312">
        <f t="shared" si="84"/>
        <v>2494.3409815485265</v>
      </c>
      <c r="AY71" s="312"/>
      <c r="AZ71" s="312"/>
      <c r="BA71" s="315"/>
      <c r="BB71" s="196" t="s">
        <v>45</v>
      </c>
      <c r="BC71" s="196" t="s">
        <v>1024</v>
      </c>
      <c r="BD71" s="313"/>
      <c r="BE71" s="313"/>
      <c r="BF71" s="313"/>
      <c r="BG71" s="313"/>
      <c r="BH71" s="313"/>
      <c r="BI71" s="313"/>
      <c r="BJ71" s="313"/>
      <c r="BK71" s="313"/>
      <c r="BL71" s="313"/>
      <c r="BM71" s="313"/>
      <c r="BN71" s="313"/>
      <c r="BO71" s="313"/>
      <c r="BP71" s="313"/>
      <c r="BQ71" s="313"/>
      <c r="BR71" s="313"/>
      <c r="BS71" s="313"/>
      <c r="BT71" s="313"/>
      <c r="BU71" s="313"/>
      <c r="BV71" s="313"/>
      <c r="BW71" s="313"/>
      <c r="BX71" s="313"/>
      <c r="BY71" s="313"/>
      <c r="BZ71" s="313"/>
      <c r="CA71" s="313"/>
      <c r="CB71" s="313"/>
      <c r="CC71" s="313"/>
      <c r="CD71" s="313"/>
      <c r="CE71" s="313"/>
    </row>
    <row r="72" spans="1:83" s="101" customFormat="1" ht="12.75" customHeight="1" x14ac:dyDescent="0.2">
      <c r="A72" s="1099">
        <v>33</v>
      </c>
      <c r="B72" s="1096" t="str">
        <f>IF(Stammblatt!$L$4=1,'Kalkulation Herstellungskosten'!BB72,'Kalkulation Herstellungskosten'!BC72)</f>
        <v>2. Kamerabühne</v>
      </c>
      <c r="C72" s="99">
        <v>0</v>
      </c>
      <c r="D72" s="385"/>
      <c r="E72" s="103"/>
      <c r="F72" s="1434">
        <f>C72*E72+C73*E73</f>
        <v>0</v>
      </c>
      <c r="G72" s="100">
        <f>IF(Stammblatt!$I$9=TRUE,Kollektivvertrag!$C$60,Kollektivvertrag!C74)</f>
        <v>1175.4502707513961</v>
      </c>
      <c r="H72" s="841" t="str">
        <f t="shared" si="72"/>
        <v/>
      </c>
      <c r="I72" s="848" t="str">
        <f t="shared" si="73"/>
        <v/>
      </c>
      <c r="J72" s="751"/>
      <c r="K72" s="751"/>
      <c r="L72" s="556">
        <f>F72*J72</f>
        <v>0</v>
      </c>
      <c r="M72" s="557">
        <f>F72*K72</f>
        <v>0</v>
      </c>
      <c r="N72" s="558" t="str">
        <f>IF((L72+M72)&lt;&gt;F72,"?","")</f>
        <v/>
      </c>
      <c r="O72" s="1404"/>
      <c r="P72" s="1430"/>
      <c r="Q72" s="1406"/>
      <c r="R72" s="1404"/>
      <c r="S72" s="514"/>
      <c r="T72" s="1404"/>
      <c r="U72" s="1404"/>
      <c r="V72" s="1432">
        <f t="shared" ref="V72:V74" si="85">SUM(T72:U73)</f>
        <v>0</v>
      </c>
      <c r="W72" s="1432">
        <f t="shared" ref="W72" si="86">F72-V72</f>
        <v>0</v>
      </c>
      <c r="X72" s="1404"/>
      <c r="Y72" s="1430"/>
      <c r="Z72" s="1406"/>
      <c r="AA72" s="1404"/>
      <c r="AB72" s="295"/>
      <c r="AC72" s="336"/>
      <c r="AD72" s="1410"/>
      <c r="AE72" s="1420"/>
      <c r="AF72" s="1408"/>
      <c r="AG72" s="1418">
        <f t="shared" ref="AG72:AG74" si="87">SUM(AE72:AF73)</f>
        <v>0</v>
      </c>
      <c r="AH72" s="1410"/>
      <c r="AI72" s="1420"/>
      <c r="AJ72" s="1408"/>
      <c r="AK72" s="1418">
        <f t="shared" ref="AK72:AK74" si="88">SUM(AI72:AJ73)</f>
        <v>0</v>
      </c>
      <c r="AL72" s="1412"/>
      <c r="AM72" s="1420"/>
      <c r="AN72" s="1408"/>
      <c r="AO72" s="1418">
        <f t="shared" ref="AO72:AO74" si="89">SUM(AM72:AN73)</f>
        <v>0</v>
      </c>
      <c r="AP72" s="1428">
        <f>SUM(F72,AD72,AH72,AL72)</f>
        <v>0</v>
      </c>
      <c r="AQ72" s="1416">
        <f t="shared" si="74"/>
        <v>0</v>
      </c>
      <c r="AR72" s="1414">
        <f t="shared" si="75"/>
        <v>0</v>
      </c>
      <c r="AS72" s="310"/>
      <c r="AT72" s="310"/>
      <c r="AU72" s="393">
        <f>IF(AV73=TRUE,G72*0.8,G72)</f>
        <v>1175.4502707513961</v>
      </c>
      <c r="AV72" s="383"/>
      <c r="AW72" s="312">
        <f t="shared" si="83"/>
        <v>1410.5403249016754</v>
      </c>
      <c r="AX72" s="312">
        <f t="shared" si="84"/>
        <v>1528.085351976815</v>
      </c>
      <c r="AY72" s="312"/>
      <c r="AZ72" s="312"/>
      <c r="BA72" s="315"/>
      <c r="BB72" s="196" t="s">
        <v>925</v>
      </c>
      <c r="BC72" s="196" t="s">
        <v>1026</v>
      </c>
      <c r="BD72" s="313"/>
      <c r="BE72" s="313"/>
      <c r="BF72" s="313"/>
      <c r="BG72" s="313"/>
      <c r="BH72" s="313"/>
      <c r="BI72" s="313"/>
      <c r="BJ72" s="313"/>
      <c r="BK72" s="313"/>
      <c r="BL72" s="313"/>
      <c r="BM72" s="313"/>
      <c r="BN72" s="313"/>
      <c r="BO72" s="313"/>
      <c r="BP72" s="313"/>
      <c r="BQ72" s="313"/>
      <c r="BR72" s="313"/>
      <c r="BS72" s="313"/>
      <c r="BT72" s="313"/>
      <c r="BU72" s="313"/>
      <c r="BV72" s="313"/>
      <c r="BW72" s="313"/>
      <c r="BX72" s="313"/>
      <c r="BY72" s="313"/>
      <c r="BZ72" s="313"/>
      <c r="CA72" s="313"/>
      <c r="CB72" s="313"/>
      <c r="CC72" s="313"/>
      <c r="CD72" s="313"/>
      <c r="CE72" s="313"/>
    </row>
    <row r="73" spans="1:83" s="101" customFormat="1" ht="12.75" customHeight="1" x14ac:dyDescent="0.2">
      <c r="A73" s="1097"/>
      <c r="B73" s="1098" t="str">
        <f>IF(Stammblatt!$L$4=1,'Kalkulation Herstellungskosten'!BB73,'Kalkulation Herstellungskosten'!BC73)</f>
        <v xml:space="preserve">Wochenpauschale (§ 7 KV) </v>
      </c>
      <c r="C73" s="94">
        <v>0</v>
      </c>
      <c r="D73" s="386"/>
      <c r="E73" s="95"/>
      <c r="F73" s="1435"/>
      <c r="G73" s="96">
        <f>IF(Stammblatt!$I$9=TRUE,Kollektivvertrag!$E$60,Kollektivvertrag!E74)</f>
        <v>1627.9986249906833</v>
      </c>
      <c r="H73" s="842" t="str">
        <f t="shared" si="72"/>
        <v/>
      </c>
      <c r="I73" s="849" t="str">
        <f t="shared" si="73"/>
        <v/>
      </c>
      <c r="J73" s="747"/>
      <c r="K73" s="748"/>
      <c r="L73" s="359"/>
      <c r="M73" s="359"/>
      <c r="N73" s="334"/>
      <c r="O73" s="1405"/>
      <c r="P73" s="1431"/>
      <c r="Q73" s="1407"/>
      <c r="R73" s="1405"/>
      <c r="S73" s="514"/>
      <c r="T73" s="1405"/>
      <c r="U73" s="1405"/>
      <c r="V73" s="1433"/>
      <c r="W73" s="1433"/>
      <c r="X73" s="1405"/>
      <c r="Y73" s="1431"/>
      <c r="Z73" s="1407"/>
      <c r="AA73" s="1405"/>
      <c r="AB73" s="295"/>
      <c r="AC73" s="336"/>
      <c r="AD73" s="1411"/>
      <c r="AE73" s="1421"/>
      <c r="AF73" s="1409"/>
      <c r="AG73" s="1419"/>
      <c r="AH73" s="1411"/>
      <c r="AI73" s="1421"/>
      <c r="AJ73" s="1409"/>
      <c r="AK73" s="1419"/>
      <c r="AL73" s="1413"/>
      <c r="AM73" s="1421"/>
      <c r="AN73" s="1409"/>
      <c r="AO73" s="1419"/>
      <c r="AP73" s="1429"/>
      <c r="AQ73" s="1417">
        <f t="shared" si="74"/>
        <v>0</v>
      </c>
      <c r="AR73" s="1415">
        <f t="shared" si="75"/>
        <v>0</v>
      </c>
      <c r="AS73" s="310"/>
      <c r="AT73" s="310"/>
      <c r="AU73" s="393">
        <f>IF(AV73=TRUE,G73*0.8,G73)</f>
        <v>1627.9986249906833</v>
      </c>
      <c r="AV73" s="383" t="b">
        <v>0</v>
      </c>
      <c r="AW73" s="312">
        <f t="shared" si="83"/>
        <v>1953.5983499888198</v>
      </c>
      <c r="AX73" s="312">
        <f t="shared" si="84"/>
        <v>2116.3982124878885</v>
      </c>
      <c r="AY73" s="312"/>
      <c r="AZ73" s="312"/>
      <c r="BA73" s="315"/>
      <c r="BB73" s="196" t="s">
        <v>45</v>
      </c>
      <c r="BC73" s="196" t="s">
        <v>1024</v>
      </c>
      <c r="BD73" s="313"/>
      <c r="BE73" s="313"/>
      <c r="BF73" s="313"/>
      <c r="BG73" s="313"/>
      <c r="BH73" s="313"/>
      <c r="BI73" s="313"/>
      <c r="BJ73" s="313"/>
      <c r="BK73" s="313"/>
      <c r="BL73" s="313"/>
      <c r="BM73" s="313"/>
      <c r="BN73" s="313"/>
      <c r="BO73" s="313"/>
      <c r="BP73" s="313"/>
      <c r="BQ73" s="313"/>
      <c r="BR73" s="313"/>
      <c r="BS73" s="313"/>
      <c r="BT73" s="313"/>
      <c r="BU73" s="313"/>
      <c r="BV73" s="313"/>
      <c r="BW73" s="313"/>
      <c r="BX73" s="313"/>
      <c r="BY73" s="313"/>
      <c r="BZ73" s="313"/>
      <c r="CA73" s="313"/>
      <c r="CB73" s="313"/>
      <c r="CC73" s="313"/>
      <c r="CD73" s="313"/>
      <c r="CE73" s="313"/>
    </row>
    <row r="74" spans="1:83" s="101" customFormat="1" ht="12.75" customHeight="1" x14ac:dyDescent="0.2">
      <c r="A74" s="1100">
        <v>34</v>
      </c>
      <c r="B74" s="1096" t="str">
        <f>IF(Stammblatt!$L$4=1,'Kalkulation Herstellungskosten'!BB74,'Kalkulation Herstellungskosten'!BC74)</f>
        <v>Kamerabühne Helfer*in</v>
      </c>
      <c r="C74" s="99">
        <v>0</v>
      </c>
      <c r="D74" s="385"/>
      <c r="E74" s="103"/>
      <c r="F74" s="1434">
        <f>C74*E74+C75*E75</f>
        <v>0</v>
      </c>
      <c r="G74" s="100">
        <f>IF(Stammblatt!$I$9=TRUE,Kollektivvertrag!$C$60,Kollektivvertrag!C75)</f>
        <v>888.72192768254502</v>
      </c>
      <c r="H74" s="841" t="str">
        <f t="shared" si="72"/>
        <v/>
      </c>
      <c r="I74" s="848" t="str">
        <f t="shared" si="73"/>
        <v/>
      </c>
      <c r="J74" s="751"/>
      <c r="K74" s="751"/>
      <c r="L74" s="556">
        <f>F74*J74</f>
        <v>0</v>
      </c>
      <c r="M74" s="557">
        <f>F74*K74</f>
        <v>0</v>
      </c>
      <c r="N74" s="558" t="str">
        <f>IF((L74+M74)&lt;&gt;F74,"?","")</f>
        <v/>
      </c>
      <c r="O74" s="1404"/>
      <c r="P74" s="1430"/>
      <c r="Q74" s="1406"/>
      <c r="R74" s="1404"/>
      <c r="S74" s="514"/>
      <c r="T74" s="1404"/>
      <c r="U74" s="1404"/>
      <c r="V74" s="1432">
        <f t="shared" si="85"/>
        <v>0</v>
      </c>
      <c r="W74" s="1432">
        <f t="shared" ref="W74" si="90">F74-V74</f>
        <v>0</v>
      </c>
      <c r="X74" s="1404"/>
      <c r="Y74" s="1430"/>
      <c r="Z74" s="1406"/>
      <c r="AA74" s="1404"/>
      <c r="AB74" s="295"/>
      <c r="AC74" s="336"/>
      <c r="AD74" s="1410"/>
      <c r="AE74" s="1420"/>
      <c r="AF74" s="1408"/>
      <c r="AG74" s="1418">
        <f t="shared" si="87"/>
        <v>0</v>
      </c>
      <c r="AH74" s="1410"/>
      <c r="AI74" s="1420"/>
      <c r="AJ74" s="1408"/>
      <c r="AK74" s="1418">
        <f t="shared" si="88"/>
        <v>0</v>
      </c>
      <c r="AL74" s="1412"/>
      <c r="AM74" s="1420"/>
      <c r="AN74" s="1408"/>
      <c r="AO74" s="1418">
        <f t="shared" si="89"/>
        <v>0</v>
      </c>
      <c r="AP74" s="1428">
        <f>SUM(F74,AD74,AH74,AL74)</f>
        <v>0</v>
      </c>
      <c r="AQ74" s="1416">
        <f t="shared" si="74"/>
        <v>0</v>
      </c>
      <c r="AR74" s="1414">
        <f t="shared" si="75"/>
        <v>0</v>
      </c>
      <c r="AS74" s="310"/>
      <c r="AT74" s="310"/>
      <c r="AU74" s="393">
        <f>IF(AV75=TRUE,G74*0.8,G74)</f>
        <v>888.72192768254502</v>
      </c>
      <c r="AV74" s="383"/>
      <c r="AW74" s="312">
        <f t="shared" si="83"/>
        <v>1066.466313219054</v>
      </c>
      <c r="AX74" s="312">
        <f t="shared" si="84"/>
        <v>1155.3385059873085</v>
      </c>
      <c r="AY74" s="312"/>
      <c r="AZ74" s="312"/>
      <c r="BA74" s="315"/>
      <c r="BB74" s="196" t="s">
        <v>944</v>
      </c>
      <c r="BC74" s="196" t="s">
        <v>327</v>
      </c>
      <c r="BD74" s="313"/>
      <c r="BE74" s="313"/>
      <c r="BF74" s="313"/>
      <c r="BG74" s="313"/>
      <c r="BH74" s="313"/>
      <c r="BI74" s="313"/>
      <c r="BJ74" s="313"/>
      <c r="BK74" s="313"/>
      <c r="BL74" s="313"/>
      <c r="BM74" s="313"/>
      <c r="BN74" s="313"/>
      <c r="BO74" s="313"/>
      <c r="BP74" s="313"/>
      <c r="BQ74" s="313"/>
      <c r="BR74" s="313"/>
      <c r="BS74" s="313"/>
      <c r="BT74" s="313"/>
      <c r="BU74" s="313"/>
      <c r="BV74" s="313"/>
      <c r="BW74" s="313"/>
      <c r="BX74" s="313"/>
      <c r="BY74" s="313"/>
      <c r="BZ74" s="313"/>
      <c r="CA74" s="313"/>
      <c r="CB74" s="313"/>
      <c r="CC74" s="313"/>
      <c r="CD74" s="313"/>
      <c r="CE74" s="313"/>
    </row>
    <row r="75" spans="1:83" s="101" customFormat="1" ht="12.75" customHeight="1" x14ac:dyDescent="0.2">
      <c r="A75" s="1100"/>
      <c r="B75" s="1098" t="str">
        <f>IF(Stammblatt!$L$4=1,'Kalkulation Herstellungskosten'!BB75,'Kalkulation Herstellungskosten'!BC75)</f>
        <v xml:space="preserve">Wochenpauschale (§ 7 KV) </v>
      </c>
      <c r="C75" s="94">
        <v>0</v>
      </c>
      <c r="D75" s="386"/>
      <c r="E75" s="95"/>
      <c r="F75" s="1435"/>
      <c r="G75" s="96">
        <f>IF(Stammblatt!$I$9=TRUE,Kollektivvertrag!$E$60,Kollektivvertrag!E75)</f>
        <v>1230.8798698403248</v>
      </c>
      <c r="H75" s="842" t="str">
        <f t="shared" si="72"/>
        <v/>
      </c>
      <c r="I75" s="849" t="str">
        <f t="shared" si="73"/>
        <v/>
      </c>
      <c r="J75" s="747"/>
      <c r="K75" s="748"/>
      <c r="L75" s="359"/>
      <c r="M75" s="359"/>
      <c r="N75" s="334"/>
      <c r="O75" s="1405"/>
      <c r="P75" s="1431"/>
      <c r="Q75" s="1407"/>
      <c r="R75" s="1405"/>
      <c r="S75" s="514"/>
      <c r="T75" s="1405"/>
      <c r="U75" s="1405"/>
      <c r="V75" s="1433"/>
      <c r="W75" s="1433"/>
      <c r="X75" s="1405"/>
      <c r="Y75" s="1431"/>
      <c r="Z75" s="1407"/>
      <c r="AA75" s="1405"/>
      <c r="AB75" s="295"/>
      <c r="AC75" s="336"/>
      <c r="AD75" s="1411"/>
      <c r="AE75" s="1421"/>
      <c r="AF75" s="1409"/>
      <c r="AG75" s="1419"/>
      <c r="AH75" s="1411"/>
      <c r="AI75" s="1421"/>
      <c r="AJ75" s="1409"/>
      <c r="AK75" s="1419"/>
      <c r="AL75" s="1413"/>
      <c r="AM75" s="1421"/>
      <c r="AN75" s="1409"/>
      <c r="AO75" s="1419"/>
      <c r="AP75" s="1429"/>
      <c r="AQ75" s="1417">
        <f t="shared" si="74"/>
        <v>0</v>
      </c>
      <c r="AR75" s="1415">
        <f t="shared" si="75"/>
        <v>0</v>
      </c>
      <c r="AS75" s="310"/>
      <c r="AT75" s="310"/>
      <c r="AU75" s="393">
        <f>IF(AV75=TRUE,G75*0.8,G75)</f>
        <v>1230.8798698403248</v>
      </c>
      <c r="AV75" s="383" t="b">
        <v>0</v>
      </c>
      <c r="AW75" s="312">
        <f t="shared" si="83"/>
        <v>1477.0558438083897</v>
      </c>
      <c r="AX75" s="312">
        <f t="shared" si="84"/>
        <v>1600.1438307924222</v>
      </c>
      <c r="AY75" s="312"/>
      <c r="AZ75" s="312"/>
      <c r="BA75" s="315"/>
      <c r="BB75" s="196" t="s">
        <v>45</v>
      </c>
      <c r="BC75" s="196" t="s">
        <v>1024</v>
      </c>
      <c r="BD75" s="313"/>
      <c r="BE75" s="313"/>
      <c r="BF75" s="313"/>
      <c r="BG75" s="313"/>
      <c r="BH75" s="313"/>
      <c r="BI75" s="313"/>
      <c r="BJ75" s="313"/>
      <c r="BK75" s="313"/>
      <c r="BL75" s="313"/>
      <c r="BM75" s="313"/>
      <c r="BN75" s="313"/>
      <c r="BO75" s="313"/>
      <c r="BP75" s="313"/>
      <c r="BQ75" s="313"/>
      <c r="BR75" s="313"/>
      <c r="BS75" s="313"/>
      <c r="BT75" s="313"/>
      <c r="BU75" s="313"/>
      <c r="BV75" s="313"/>
      <c r="BW75" s="313"/>
      <c r="BX75" s="313"/>
      <c r="BY75" s="313"/>
      <c r="BZ75" s="313"/>
      <c r="CA75" s="313"/>
      <c r="CB75" s="313"/>
      <c r="CC75" s="313"/>
      <c r="CD75" s="313"/>
      <c r="CE75" s="313"/>
    </row>
    <row r="76" spans="1:83" s="101" customFormat="1" ht="12.75" customHeight="1" x14ac:dyDescent="0.2">
      <c r="A76" s="1099">
        <v>35</v>
      </c>
      <c r="B76" s="1096" t="str">
        <f>IF(Stammblatt!$L$4=1,'Kalkulation Herstellungskosten'!BB76,'Kalkulation Herstellungskosten'!BC76)</f>
        <v>Videotechnik</v>
      </c>
      <c r="C76" s="99">
        <v>0</v>
      </c>
      <c r="D76" s="385"/>
      <c r="E76" s="103"/>
      <c r="F76" s="1434">
        <f>C76*E76+C77*E77</f>
        <v>0</v>
      </c>
      <c r="G76" s="100">
        <f>IF(Stammblatt!$I$9=TRUE,Kollektivvertrag!$C$60,Kollektivvertrag!C52)</f>
        <v>1516.2049144462442</v>
      </c>
      <c r="H76" s="841" t="str">
        <f t="shared" si="72"/>
        <v/>
      </c>
      <c r="I76" s="848" t="str">
        <f t="shared" si="73"/>
        <v/>
      </c>
      <c r="J76" s="751"/>
      <c r="K76" s="751"/>
      <c r="L76" s="556">
        <f>F76*J76</f>
        <v>0</v>
      </c>
      <c r="M76" s="557">
        <f>F76*K76</f>
        <v>0</v>
      </c>
      <c r="N76" s="558" t="str">
        <f>IF((L76+M76)&lt;&gt;F76,"?","")</f>
        <v/>
      </c>
      <c r="O76" s="1404"/>
      <c r="P76" s="1430"/>
      <c r="Q76" s="1406"/>
      <c r="R76" s="1404"/>
      <c r="S76" s="514"/>
      <c r="T76" s="1404"/>
      <c r="U76" s="1404"/>
      <c r="V76" s="1432">
        <f>SUM(T76:U77)</f>
        <v>0</v>
      </c>
      <c r="W76" s="1432">
        <f>F76-V76</f>
        <v>0</v>
      </c>
      <c r="X76" s="1404"/>
      <c r="Y76" s="1430"/>
      <c r="Z76" s="1406"/>
      <c r="AA76" s="1404"/>
      <c r="AB76" s="295"/>
      <c r="AC76" s="336"/>
      <c r="AD76" s="1410"/>
      <c r="AE76" s="1420"/>
      <c r="AF76" s="1408"/>
      <c r="AG76" s="1418">
        <f>SUM(AE76:AF77)</f>
        <v>0</v>
      </c>
      <c r="AH76" s="1410"/>
      <c r="AI76" s="1420"/>
      <c r="AJ76" s="1408"/>
      <c r="AK76" s="1418">
        <f>SUM(AI76:AJ77)</f>
        <v>0</v>
      </c>
      <c r="AL76" s="1412"/>
      <c r="AM76" s="1420"/>
      <c r="AN76" s="1408"/>
      <c r="AO76" s="1418">
        <f>SUM(AM76:AN77)</f>
        <v>0</v>
      </c>
      <c r="AP76" s="1428">
        <f>SUM(F76,AD76,AH76,AL76)</f>
        <v>0</v>
      </c>
      <c r="AQ76" s="1416">
        <f t="shared" si="74"/>
        <v>0</v>
      </c>
      <c r="AR76" s="1414">
        <f t="shared" si="75"/>
        <v>0</v>
      </c>
      <c r="AS76" s="310"/>
      <c r="AT76" s="310"/>
      <c r="AU76" s="393">
        <f>IF(AV77=TRUE,G76*0.8,G76)</f>
        <v>1516.2049144462442</v>
      </c>
      <c r="AV76" s="383"/>
      <c r="AW76" s="312">
        <f t="shared" si="40"/>
        <v>1819.4458973354929</v>
      </c>
      <c r="AX76" s="312">
        <f t="shared" si="41"/>
        <v>1971.0663887801174</v>
      </c>
      <c r="AY76" s="312"/>
      <c r="AZ76" s="312"/>
      <c r="BA76" s="312"/>
      <c r="BB76" s="196" t="s">
        <v>606</v>
      </c>
      <c r="BC76" s="196" t="s">
        <v>317</v>
      </c>
      <c r="BD76" s="313"/>
      <c r="BE76" s="313"/>
      <c r="BF76" s="313"/>
      <c r="BG76" s="313"/>
      <c r="BH76" s="313"/>
      <c r="BI76" s="313"/>
      <c r="BJ76" s="313"/>
      <c r="BK76" s="313"/>
      <c r="BL76" s="313"/>
      <c r="BM76" s="313"/>
      <c r="BN76" s="313"/>
      <c r="BO76" s="313"/>
      <c r="BP76" s="313"/>
      <c r="BQ76" s="313"/>
      <c r="BR76" s="313"/>
      <c r="BS76" s="313"/>
      <c r="BT76" s="313"/>
      <c r="BU76" s="313"/>
      <c r="BV76" s="313"/>
      <c r="BW76" s="313"/>
      <c r="BX76" s="313"/>
      <c r="BY76" s="313"/>
      <c r="BZ76" s="313"/>
      <c r="CA76" s="313"/>
      <c r="CB76" s="313"/>
      <c r="CC76" s="313"/>
      <c r="CD76" s="313"/>
      <c r="CE76" s="313"/>
    </row>
    <row r="77" spans="1:83" s="101" customFormat="1" ht="12.75" customHeight="1" x14ac:dyDescent="0.2">
      <c r="A77" s="1097"/>
      <c r="B77" s="1098" t="str">
        <f>IF(Stammblatt!$L$4=1,'Kalkulation Herstellungskosten'!BB77,'Kalkulation Herstellungskosten'!BC77)</f>
        <v xml:space="preserve">Wochenpauschale (§ 7 KV) </v>
      </c>
      <c r="C77" s="94">
        <v>0</v>
      </c>
      <c r="D77" s="386"/>
      <c r="E77" s="95"/>
      <c r="F77" s="1435"/>
      <c r="G77" s="96">
        <f>IF(Stammblatt!$I$9=TRUE,Kollektivvertrag!$E$60,Kollektivvertrag!E52)</f>
        <v>2099.9438065080485</v>
      </c>
      <c r="H77" s="842" t="str">
        <f t="shared" si="72"/>
        <v/>
      </c>
      <c r="I77" s="849" t="str">
        <f t="shared" si="73"/>
        <v/>
      </c>
      <c r="J77" s="747"/>
      <c r="K77" s="748"/>
      <c r="L77" s="359"/>
      <c r="M77" s="359"/>
      <c r="N77" s="334"/>
      <c r="O77" s="1405"/>
      <c r="P77" s="1431"/>
      <c r="Q77" s="1407"/>
      <c r="R77" s="1405"/>
      <c r="S77" s="514"/>
      <c r="T77" s="1405"/>
      <c r="U77" s="1405"/>
      <c r="V77" s="1433"/>
      <c r="W77" s="1433"/>
      <c r="X77" s="1405"/>
      <c r="Y77" s="1431"/>
      <c r="Z77" s="1407"/>
      <c r="AA77" s="1405"/>
      <c r="AB77" s="295"/>
      <c r="AC77" s="336"/>
      <c r="AD77" s="1411"/>
      <c r="AE77" s="1421"/>
      <c r="AF77" s="1409"/>
      <c r="AG77" s="1419"/>
      <c r="AH77" s="1411"/>
      <c r="AI77" s="1421"/>
      <c r="AJ77" s="1409"/>
      <c r="AK77" s="1419"/>
      <c r="AL77" s="1413"/>
      <c r="AM77" s="1421"/>
      <c r="AN77" s="1409"/>
      <c r="AO77" s="1419"/>
      <c r="AP77" s="1429"/>
      <c r="AQ77" s="1417">
        <f t="shared" si="74"/>
        <v>0</v>
      </c>
      <c r="AR77" s="1415">
        <f t="shared" si="75"/>
        <v>0</v>
      </c>
      <c r="AS77" s="310"/>
      <c r="AT77" s="310"/>
      <c r="AU77" s="393">
        <f>IF(AV77=TRUE,G77*0.8,G77)</f>
        <v>2099.9438065080485</v>
      </c>
      <c r="AV77" s="383" t="b">
        <v>0</v>
      </c>
      <c r="AW77" s="312">
        <f t="shared" si="40"/>
        <v>2519.9325678096579</v>
      </c>
      <c r="AX77" s="312">
        <f t="shared" si="41"/>
        <v>2729.9269484604633</v>
      </c>
      <c r="AY77" s="312"/>
      <c r="AZ77" s="312"/>
      <c r="BA77" s="315"/>
      <c r="BB77" s="196" t="s">
        <v>45</v>
      </c>
      <c r="BC77" s="196" t="s">
        <v>1024</v>
      </c>
      <c r="BD77" s="313"/>
      <c r="BE77" s="313"/>
      <c r="BF77" s="313"/>
      <c r="BG77" s="313"/>
      <c r="BH77" s="313"/>
      <c r="BI77" s="313"/>
      <c r="BJ77" s="313"/>
      <c r="BK77" s="313"/>
      <c r="BL77" s="313"/>
      <c r="BM77" s="313"/>
      <c r="BN77" s="313"/>
      <c r="BO77" s="313"/>
      <c r="BP77" s="313"/>
      <c r="BQ77" s="313"/>
      <c r="BR77" s="313"/>
      <c r="BS77" s="313"/>
      <c r="BT77" s="313"/>
      <c r="BU77" s="313"/>
      <c r="BV77" s="313"/>
      <c r="BW77" s="313"/>
      <c r="BX77" s="313"/>
      <c r="BY77" s="313"/>
      <c r="BZ77" s="313"/>
      <c r="CA77" s="313"/>
      <c r="CB77" s="313"/>
      <c r="CC77" s="313"/>
      <c r="CD77" s="313"/>
      <c r="CE77" s="313"/>
    </row>
    <row r="78" spans="1:83" s="101" customFormat="1" ht="12.75" customHeight="1" x14ac:dyDescent="0.2">
      <c r="A78" s="1099">
        <v>36</v>
      </c>
      <c r="B78" s="1096" t="s">
        <v>719</v>
      </c>
      <c r="C78" s="99">
        <v>0</v>
      </c>
      <c r="D78" s="385"/>
      <c r="E78" s="103"/>
      <c r="F78" s="1434">
        <f>C78*E78+C79*E79</f>
        <v>0</v>
      </c>
      <c r="G78" s="100">
        <f>IF(Stammblatt!$I$9=TRUE,Kollektivvertrag!$C$60,Kollektivvertrag!C36)</f>
        <v>1414.62502759124</v>
      </c>
      <c r="H78" s="841" t="str">
        <f t="shared" si="72"/>
        <v/>
      </c>
      <c r="I78" s="848" t="str">
        <f t="shared" si="73"/>
        <v/>
      </c>
      <c r="J78" s="751"/>
      <c r="K78" s="751"/>
      <c r="L78" s="556">
        <f>F78*J78</f>
        <v>0</v>
      </c>
      <c r="M78" s="557">
        <f>F78*K78</f>
        <v>0</v>
      </c>
      <c r="N78" s="558" t="str">
        <f>IF((L78+M78)&lt;&gt;F78,"?","")</f>
        <v/>
      </c>
      <c r="O78" s="1404"/>
      <c r="P78" s="1430"/>
      <c r="Q78" s="1406"/>
      <c r="R78" s="1404"/>
      <c r="S78" s="514"/>
      <c r="T78" s="1404"/>
      <c r="U78" s="1404"/>
      <c r="V78" s="1432">
        <f>SUM(T78:U79)</f>
        <v>0</v>
      </c>
      <c r="W78" s="1432">
        <f>F78-V78</f>
        <v>0</v>
      </c>
      <c r="X78" s="1404"/>
      <c r="Y78" s="1430"/>
      <c r="Z78" s="1406"/>
      <c r="AA78" s="1404"/>
      <c r="AB78" s="295"/>
      <c r="AC78" s="336"/>
      <c r="AD78" s="1410"/>
      <c r="AE78" s="1420"/>
      <c r="AF78" s="1408"/>
      <c r="AG78" s="1418">
        <f>SUM(AE78:AF79)</f>
        <v>0</v>
      </c>
      <c r="AH78" s="1410"/>
      <c r="AI78" s="1420"/>
      <c r="AJ78" s="1408"/>
      <c r="AK78" s="1418">
        <f>SUM(AI78:AJ79)</f>
        <v>0</v>
      </c>
      <c r="AL78" s="1412"/>
      <c r="AM78" s="1420"/>
      <c r="AN78" s="1408"/>
      <c r="AO78" s="1418">
        <f>SUM(AM78:AN79)</f>
        <v>0</v>
      </c>
      <c r="AP78" s="1428">
        <f>SUM(F78,AD78,AH78,AL78)</f>
        <v>0</v>
      </c>
      <c r="AQ78" s="1416">
        <f t="shared" si="74"/>
        <v>0</v>
      </c>
      <c r="AR78" s="1414">
        <f t="shared" si="75"/>
        <v>0</v>
      </c>
      <c r="AS78" s="310"/>
      <c r="AT78" s="310"/>
      <c r="AU78" s="393">
        <f>IF(AV79=TRUE,G78*0.8,G78)</f>
        <v>1414.62502759124</v>
      </c>
      <c r="AV78" s="383"/>
      <c r="AW78" s="312">
        <f t="shared" si="40"/>
        <v>1697.5500331094879</v>
      </c>
      <c r="AX78" s="312">
        <f t="shared" si="41"/>
        <v>1839.0125358686121</v>
      </c>
      <c r="AY78" s="312"/>
      <c r="AZ78" s="312"/>
      <c r="BA78" s="312"/>
      <c r="BB78" s="196"/>
      <c r="BC78" s="196"/>
      <c r="BD78" s="313"/>
      <c r="BE78" s="313"/>
      <c r="BF78" s="313"/>
      <c r="BG78" s="313"/>
      <c r="BH78" s="313"/>
      <c r="BI78" s="313"/>
      <c r="BJ78" s="313"/>
      <c r="BK78" s="313"/>
      <c r="BL78" s="313"/>
      <c r="BM78" s="313"/>
      <c r="BN78" s="313"/>
      <c r="BO78" s="313"/>
      <c r="BP78" s="313"/>
      <c r="BQ78" s="313"/>
      <c r="BR78" s="313"/>
      <c r="BS78" s="313"/>
      <c r="BT78" s="313"/>
      <c r="BU78" s="313"/>
      <c r="BV78" s="313"/>
      <c r="BW78" s="313"/>
      <c r="BX78" s="313"/>
      <c r="BY78" s="313"/>
      <c r="BZ78" s="313"/>
      <c r="CA78" s="313"/>
      <c r="CB78" s="313"/>
      <c r="CC78" s="313"/>
      <c r="CD78" s="313"/>
      <c r="CE78" s="313"/>
    </row>
    <row r="79" spans="1:83" s="101" customFormat="1" ht="12.75" customHeight="1" x14ac:dyDescent="0.2">
      <c r="A79" s="1097"/>
      <c r="B79" s="1098" t="str">
        <f>IF(Stammblatt!$L$4=1,'Kalkulation Herstellungskosten'!BB79,'Kalkulation Herstellungskosten'!BC79)</f>
        <v xml:space="preserve">Wochenpauschale (§ 7 KV) </v>
      </c>
      <c r="C79" s="94">
        <v>0</v>
      </c>
      <c r="D79" s="386"/>
      <c r="E79" s="95"/>
      <c r="F79" s="1435"/>
      <c r="G79" s="96">
        <f>IF(Stammblatt!$I$9=TRUE,Kollektivvertrag!$E$60,Kollektivvertrag!E36)</f>
        <v>1959.2556632138676</v>
      </c>
      <c r="H79" s="842" t="str">
        <f t="shared" si="72"/>
        <v/>
      </c>
      <c r="I79" s="849" t="str">
        <f t="shared" si="73"/>
        <v/>
      </c>
      <c r="J79" s="747"/>
      <c r="K79" s="748"/>
      <c r="L79" s="359"/>
      <c r="M79" s="359"/>
      <c r="N79" s="334"/>
      <c r="O79" s="1405"/>
      <c r="P79" s="1431"/>
      <c r="Q79" s="1407"/>
      <c r="R79" s="1405"/>
      <c r="S79" s="514"/>
      <c r="T79" s="1405"/>
      <c r="U79" s="1405"/>
      <c r="V79" s="1433"/>
      <c r="W79" s="1433"/>
      <c r="X79" s="1405"/>
      <c r="Y79" s="1431"/>
      <c r="Z79" s="1407"/>
      <c r="AA79" s="1405"/>
      <c r="AB79" s="295"/>
      <c r="AC79" s="336"/>
      <c r="AD79" s="1411"/>
      <c r="AE79" s="1421"/>
      <c r="AF79" s="1409"/>
      <c r="AG79" s="1419"/>
      <c r="AH79" s="1411"/>
      <c r="AI79" s="1421"/>
      <c r="AJ79" s="1409"/>
      <c r="AK79" s="1419"/>
      <c r="AL79" s="1413"/>
      <c r="AM79" s="1421"/>
      <c r="AN79" s="1409"/>
      <c r="AO79" s="1419"/>
      <c r="AP79" s="1429"/>
      <c r="AQ79" s="1417">
        <f t="shared" si="74"/>
        <v>0</v>
      </c>
      <c r="AR79" s="1415">
        <f t="shared" si="75"/>
        <v>0</v>
      </c>
      <c r="AS79" s="310"/>
      <c r="AT79" s="310"/>
      <c r="AU79" s="393">
        <f>IF(AV79=TRUE,G79*0.8,G79)</f>
        <v>1959.2556632138676</v>
      </c>
      <c r="AV79" s="383" t="b">
        <v>0</v>
      </c>
      <c r="AW79" s="312">
        <f t="shared" si="40"/>
        <v>2351.1067958566409</v>
      </c>
      <c r="AX79" s="312">
        <f t="shared" si="41"/>
        <v>2547.0323621780281</v>
      </c>
      <c r="AY79" s="312"/>
      <c r="AZ79" s="312"/>
      <c r="BA79" s="315"/>
      <c r="BB79" s="196" t="s">
        <v>45</v>
      </c>
      <c r="BC79" s="196" t="s">
        <v>1024</v>
      </c>
      <c r="BD79" s="313"/>
      <c r="BE79" s="313"/>
      <c r="BF79" s="313"/>
      <c r="BG79" s="313"/>
      <c r="BH79" s="313"/>
      <c r="BI79" s="313"/>
      <c r="BJ79" s="313"/>
      <c r="BK79" s="313"/>
      <c r="BL79" s="313"/>
      <c r="BM79" s="313"/>
      <c r="BN79" s="313"/>
      <c r="BO79" s="313"/>
      <c r="BP79" s="313"/>
      <c r="BQ79" s="313"/>
      <c r="BR79" s="313"/>
      <c r="BS79" s="313"/>
      <c r="BT79" s="313"/>
      <c r="BU79" s="313"/>
      <c r="BV79" s="313"/>
      <c r="BW79" s="313"/>
      <c r="BX79" s="313"/>
      <c r="BY79" s="313"/>
      <c r="BZ79" s="313"/>
      <c r="CA79" s="313"/>
      <c r="CB79" s="313"/>
      <c r="CC79" s="313"/>
      <c r="CD79" s="313"/>
      <c r="CE79" s="313"/>
    </row>
    <row r="80" spans="1:83" s="101" customFormat="1" ht="12.75" customHeight="1" x14ac:dyDescent="0.2">
      <c r="A80" s="1099">
        <v>37</v>
      </c>
      <c r="B80" s="1096" t="s">
        <v>587</v>
      </c>
      <c r="C80" s="99">
        <v>0</v>
      </c>
      <c r="D80" s="385"/>
      <c r="E80" s="103"/>
      <c r="F80" s="1434">
        <f>C80*E80+C81*E81</f>
        <v>0</v>
      </c>
      <c r="G80" s="100">
        <f>IF(Stammblatt!$I$9=TRUE,Kollektivvertrag!$C$60,Kollektivvertrag!C37)</f>
        <v>995.56335775196987</v>
      </c>
      <c r="H80" s="841" t="str">
        <f t="shared" si="72"/>
        <v/>
      </c>
      <c r="I80" s="848" t="str">
        <f t="shared" si="73"/>
        <v/>
      </c>
      <c r="J80" s="751"/>
      <c r="K80" s="751"/>
      <c r="L80" s="556">
        <f>F80*J80</f>
        <v>0</v>
      </c>
      <c r="M80" s="557">
        <f>F80*K80</f>
        <v>0</v>
      </c>
      <c r="N80" s="558" t="str">
        <f>IF((L80+M80)&lt;&gt;F80,"?","")</f>
        <v/>
      </c>
      <c r="O80" s="1404"/>
      <c r="P80" s="1430"/>
      <c r="Q80" s="1406"/>
      <c r="R80" s="1404"/>
      <c r="S80" s="514"/>
      <c r="T80" s="1404"/>
      <c r="U80" s="1404"/>
      <c r="V80" s="1432">
        <f>SUM(T80:U81)</f>
        <v>0</v>
      </c>
      <c r="W80" s="1432">
        <f>F80-V80</f>
        <v>0</v>
      </c>
      <c r="X80" s="1404"/>
      <c r="Y80" s="1430"/>
      <c r="Z80" s="1406"/>
      <c r="AA80" s="1404"/>
      <c r="AB80" s="295"/>
      <c r="AC80" s="336"/>
      <c r="AD80" s="1410"/>
      <c r="AE80" s="1420"/>
      <c r="AF80" s="1408"/>
      <c r="AG80" s="1418">
        <f>SUM(AE80:AF81)</f>
        <v>0</v>
      </c>
      <c r="AH80" s="1410"/>
      <c r="AI80" s="1420"/>
      <c r="AJ80" s="1408"/>
      <c r="AK80" s="1418">
        <f>SUM(AI80:AJ81)</f>
        <v>0</v>
      </c>
      <c r="AL80" s="1412"/>
      <c r="AM80" s="1420"/>
      <c r="AN80" s="1408"/>
      <c r="AO80" s="1418">
        <f>SUM(AM80:AN81)</f>
        <v>0</v>
      </c>
      <c r="AP80" s="1428">
        <f>SUM(F80,AD80,AH80,AL80)</f>
        <v>0</v>
      </c>
      <c r="AQ80" s="1416">
        <f t="shared" si="74"/>
        <v>0</v>
      </c>
      <c r="AR80" s="1414">
        <f t="shared" si="75"/>
        <v>0</v>
      </c>
      <c r="AS80" s="310"/>
      <c r="AT80" s="310"/>
      <c r="AU80" s="393">
        <f>IF(AV81=TRUE,G80*0.8,G80)</f>
        <v>995.56335775196987</v>
      </c>
      <c r="AV80" s="383"/>
      <c r="AW80" s="312">
        <f t="shared" si="40"/>
        <v>1194.6760293023638</v>
      </c>
      <c r="AX80" s="312">
        <f t="shared" si="41"/>
        <v>1294.2323650775609</v>
      </c>
      <c r="AY80" s="312"/>
      <c r="AZ80" s="312"/>
      <c r="BA80" s="312"/>
      <c r="BB80" s="196"/>
      <c r="BC80" s="196"/>
      <c r="BD80" s="313"/>
      <c r="BE80" s="313"/>
      <c r="BF80" s="313"/>
      <c r="BG80" s="313"/>
      <c r="BH80" s="313"/>
      <c r="BI80" s="313"/>
      <c r="BJ80" s="313"/>
      <c r="BK80" s="313"/>
      <c r="BL80" s="313"/>
      <c r="BM80" s="313"/>
      <c r="BN80" s="313"/>
      <c r="BO80" s="313"/>
      <c r="BP80" s="313"/>
      <c r="BQ80" s="313"/>
      <c r="BR80" s="313"/>
      <c r="BS80" s="313"/>
      <c r="BT80" s="313"/>
      <c r="BU80" s="313"/>
      <c r="BV80" s="313"/>
      <c r="BW80" s="313"/>
      <c r="BX80" s="313"/>
      <c r="BY80" s="313"/>
      <c r="BZ80" s="313"/>
      <c r="CA80" s="313"/>
      <c r="CB80" s="313"/>
      <c r="CC80" s="313"/>
      <c r="CD80" s="313"/>
      <c r="CE80" s="313"/>
    </row>
    <row r="81" spans="1:83" s="101" customFormat="1" ht="12.75" customHeight="1" x14ac:dyDescent="0.2">
      <c r="A81" s="1097"/>
      <c r="B81" s="1098" t="str">
        <f>IF(Stammblatt!$L$4=1,'Kalkulation Herstellungskosten'!BB81,'Kalkulation Herstellungskosten'!BC81)</f>
        <v xml:space="preserve">Wochenpauschale (§ 7 KV) </v>
      </c>
      <c r="C81" s="94">
        <v>0</v>
      </c>
      <c r="D81" s="386"/>
      <c r="E81" s="95"/>
      <c r="F81" s="1435"/>
      <c r="G81" s="96">
        <f>IF(Stammblatt!$I$9=TRUE,Kollektivvertrag!$E$60,Kollektivvertrag!E37)</f>
        <v>1378.8552504864783</v>
      </c>
      <c r="H81" s="842" t="str">
        <f t="shared" si="72"/>
        <v/>
      </c>
      <c r="I81" s="849" t="str">
        <f t="shared" si="73"/>
        <v/>
      </c>
      <c r="J81" s="747"/>
      <c r="K81" s="748"/>
      <c r="L81" s="359"/>
      <c r="M81" s="359"/>
      <c r="N81" s="334"/>
      <c r="O81" s="1405"/>
      <c r="P81" s="1431"/>
      <c r="Q81" s="1407"/>
      <c r="R81" s="1405"/>
      <c r="S81" s="514"/>
      <c r="T81" s="1405"/>
      <c r="U81" s="1405"/>
      <c r="V81" s="1433"/>
      <c r="W81" s="1433"/>
      <c r="X81" s="1405"/>
      <c r="Y81" s="1431"/>
      <c r="Z81" s="1407"/>
      <c r="AA81" s="1405"/>
      <c r="AB81" s="295"/>
      <c r="AC81" s="336"/>
      <c r="AD81" s="1411"/>
      <c r="AE81" s="1421"/>
      <c r="AF81" s="1409"/>
      <c r="AG81" s="1419"/>
      <c r="AH81" s="1411"/>
      <c r="AI81" s="1421"/>
      <c r="AJ81" s="1409"/>
      <c r="AK81" s="1419"/>
      <c r="AL81" s="1413"/>
      <c r="AM81" s="1421"/>
      <c r="AN81" s="1409"/>
      <c r="AO81" s="1419"/>
      <c r="AP81" s="1429"/>
      <c r="AQ81" s="1417">
        <f t="shared" si="74"/>
        <v>0</v>
      </c>
      <c r="AR81" s="1415">
        <f t="shared" si="75"/>
        <v>0</v>
      </c>
      <c r="AS81" s="310"/>
      <c r="AT81" s="310"/>
      <c r="AU81" s="393">
        <f>IF(AV81=TRUE,G81*0.8,G81)</f>
        <v>1378.8552504864783</v>
      </c>
      <c r="AV81" s="383" t="b">
        <v>0</v>
      </c>
      <c r="AW81" s="312">
        <f t="shared" si="40"/>
        <v>1654.6263005837739</v>
      </c>
      <c r="AX81" s="312">
        <f t="shared" si="41"/>
        <v>1792.511825632422</v>
      </c>
      <c r="AY81" s="312"/>
      <c r="AZ81" s="312"/>
      <c r="BA81" s="315"/>
      <c r="BB81" s="196" t="s">
        <v>45</v>
      </c>
      <c r="BC81" s="196" t="s">
        <v>1024</v>
      </c>
      <c r="BD81" s="313"/>
      <c r="BE81" s="313"/>
      <c r="BF81" s="313"/>
      <c r="BG81" s="313"/>
      <c r="BH81" s="313"/>
      <c r="BI81" s="313"/>
      <c r="BJ81" s="313"/>
      <c r="BK81" s="313"/>
      <c r="BL81" s="313"/>
      <c r="BM81" s="313"/>
      <c r="BN81" s="313"/>
      <c r="BO81" s="313"/>
      <c r="BP81" s="313"/>
      <c r="BQ81" s="313"/>
      <c r="BR81" s="313"/>
      <c r="BS81" s="313"/>
      <c r="BT81" s="313"/>
      <c r="BU81" s="313"/>
      <c r="BV81" s="313"/>
      <c r="BW81" s="313"/>
      <c r="BX81" s="313"/>
      <c r="BY81" s="313"/>
      <c r="BZ81" s="313"/>
      <c r="CA81" s="313"/>
      <c r="CB81" s="313"/>
      <c r="CC81" s="313"/>
      <c r="CD81" s="313"/>
      <c r="CE81" s="313"/>
    </row>
    <row r="82" spans="1:83" s="101" customFormat="1" ht="12.75" customHeight="1" x14ac:dyDescent="0.2">
      <c r="A82" s="1099">
        <v>38</v>
      </c>
      <c r="B82" s="1096" t="str">
        <f>IF(Stammblatt!$L$4=1,'Kalkulation Herstellungskosten'!BB82,'Kalkulation Herstellungskosten'!BC82)</f>
        <v>Originalton I                Originalton II</v>
      </c>
      <c r="C82" s="99">
        <v>0</v>
      </c>
      <c r="D82" s="385"/>
      <c r="E82" s="103"/>
      <c r="F82" s="1434">
        <f>C82*E82+C83*E83</f>
        <v>0</v>
      </c>
      <c r="G82" s="100">
        <f ca="1">IF(AND(Stammblatt!$I$9=TRUE,GHSTK&lt;=1220000),Kollektivvertrag!$C$60,IF(AND(Stammblatt!$I$9=TRUE,GHSTK&lt;=1570000),AZ82/2,AZ82))</f>
        <v>2371.2462414027464</v>
      </c>
      <c r="H82" s="841" t="str">
        <f t="shared" ca="1" si="72"/>
        <v/>
      </c>
      <c r="I82" s="848" t="str">
        <f t="shared" si="73"/>
        <v/>
      </c>
      <c r="J82" s="751"/>
      <c r="K82" s="751"/>
      <c r="L82" s="556">
        <f>F82*J82</f>
        <v>0</v>
      </c>
      <c r="M82" s="557">
        <f>F82*K82</f>
        <v>0</v>
      </c>
      <c r="N82" s="558" t="str">
        <f>IF((L82+M82)&lt;&gt;F82,"?","")</f>
        <v/>
      </c>
      <c r="O82" s="1404"/>
      <c r="P82" s="1430"/>
      <c r="Q82" s="1406"/>
      <c r="R82" s="1404"/>
      <c r="S82" s="514"/>
      <c r="T82" s="1404"/>
      <c r="U82" s="1404"/>
      <c r="V82" s="1432">
        <f>SUM(T82:U83)</f>
        <v>0</v>
      </c>
      <c r="W82" s="1432">
        <f>F82-V82</f>
        <v>0</v>
      </c>
      <c r="X82" s="1404"/>
      <c r="Y82" s="1430"/>
      <c r="Z82" s="1406"/>
      <c r="AA82" s="1404"/>
      <c r="AB82" s="295"/>
      <c r="AC82" s="336"/>
      <c r="AD82" s="1410"/>
      <c r="AE82" s="1420"/>
      <c r="AF82" s="1408"/>
      <c r="AG82" s="1418">
        <f>SUM(AE82:AF83)</f>
        <v>0</v>
      </c>
      <c r="AH82" s="1410"/>
      <c r="AI82" s="1420"/>
      <c r="AJ82" s="1408"/>
      <c r="AK82" s="1418">
        <f>SUM(AI82:AJ83)</f>
        <v>0</v>
      </c>
      <c r="AL82" s="1412"/>
      <c r="AM82" s="1420"/>
      <c r="AN82" s="1408"/>
      <c r="AO82" s="1418">
        <f>SUM(AM82:AN83)</f>
        <v>0</v>
      </c>
      <c r="AP82" s="1428">
        <f>SUM(F82,AD82,AH82,AL82)</f>
        <v>0</v>
      </c>
      <c r="AQ82" s="1416">
        <f t="shared" si="74"/>
        <v>0</v>
      </c>
      <c r="AR82" s="1414">
        <f t="shared" si="75"/>
        <v>0</v>
      </c>
      <c r="AS82" s="310"/>
      <c r="AT82" s="310"/>
      <c r="AU82" s="393">
        <f ca="1">IF(AV83=TRUE,G82*0.8,G82)</f>
        <v>2371.2462414027464</v>
      </c>
      <c r="AV82" s="383"/>
      <c r="AW82" s="312">
        <f t="shared" ca="1" si="40"/>
        <v>2845.4954896832955</v>
      </c>
      <c r="AX82" s="312">
        <f t="shared" ca="1" si="41"/>
        <v>3082.6201138235706</v>
      </c>
      <c r="AY82" s="1249" t="b">
        <v>0</v>
      </c>
      <c r="AZ82" s="312">
        <f>IF(AY82=FALSE,Kollektivvertrag!C50,Kollektivvertrag!C51)</f>
        <v>2371.2462414027464</v>
      </c>
      <c r="BA82" s="312"/>
      <c r="BB82" s="196" t="s">
        <v>1052</v>
      </c>
      <c r="BC82" s="196" t="s">
        <v>1053</v>
      </c>
      <c r="BD82" s="313"/>
      <c r="BE82" s="313"/>
      <c r="BF82" s="313"/>
      <c r="BG82" s="313"/>
      <c r="BH82" s="313"/>
      <c r="BI82" s="313"/>
      <c r="BJ82" s="313"/>
      <c r="BK82" s="313"/>
      <c r="BL82" s="313"/>
      <c r="BM82" s="313"/>
      <c r="BN82" s="313"/>
      <c r="BO82" s="313"/>
      <c r="BP82" s="313"/>
      <c r="BQ82" s="313"/>
      <c r="BR82" s="313"/>
      <c r="BS82" s="313"/>
      <c r="BT82" s="313"/>
      <c r="BU82" s="313"/>
      <c r="BV82" s="313"/>
      <c r="BW82" s="313"/>
      <c r="BX82" s="313"/>
      <c r="BY82" s="313"/>
      <c r="BZ82" s="313"/>
      <c r="CA82" s="313"/>
      <c r="CB82" s="313"/>
      <c r="CC82" s="313"/>
      <c r="CD82" s="313"/>
      <c r="CE82" s="313"/>
    </row>
    <row r="83" spans="1:83" s="101" customFormat="1" ht="12.75" customHeight="1" x14ac:dyDescent="0.2">
      <c r="A83" s="1097"/>
      <c r="B83" s="1098" t="str">
        <f>IF(Stammblatt!$L$4=1,'Kalkulation Herstellungskosten'!BB83,'Kalkulation Herstellungskosten'!BC83)</f>
        <v xml:space="preserve">Wochenpauschale (§ 7 KV) </v>
      </c>
      <c r="C83" s="94">
        <v>0</v>
      </c>
      <c r="D83" s="386"/>
      <c r="E83" s="95"/>
      <c r="F83" s="1435"/>
      <c r="G83" s="96">
        <f ca="1">IF(AND(Stammblatt!$I$9=TRUE,GHSTK&lt;=1220000),Kollektivvertrag!$E$60,IF(AND(Stammblatt!$I$9=TRUE,GHSTK&lt;=1570000),AZ83/2,AZ83))</f>
        <v>3284.1760443428043</v>
      </c>
      <c r="H83" s="842" t="str">
        <f t="shared" ca="1" si="72"/>
        <v/>
      </c>
      <c r="I83" s="849" t="str">
        <f t="shared" si="73"/>
        <v/>
      </c>
      <c r="J83" s="747"/>
      <c r="K83" s="748"/>
      <c r="L83" s="359"/>
      <c r="M83" s="359"/>
      <c r="N83" s="334"/>
      <c r="O83" s="1405"/>
      <c r="P83" s="1431"/>
      <c r="Q83" s="1407"/>
      <c r="R83" s="1405"/>
      <c r="S83" s="514"/>
      <c r="T83" s="1405"/>
      <c r="U83" s="1405"/>
      <c r="V83" s="1433"/>
      <c r="W83" s="1433"/>
      <c r="X83" s="1405"/>
      <c r="Y83" s="1431"/>
      <c r="Z83" s="1407"/>
      <c r="AA83" s="1405"/>
      <c r="AB83" s="295"/>
      <c r="AC83" s="336"/>
      <c r="AD83" s="1411"/>
      <c r="AE83" s="1421"/>
      <c r="AF83" s="1409"/>
      <c r="AG83" s="1419"/>
      <c r="AH83" s="1411"/>
      <c r="AI83" s="1421"/>
      <c r="AJ83" s="1409"/>
      <c r="AK83" s="1419"/>
      <c r="AL83" s="1413"/>
      <c r="AM83" s="1421"/>
      <c r="AN83" s="1409"/>
      <c r="AO83" s="1419"/>
      <c r="AP83" s="1429"/>
      <c r="AQ83" s="1417">
        <f t="shared" si="74"/>
        <v>0</v>
      </c>
      <c r="AR83" s="1415">
        <f t="shared" si="75"/>
        <v>0</v>
      </c>
      <c r="AS83" s="310"/>
      <c r="AT83" s="310"/>
      <c r="AU83" s="393">
        <f ca="1">IF(AV83=TRUE,G83*0.8,G83)</f>
        <v>3284.1760443428043</v>
      </c>
      <c r="AV83" s="383" t="b">
        <v>0</v>
      </c>
      <c r="AW83" s="312">
        <f t="shared" ca="1" si="40"/>
        <v>3941.0112532113649</v>
      </c>
      <c r="AX83" s="312">
        <f t="shared" ca="1" si="41"/>
        <v>4269.4288576456456</v>
      </c>
      <c r="AY83" s="312"/>
      <c r="AZ83" s="312">
        <f>IF(AY82=FALSE,Kollektivvertrag!E50,Kollektivvertrag!E51)</f>
        <v>3284.1760443428043</v>
      </c>
      <c r="BA83" s="315"/>
      <c r="BB83" s="196" t="s">
        <v>45</v>
      </c>
      <c r="BC83" s="196" t="s">
        <v>1024</v>
      </c>
      <c r="BD83" s="313"/>
      <c r="BE83" s="313"/>
      <c r="BF83" s="313"/>
      <c r="BG83" s="313"/>
      <c r="BH83" s="313"/>
      <c r="BI83" s="313"/>
      <c r="BJ83" s="313"/>
      <c r="BK83" s="313"/>
      <c r="BL83" s="313"/>
      <c r="BM83" s="313"/>
      <c r="BN83" s="313"/>
      <c r="BO83" s="313"/>
      <c r="BP83" s="313"/>
      <c r="BQ83" s="313"/>
      <c r="BR83" s="313"/>
      <c r="BS83" s="313"/>
      <c r="BT83" s="313"/>
      <c r="BU83" s="313"/>
      <c r="BV83" s="313"/>
      <c r="BW83" s="313"/>
      <c r="BX83" s="313"/>
      <c r="BY83" s="313"/>
      <c r="BZ83" s="313"/>
      <c r="CA83" s="313"/>
      <c r="CB83" s="313"/>
      <c r="CC83" s="313"/>
      <c r="CD83" s="313"/>
      <c r="CE83" s="313"/>
    </row>
    <row r="84" spans="1:83" s="101" customFormat="1" ht="12.75" customHeight="1" x14ac:dyDescent="0.2">
      <c r="A84" s="1099">
        <v>39</v>
      </c>
      <c r="B84" s="1096" t="str">
        <f>IF(Stammblatt!$L$4=1,'Kalkulation Herstellungskosten'!BB84,'Kalkulation Herstellungskosten'!BC84)</f>
        <v>Tonassistenz</v>
      </c>
      <c r="C84" s="99">
        <v>0</v>
      </c>
      <c r="D84" s="385"/>
      <c r="E84" s="103"/>
      <c r="F84" s="1434">
        <f>C84*E84+C85*E85</f>
        <v>0</v>
      </c>
      <c r="G84" s="100">
        <f>IF(Stammblatt!$I$9=TRUE,Kollektivvertrag!$C$60,Kollektivvertrag!C52)</f>
        <v>1516.2049144462442</v>
      </c>
      <c r="H84" s="841" t="str">
        <f t="shared" si="72"/>
        <v/>
      </c>
      <c r="I84" s="848" t="str">
        <f t="shared" si="73"/>
        <v/>
      </c>
      <c r="J84" s="751"/>
      <c r="K84" s="751"/>
      <c r="L84" s="556">
        <f>F84*J84</f>
        <v>0</v>
      </c>
      <c r="M84" s="557">
        <f>F84*K84</f>
        <v>0</v>
      </c>
      <c r="N84" s="558" t="str">
        <f>IF((L84+M84)&lt;&gt;F84,"?","")</f>
        <v/>
      </c>
      <c r="O84" s="1404"/>
      <c r="P84" s="1430"/>
      <c r="Q84" s="1406"/>
      <c r="R84" s="1404"/>
      <c r="S84" s="514"/>
      <c r="T84" s="1404"/>
      <c r="U84" s="1404"/>
      <c r="V84" s="1432">
        <f>SUM(T84:U85)</f>
        <v>0</v>
      </c>
      <c r="W84" s="1432">
        <f>F84-V84</f>
        <v>0</v>
      </c>
      <c r="X84" s="1404"/>
      <c r="Y84" s="1430"/>
      <c r="Z84" s="1406"/>
      <c r="AA84" s="1404"/>
      <c r="AB84" s="295"/>
      <c r="AC84" s="336"/>
      <c r="AD84" s="1410"/>
      <c r="AE84" s="1420"/>
      <c r="AF84" s="1408"/>
      <c r="AG84" s="1418">
        <f>SUM(AE84:AF85)</f>
        <v>0</v>
      </c>
      <c r="AH84" s="1410"/>
      <c r="AI84" s="1420"/>
      <c r="AJ84" s="1408"/>
      <c r="AK84" s="1418">
        <f>SUM(AI84:AJ85)</f>
        <v>0</v>
      </c>
      <c r="AL84" s="1412"/>
      <c r="AM84" s="1420"/>
      <c r="AN84" s="1408"/>
      <c r="AO84" s="1418">
        <f>SUM(AM84:AN85)</f>
        <v>0</v>
      </c>
      <c r="AP84" s="1428">
        <f>SUM(F84,AD84,AH84,AL84)</f>
        <v>0</v>
      </c>
      <c r="AQ84" s="1416">
        <f t="shared" si="74"/>
        <v>0</v>
      </c>
      <c r="AR84" s="1414">
        <f t="shared" si="75"/>
        <v>0</v>
      </c>
      <c r="AS84" s="310"/>
      <c r="AT84" s="310"/>
      <c r="AU84" s="393">
        <f>IF(AV85=TRUE,G84*0.8,G84)</f>
        <v>1516.2049144462442</v>
      </c>
      <c r="AV84" s="383"/>
      <c r="AW84" s="312">
        <f t="shared" si="40"/>
        <v>1819.4458973354929</v>
      </c>
      <c r="AX84" s="312">
        <f t="shared" si="41"/>
        <v>1971.0663887801174</v>
      </c>
      <c r="AY84" s="312"/>
      <c r="AZ84" s="312"/>
      <c r="BA84" s="312"/>
      <c r="BB84" s="196" t="s">
        <v>608</v>
      </c>
      <c r="BC84" s="196" t="s">
        <v>318</v>
      </c>
      <c r="BD84" s="313"/>
      <c r="BE84" s="313"/>
      <c r="BF84" s="313"/>
      <c r="BG84" s="313"/>
      <c r="BH84" s="313"/>
      <c r="BI84" s="313"/>
      <c r="BJ84" s="313"/>
      <c r="BK84" s="313"/>
      <c r="BL84" s="313"/>
      <c r="BM84" s="313"/>
      <c r="BN84" s="313"/>
      <c r="BO84" s="313"/>
      <c r="BP84" s="313"/>
      <c r="BQ84" s="313"/>
      <c r="BR84" s="313"/>
      <c r="BS84" s="313"/>
      <c r="BT84" s="313"/>
      <c r="BU84" s="313"/>
      <c r="BV84" s="313"/>
      <c r="BW84" s="313"/>
      <c r="BX84" s="313"/>
      <c r="BY84" s="313"/>
      <c r="BZ84" s="313"/>
      <c r="CA84" s="313"/>
      <c r="CB84" s="313"/>
      <c r="CC84" s="313"/>
      <c r="CD84" s="313"/>
      <c r="CE84" s="313"/>
    </row>
    <row r="85" spans="1:83" s="101" customFormat="1" ht="12.75" customHeight="1" x14ac:dyDescent="0.2">
      <c r="A85" s="1097"/>
      <c r="B85" s="1098" t="str">
        <f>IF(Stammblatt!$L$4=1,'Kalkulation Herstellungskosten'!BB85,'Kalkulation Herstellungskosten'!BC85)</f>
        <v xml:space="preserve">Wochenpauschale (§ 7 KV) </v>
      </c>
      <c r="C85" s="94">
        <v>0</v>
      </c>
      <c r="D85" s="386"/>
      <c r="E85" s="95"/>
      <c r="F85" s="1435"/>
      <c r="G85" s="96">
        <f>IF(Stammblatt!$I$9=TRUE,Kollektivvertrag!$E$60,Kollektivvertrag!E52)</f>
        <v>2099.9438065080485</v>
      </c>
      <c r="H85" s="842" t="str">
        <f t="shared" si="72"/>
        <v/>
      </c>
      <c r="I85" s="849" t="str">
        <f t="shared" si="73"/>
        <v/>
      </c>
      <c r="J85" s="747"/>
      <c r="K85" s="748"/>
      <c r="L85" s="359"/>
      <c r="M85" s="359"/>
      <c r="N85" s="334"/>
      <c r="O85" s="1405"/>
      <c r="P85" s="1431"/>
      <c r="Q85" s="1407"/>
      <c r="R85" s="1405"/>
      <c r="S85" s="514"/>
      <c r="T85" s="1405"/>
      <c r="U85" s="1405"/>
      <c r="V85" s="1433"/>
      <c r="W85" s="1433"/>
      <c r="X85" s="1405"/>
      <c r="Y85" s="1431"/>
      <c r="Z85" s="1407"/>
      <c r="AA85" s="1405"/>
      <c r="AB85" s="295"/>
      <c r="AC85" s="336"/>
      <c r="AD85" s="1411"/>
      <c r="AE85" s="1421"/>
      <c r="AF85" s="1409"/>
      <c r="AG85" s="1419"/>
      <c r="AH85" s="1411"/>
      <c r="AI85" s="1421"/>
      <c r="AJ85" s="1409"/>
      <c r="AK85" s="1419"/>
      <c r="AL85" s="1413"/>
      <c r="AM85" s="1421"/>
      <c r="AN85" s="1409"/>
      <c r="AO85" s="1419"/>
      <c r="AP85" s="1429"/>
      <c r="AQ85" s="1417">
        <f t="shared" si="74"/>
        <v>0</v>
      </c>
      <c r="AR85" s="1415">
        <f t="shared" si="75"/>
        <v>0</v>
      </c>
      <c r="AS85" s="310"/>
      <c r="AT85" s="310"/>
      <c r="AU85" s="393">
        <f>IF(AV85=TRUE,G85*0.8,G85)</f>
        <v>2099.9438065080485</v>
      </c>
      <c r="AV85" s="383" t="b">
        <v>0</v>
      </c>
      <c r="AW85" s="312">
        <f t="shared" ref="AW85:AW126" si="91">G85*1.2</f>
        <v>2519.9325678096579</v>
      </c>
      <c r="AX85" s="312">
        <f t="shared" ref="AX85:AX126" si="92">G85*1.3</f>
        <v>2729.9269484604633</v>
      </c>
      <c r="AY85" s="312"/>
      <c r="AZ85" s="312"/>
      <c r="BA85" s="315"/>
      <c r="BB85" s="196" t="s">
        <v>45</v>
      </c>
      <c r="BC85" s="196" t="s">
        <v>1024</v>
      </c>
      <c r="BD85" s="313"/>
      <c r="BE85" s="313"/>
      <c r="BF85" s="313"/>
      <c r="BG85" s="313"/>
      <c r="BH85" s="313"/>
      <c r="BI85" s="313"/>
      <c r="BJ85" s="313"/>
      <c r="BK85" s="313"/>
      <c r="BL85" s="313"/>
      <c r="BM85" s="313"/>
      <c r="BN85" s="313"/>
      <c r="BO85" s="313"/>
      <c r="BP85" s="313"/>
      <c r="BQ85" s="313"/>
      <c r="BR85" s="313"/>
      <c r="BS85" s="313"/>
      <c r="BT85" s="313"/>
      <c r="BU85" s="313"/>
      <c r="BV85" s="313"/>
      <c r="BW85" s="313"/>
      <c r="BX85" s="313"/>
      <c r="BY85" s="313"/>
      <c r="BZ85" s="313"/>
      <c r="CA85" s="313"/>
      <c r="CB85" s="313"/>
      <c r="CC85" s="313"/>
      <c r="CD85" s="313"/>
      <c r="CE85" s="313"/>
    </row>
    <row r="86" spans="1:83" s="101" customFormat="1" ht="12.75" customHeight="1" x14ac:dyDescent="0.2">
      <c r="A86" s="1100">
        <v>40</v>
      </c>
      <c r="B86" s="1096" t="str">
        <f>IF(Stammblatt!$L$4=1,'Kalkulation Herstellungskosten'!BB86,'Kalkulation Herstellungskosten'!BC86)</f>
        <v>2. Tonassistenz</v>
      </c>
      <c r="C86" s="99">
        <v>0</v>
      </c>
      <c r="D86" s="385"/>
      <c r="E86" s="103"/>
      <c r="F86" s="1434">
        <f>C86*E86+C87*E87</f>
        <v>0</v>
      </c>
      <c r="G86" s="100">
        <f>IF(Stammblatt!$I$9=TRUE,Kollektivvertrag!$C$60,Kollektivvertrag!C66)</f>
        <v>1050.4948694015472</v>
      </c>
      <c r="H86" s="841" t="str">
        <f t="shared" si="72"/>
        <v/>
      </c>
      <c r="I86" s="848" t="str">
        <f t="shared" si="73"/>
        <v/>
      </c>
      <c r="J86" s="751"/>
      <c r="K86" s="751"/>
      <c r="L86" s="556">
        <f>F86*J86</f>
        <v>0</v>
      </c>
      <c r="M86" s="557">
        <f>F86*K86</f>
        <v>0</v>
      </c>
      <c r="N86" s="558" t="str">
        <f>IF((L86+M86)&lt;&gt;F86,"?","")</f>
        <v/>
      </c>
      <c r="O86" s="1404"/>
      <c r="P86" s="1430"/>
      <c r="Q86" s="686"/>
      <c r="R86" s="685"/>
      <c r="S86" s="514"/>
      <c r="T86" s="1404"/>
      <c r="U86" s="1404"/>
      <c r="V86" s="1432">
        <f>SUM(T86:U87)</f>
        <v>0</v>
      </c>
      <c r="W86" s="1432">
        <f>F86-V86</f>
        <v>0</v>
      </c>
      <c r="X86" s="1404"/>
      <c r="Y86" s="1430"/>
      <c r="Z86" s="1406"/>
      <c r="AA86" s="1404"/>
      <c r="AB86" s="295"/>
      <c r="AC86" s="336"/>
      <c r="AD86" s="1410"/>
      <c r="AE86" s="1420"/>
      <c r="AF86" s="1408"/>
      <c r="AG86" s="1418">
        <f>SUM(AE86:AF87)</f>
        <v>0</v>
      </c>
      <c r="AH86" s="1410"/>
      <c r="AI86" s="1420"/>
      <c r="AJ86" s="1408"/>
      <c r="AK86" s="1418">
        <f>SUM(AI86:AJ87)</f>
        <v>0</v>
      </c>
      <c r="AL86" s="1412"/>
      <c r="AM86" s="1420"/>
      <c r="AN86" s="1408"/>
      <c r="AO86" s="1418">
        <f>SUM(AM86:AN87)</f>
        <v>0</v>
      </c>
      <c r="AP86" s="1428">
        <f>SUM(F86,AD86,AH86,AL86)</f>
        <v>0</v>
      </c>
      <c r="AQ86" s="1416">
        <f t="shared" si="74"/>
        <v>0</v>
      </c>
      <c r="AR86" s="1414">
        <f t="shared" si="75"/>
        <v>0</v>
      </c>
      <c r="AS86" s="310"/>
      <c r="AT86" s="310"/>
      <c r="AU86" s="393">
        <f>IF(AV87=TRUE,G86*0.8,G86)</f>
        <v>1050.4948694015472</v>
      </c>
      <c r="AV86" s="383"/>
      <c r="AW86" s="312">
        <f t="shared" si="91"/>
        <v>1260.5938432818566</v>
      </c>
      <c r="AX86" s="312">
        <f t="shared" si="92"/>
        <v>1365.6433302220114</v>
      </c>
      <c r="AY86" s="312"/>
      <c r="AZ86" s="312"/>
      <c r="BA86" s="315"/>
      <c r="BB86" s="196" t="s">
        <v>917</v>
      </c>
      <c r="BC86" s="196" t="s">
        <v>1027</v>
      </c>
      <c r="BD86" s="313"/>
      <c r="BE86" s="313"/>
      <c r="BF86" s="313"/>
      <c r="BG86" s="313"/>
      <c r="BH86" s="313"/>
      <c r="BI86" s="313"/>
      <c r="BJ86" s="313"/>
      <c r="BK86" s="313"/>
      <c r="BL86" s="313"/>
      <c r="BM86" s="313"/>
      <c r="BN86" s="313"/>
      <c r="BO86" s="313"/>
      <c r="BP86" s="313"/>
      <c r="BQ86" s="313"/>
      <c r="BR86" s="313"/>
      <c r="BS86" s="313"/>
      <c r="BT86" s="313"/>
      <c r="BU86" s="313"/>
      <c r="BV86" s="313"/>
      <c r="BW86" s="313"/>
      <c r="BX86" s="313"/>
      <c r="BY86" s="313"/>
      <c r="BZ86" s="313"/>
      <c r="CA86" s="313"/>
      <c r="CB86" s="313"/>
      <c r="CC86" s="313"/>
      <c r="CD86" s="313"/>
      <c r="CE86" s="313"/>
    </row>
    <row r="87" spans="1:83" s="101" customFormat="1" ht="12.75" customHeight="1" x14ac:dyDescent="0.2">
      <c r="A87" s="1100"/>
      <c r="B87" s="1098" t="str">
        <f>IF(Stammblatt!$L$4=1,'Kalkulation Herstellungskosten'!BB87,'Kalkulation Herstellungskosten'!BC87)</f>
        <v xml:space="preserve">Wochenpauschale (§ 7 KV) </v>
      </c>
      <c r="C87" s="94">
        <v>0</v>
      </c>
      <c r="D87" s="386"/>
      <c r="E87" s="95"/>
      <c r="F87" s="1435"/>
      <c r="G87" s="96">
        <f>IF(Stammblatt!$I$9=TRUE,Kollektivvertrag!$E$60,Kollektivvertrag!E66)</f>
        <v>1454.9353941211432</v>
      </c>
      <c r="H87" s="842" t="str">
        <f t="shared" si="72"/>
        <v/>
      </c>
      <c r="I87" s="849" t="str">
        <f t="shared" si="73"/>
        <v/>
      </c>
      <c r="J87" s="747"/>
      <c r="K87" s="748"/>
      <c r="L87" s="359"/>
      <c r="M87" s="359"/>
      <c r="N87" s="334"/>
      <c r="O87" s="1405"/>
      <c r="P87" s="1431"/>
      <c r="Q87" s="686"/>
      <c r="R87" s="685"/>
      <c r="S87" s="514"/>
      <c r="T87" s="1405"/>
      <c r="U87" s="1405"/>
      <c r="V87" s="1433"/>
      <c r="W87" s="1433"/>
      <c r="X87" s="1405"/>
      <c r="Y87" s="1431"/>
      <c r="Z87" s="1407"/>
      <c r="AA87" s="1405"/>
      <c r="AB87" s="295"/>
      <c r="AC87" s="336"/>
      <c r="AD87" s="1411"/>
      <c r="AE87" s="1421"/>
      <c r="AF87" s="1409"/>
      <c r="AG87" s="1419"/>
      <c r="AH87" s="1411"/>
      <c r="AI87" s="1421"/>
      <c r="AJ87" s="1409"/>
      <c r="AK87" s="1419"/>
      <c r="AL87" s="1413"/>
      <c r="AM87" s="1421"/>
      <c r="AN87" s="1409"/>
      <c r="AO87" s="1419"/>
      <c r="AP87" s="1429"/>
      <c r="AQ87" s="1417">
        <f t="shared" si="74"/>
        <v>0</v>
      </c>
      <c r="AR87" s="1415">
        <f t="shared" si="75"/>
        <v>0</v>
      </c>
      <c r="AS87" s="310"/>
      <c r="AT87" s="310"/>
      <c r="AU87" s="393">
        <f>IF(AV87=TRUE,G87*0.8,G87)</f>
        <v>1454.9353941211432</v>
      </c>
      <c r="AV87" s="383" t="b">
        <v>0</v>
      </c>
      <c r="AW87" s="312">
        <f t="shared" ref="AW87" si="93">G87*1.2</f>
        <v>1745.9224729453717</v>
      </c>
      <c r="AX87" s="312">
        <f t="shared" ref="AX87" si="94">G87*1.3</f>
        <v>1891.4160123574861</v>
      </c>
      <c r="AY87" s="312"/>
      <c r="AZ87" s="312"/>
      <c r="BA87" s="315"/>
      <c r="BB87" s="196" t="s">
        <v>45</v>
      </c>
      <c r="BC87" s="196" t="s">
        <v>1024</v>
      </c>
      <c r="BD87" s="313"/>
      <c r="BE87" s="313"/>
      <c r="BF87" s="313"/>
      <c r="BG87" s="313"/>
      <c r="BH87" s="313"/>
      <c r="BI87" s="313"/>
      <c r="BJ87" s="313"/>
      <c r="BK87" s="313"/>
      <c r="BL87" s="313"/>
      <c r="BM87" s="313"/>
      <c r="BN87" s="313"/>
      <c r="BO87" s="313"/>
      <c r="BP87" s="313"/>
      <c r="BQ87" s="313"/>
      <c r="BR87" s="313"/>
      <c r="BS87" s="313"/>
      <c r="BT87" s="313"/>
      <c r="BU87" s="313"/>
      <c r="BV87" s="313"/>
      <c r="BW87" s="313"/>
      <c r="BX87" s="313"/>
      <c r="BY87" s="313"/>
      <c r="BZ87" s="313"/>
      <c r="CA87" s="313"/>
      <c r="CB87" s="313"/>
      <c r="CC87" s="313"/>
      <c r="CD87" s="313"/>
      <c r="CE87" s="313"/>
    </row>
    <row r="88" spans="1:83" s="101" customFormat="1" ht="12.75" customHeight="1" x14ac:dyDescent="0.2">
      <c r="A88" s="1099">
        <v>41</v>
      </c>
      <c r="B88" s="1096" t="str">
        <f>IF(Stammblatt!$L$4=1,'Kalkulation Herstellungskosten'!BB88,'Kalkulation Herstellungskosten'!BC88)</f>
        <v>Primärtontechnik</v>
      </c>
      <c r="C88" s="99">
        <v>0</v>
      </c>
      <c r="D88" s="385"/>
      <c r="E88" s="103"/>
      <c r="F88" s="1434">
        <f>C88*E88+C89*E89</f>
        <v>0</v>
      </c>
      <c r="G88" s="100">
        <f>IF(Stammblatt!$I$9=TRUE,Kollektivvertrag!$C$60,Kollektivvertrag!C52)</f>
        <v>1516.2049144462442</v>
      </c>
      <c r="H88" s="841" t="str">
        <f t="shared" ref="H88:H119" si="95">IF(E88&gt;G88*1.1,C88*(E88-G88*1.1),"")</f>
        <v/>
      </c>
      <c r="I88" s="848" t="str">
        <f t="shared" ref="I88:I119" si="96">IF(E88=0,"",E88/G88-1)</f>
        <v/>
      </c>
      <c r="J88" s="751"/>
      <c r="K88" s="751"/>
      <c r="L88" s="556">
        <f>F88*J88</f>
        <v>0</v>
      </c>
      <c r="M88" s="557">
        <f>F88*K88</f>
        <v>0</v>
      </c>
      <c r="N88" s="558" t="str">
        <f>IF((L88+M88)&lt;&gt;F88,"?","")</f>
        <v/>
      </c>
      <c r="O88" s="1404"/>
      <c r="P88" s="1430"/>
      <c r="Q88" s="1406"/>
      <c r="R88" s="1404"/>
      <c r="S88" s="514"/>
      <c r="T88" s="1404"/>
      <c r="U88" s="1404"/>
      <c r="V88" s="1432">
        <f>SUM(T88:U89)</f>
        <v>0</v>
      </c>
      <c r="W88" s="1432">
        <f>F88-V88</f>
        <v>0</v>
      </c>
      <c r="X88" s="1404"/>
      <c r="Y88" s="1430"/>
      <c r="Z88" s="1406"/>
      <c r="AA88" s="1404"/>
      <c r="AB88" s="295"/>
      <c r="AC88" s="336"/>
      <c r="AD88" s="1410"/>
      <c r="AE88" s="1420"/>
      <c r="AF88" s="1408"/>
      <c r="AG88" s="1418">
        <f>SUM(AE88:AF89)</f>
        <v>0</v>
      </c>
      <c r="AH88" s="1410"/>
      <c r="AI88" s="1420"/>
      <c r="AJ88" s="1408"/>
      <c r="AK88" s="1418">
        <f>SUM(AI88:AJ89)</f>
        <v>0</v>
      </c>
      <c r="AL88" s="1412"/>
      <c r="AM88" s="1420"/>
      <c r="AN88" s="1408"/>
      <c r="AO88" s="1418">
        <f>SUM(AM88:AN89)</f>
        <v>0</v>
      </c>
      <c r="AP88" s="1428">
        <f>SUM(F88,AD88,AH88,AL88)</f>
        <v>0</v>
      </c>
      <c r="AQ88" s="1416">
        <f t="shared" si="74"/>
        <v>0</v>
      </c>
      <c r="AR88" s="1414">
        <f t="shared" si="75"/>
        <v>0</v>
      </c>
      <c r="AS88" s="310"/>
      <c r="AT88" s="310"/>
      <c r="AU88" s="393">
        <f>IF(AV89=TRUE,G88*0.8,G88)</f>
        <v>1516.2049144462442</v>
      </c>
      <c r="AV88" s="383"/>
      <c r="AW88" s="312">
        <f t="shared" si="91"/>
        <v>1819.4458973354929</v>
      </c>
      <c r="AX88" s="312">
        <f t="shared" si="92"/>
        <v>1971.0663887801174</v>
      </c>
      <c r="AY88" s="312"/>
      <c r="AZ88" s="312"/>
      <c r="BA88" s="312"/>
      <c r="BB88" s="196" t="s">
        <v>609</v>
      </c>
      <c r="BC88" s="196" t="s">
        <v>369</v>
      </c>
      <c r="BD88" s="313"/>
      <c r="BE88" s="313"/>
      <c r="BF88" s="313"/>
      <c r="BG88" s="313"/>
      <c r="BH88" s="313"/>
      <c r="BI88" s="313"/>
      <c r="BJ88" s="313"/>
      <c r="BK88" s="313"/>
      <c r="BL88" s="313"/>
      <c r="BM88" s="313"/>
      <c r="BN88" s="313"/>
      <c r="BO88" s="313"/>
      <c r="BP88" s="313"/>
      <c r="BQ88" s="313"/>
      <c r="BR88" s="313"/>
      <c r="BS88" s="313"/>
      <c r="BT88" s="313"/>
      <c r="BU88" s="313"/>
      <c r="BV88" s="313"/>
      <c r="BW88" s="313"/>
      <c r="BX88" s="313"/>
      <c r="BY88" s="313"/>
      <c r="BZ88" s="313"/>
      <c r="CA88" s="313"/>
      <c r="CB88" s="313"/>
      <c r="CC88" s="313"/>
      <c r="CD88" s="313"/>
      <c r="CE88" s="313"/>
    </row>
    <row r="89" spans="1:83" s="101" customFormat="1" ht="12.75" customHeight="1" x14ac:dyDescent="0.2">
      <c r="A89" s="1097"/>
      <c r="B89" s="1098" t="str">
        <f>IF(Stammblatt!$L$4=1,'Kalkulation Herstellungskosten'!BB89,'Kalkulation Herstellungskosten'!BC89)</f>
        <v xml:space="preserve">Wochenpauschale (§ 7 KV) </v>
      </c>
      <c r="C89" s="94">
        <v>0</v>
      </c>
      <c r="D89" s="386"/>
      <c r="E89" s="95"/>
      <c r="F89" s="1435"/>
      <c r="G89" s="96">
        <f>IF(Stammblatt!$I$9=TRUE,Kollektivvertrag!$E$60,Kollektivvertrag!E52)</f>
        <v>2099.9438065080485</v>
      </c>
      <c r="H89" s="842" t="str">
        <f t="shared" si="95"/>
        <v/>
      </c>
      <c r="I89" s="849" t="str">
        <f t="shared" si="96"/>
        <v/>
      </c>
      <c r="J89" s="747"/>
      <c r="K89" s="748"/>
      <c r="L89" s="359"/>
      <c r="M89" s="359"/>
      <c r="N89" s="334"/>
      <c r="O89" s="1405"/>
      <c r="P89" s="1431"/>
      <c r="Q89" s="1407"/>
      <c r="R89" s="1405"/>
      <c r="S89" s="514"/>
      <c r="T89" s="1405"/>
      <c r="U89" s="1405"/>
      <c r="V89" s="1433"/>
      <c r="W89" s="1433"/>
      <c r="X89" s="1405"/>
      <c r="Y89" s="1431"/>
      <c r="Z89" s="1407"/>
      <c r="AA89" s="1405"/>
      <c r="AB89" s="295"/>
      <c r="AC89" s="336"/>
      <c r="AD89" s="1411"/>
      <c r="AE89" s="1421"/>
      <c r="AF89" s="1409"/>
      <c r="AG89" s="1419"/>
      <c r="AH89" s="1411"/>
      <c r="AI89" s="1421"/>
      <c r="AJ89" s="1409"/>
      <c r="AK89" s="1419"/>
      <c r="AL89" s="1413"/>
      <c r="AM89" s="1421"/>
      <c r="AN89" s="1409"/>
      <c r="AO89" s="1419"/>
      <c r="AP89" s="1429"/>
      <c r="AQ89" s="1417">
        <f t="shared" si="74"/>
        <v>0</v>
      </c>
      <c r="AR89" s="1415">
        <f t="shared" si="75"/>
        <v>0</v>
      </c>
      <c r="AS89" s="310"/>
      <c r="AT89" s="310"/>
      <c r="AU89" s="393">
        <f>IF(AV89=TRUE,G89*0.8,G89)</f>
        <v>2099.9438065080485</v>
      </c>
      <c r="AV89" s="383" t="b">
        <v>0</v>
      </c>
      <c r="AW89" s="312">
        <f t="shared" si="91"/>
        <v>2519.9325678096579</v>
      </c>
      <c r="AX89" s="312">
        <f t="shared" si="92"/>
        <v>2729.9269484604633</v>
      </c>
      <c r="AY89" s="312"/>
      <c r="AZ89" s="312"/>
      <c r="BA89" s="315"/>
      <c r="BB89" s="196" t="s">
        <v>45</v>
      </c>
      <c r="BC89" s="196" t="s">
        <v>1024</v>
      </c>
      <c r="BD89" s="313"/>
      <c r="BE89" s="313"/>
      <c r="BF89" s="313"/>
      <c r="BG89" s="313"/>
      <c r="BH89" s="313"/>
      <c r="BI89" s="313"/>
      <c r="BJ89" s="313"/>
      <c r="BK89" s="313"/>
      <c r="BL89" s="313"/>
      <c r="BM89" s="313"/>
      <c r="BN89" s="313"/>
      <c r="BO89" s="313"/>
      <c r="BP89" s="313"/>
      <c r="BQ89" s="313"/>
      <c r="BR89" s="313"/>
      <c r="BS89" s="313"/>
      <c r="BT89" s="313"/>
      <c r="BU89" s="313"/>
      <c r="BV89" s="313"/>
      <c r="BW89" s="313"/>
      <c r="BX89" s="313"/>
      <c r="BY89" s="313"/>
      <c r="BZ89" s="313"/>
      <c r="CA89" s="313"/>
      <c r="CB89" s="313"/>
      <c r="CC89" s="313"/>
      <c r="CD89" s="313"/>
      <c r="CE89" s="313"/>
    </row>
    <row r="90" spans="1:83" s="101" customFormat="1" ht="12.75" customHeight="1" x14ac:dyDescent="0.2">
      <c r="A90" s="1100">
        <v>42</v>
      </c>
      <c r="B90" s="1096" t="str">
        <f>IF(Stammblatt!$L$4=1,'Kalkulation Herstellungskosten'!BB90,'Kalkulation Herstellungskosten'!BC90)</f>
        <v>Mischtonmeister*in</v>
      </c>
      <c r="C90" s="99">
        <v>0</v>
      </c>
      <c r="D90" s="385"/>
      <c r="E90" s="103"/>
      <c r="F90" s="1434">
        <f>C90*E90+C91*E91</f>
        <v>0</v>
      </c>
      <c r="G90" s="100">
        <f>IF(Stammblatt!$I$9=TRUE,Kollektivvertrag!$C$60,Kollektivvertrag!C65)</f>
        <v>2270.8342622232949</v>
      </c>
      <c r="H90" s="841" t="str">
        <f t="shared" si="95"/>
        <v/>
      </c>
      <c r="I90" s="848" t="str">
        <f t="shared" si="96"/>
        <v/>
      </c>
      <c r="J90" s="751"/>
      <c r="K90" s="751"/>
      <c r="L90" s="556">
        <f>F90*J90</f>
        <v>0</v>
      </c>
      <c r="M90" s="557">
        <f>F90*K90</f>
        <v>0</v>
      </c>
      <c r="N90" s="558" t="str">
        <f>IF((L90+M90)&lt;&gt;F90,"?","")</f>
        <v/>
      </c>
      <c r="O90" s="1404"/>
      <c r="P90" s="1430"/>
      <c r="Q90" s="686"/>
      <c r="R90" s="685"/>
      <c r="S90" s="514"/>
      <c r="T90" s="1404"/>
      <c r="U90" s="1404"/>
      <c r="V90" s="1432">
        <f>SUM(T90:U91)</f>
        <v>0</v>
      </c>
      <c r="W90" s="1432">
        <f>F90-V90</f>
        <v>0</v>
      </c>
      <c r="X90" s="1404"/>
      <c r="Y90" s="1430"/>
      <c r="Z90" s="1406"/>
      <c r="AA90" s="1404"/>
      <c r="AB90" s="295"/>
      <c r="AC90" s="336"/>
      <c r="AD90" s="1410"/>
      <c r="AE90" s="1420"/>
      <c r="AF90" s="1408"/>
      <c r="AG90" s="1418">
        <f>SUM(AE90:AF91)</f>
        <v>0</v>
      </c>
      <c r="AH90" s="1410"/>
      <c r="AI90" s="1420"/>
      <c r="AJ90" s="1408"/>
      <c r="AK90" s="1418">
        <f>SUM(AI90:AJ91)</f>
        <v>0</v>
      </c>
      <c r="AL90" s="1412"/>
      <c r="AM90" s="1420"/>
      <c r="AN90" s="1408"/>
      <c r="AO90" s="1418">
        <f>SUM(AM90:AN91)</f>
        <v>0</v>
      </c>
      <c r="AP90" s="1428">
        <f>SUM(F90,AD90,AH90,AL90)</f>
        <v>0</v>
      </c>
      <c r="AQ90" s="1416">
        <f t="shared" si="74"/>
        <v>0</v>
      </c>
      <c r="AR90" s="1414">
        <f t="shared" si="75"/>
        <v>0</v>
      </c>
      <c r="AS90" s="310"/>
      <c r="AT90" s="310"/>
      <c r="AU90" s="393">
        <f>IF(AV91=TRUE,G90*0.8,G90)</f>
        <v>2270.8342622232949</v>
      </c>
      <c r="AV90" s="383"/>
      <c r="AW90" s="312">
        <f t="shared" ref="AW90:AW91" si="97">G90*1.2</f>
        <v>2725.001114667954</v>
      </c>
      <c r="AX90" s="312">
        <f t="shared" ref="AX90:AX91" si="98">G90*1.3</f>
        <v>2952.0845408902833</v>
      </c>
      <c r="AY90" s="312"/>
      <c r="AZ90" s="312"/>
      <c r="BA90" s="315"/>
      <c r="BB90" s="196" t="s">
        <v>945</v>
      </c>
      <c r="BC90" s="196" t="s">
        <v>1028</v>
      </c>
      <c r="BD90" s="313"/>
      <c r="BE90" s="313"/>
      <c r="BF90" s="313"/>
      <c r="BG90" s="313"/>
      <c r="BH90" s="313"/>
      <c r="BI90" s="313"/>
      <c r="BJ90" s="313"/>
      <c r="BK90" s="313"/>
      <c r="BL90" s="313"/>
      <c r="BM90" s="313"/>
      <c r="BN90" s="313"/>
      <c r="BO90" s="313"/>
      <c r="BP90" s="313"/>
      <c r="BQ90" s="313"/>
      <c r="BR90" s="313"/>
      <c r="BS90" s="313"/>
      <c r="BT90" s="313"/>
      <c r="BU90" s="313"/>
      <c r="BV90" s="313"/>
      <c r="BW90" s="313"/>
      <c r="BX90" s="313"/>
      <c r="BY90" s="313"/>
      <c r="BZ90" s="313"/>
      <c r="CA90" s="313"/>
      <c r="CB90" s="313"/>
      <c r="CC90" s="313"/>
      <c r="CD90" s="313"/>
      <c r="CE90" s="313"/>
    </row>
    <row r="91" spans="1:83" s="101" customFormat="1" ht="12.75" customHeight="1" x14ac:dyDescent="0.2">
      <c r="A91" s="1100"/>
      <c r="B91" s="1098" t="str">
        <f>IF(Stammblatt!$L$4=1,'Kalkulation Herstellungskosten'!BB91,'Kalkulation Herstellungskosten'!BC91)</f>
        <v xml:space="preserve">Wochenpauschale (§ 7 KV) </v>
      </c>
      <c r="C91" s="94">
        <v>0</v>
      </c>
      <c r="D91" s="386"/>
      <c r="E91" s="95"/>
      <c r="F91" s="1435"/>
      <c r="G91" s="96">
        <f>IF(Stammblatt!$I$9=TRUE,Kollektivvertrag!$E$60,Kollektivvertrag!E65)</f>
        <v>3145.1054531792633</v>
      </c>
      <c r="H91" s="842" t="str">
        <f t="shared" si="95"/>
        <v/>
      </c>
      <c r="I91" s="849" t="str">
        <f t="shared" si="96"/>
        <v/>
      </c>
      <c r="J91" s="747"/>
      <c r="K91" s="748"/>
      <c r="L91" s="359"/>
      <c r="M91" s="359"/>
      <c r="N91" s="334"/>
      <c r="O91" s="1405"/>
      <c r="P91" s="1431"/>
      <c r="Q91" s="686"/>
      <c r="R91" s="685"/>
      <c r="S91" s="514"/>
      <c r="T91" s="1405"/>
      <c r="U91" s="1405"/>
      <c r="V91" s="1433"/>
      <c r="W91" s="1433"/>
      <c r="X91" s="1405"/>
      <c r="Y91" s="1431"/>
      <c r="Z91" s="1407"/>
      <c r="AA91" s="1405"/>
      <c r="AB91" s="295"/>
      <c r="AC91" s="336"/>
      <c r="AD91" s="1411"/>
      <c r="AE91" s="1421"/>
      <c r="AF91" s="1409"/>
      <c r="AG91" s="1419"/>
      <c r="AH91" s="1411"/>
      <c r="AI91" s="1421"/>
      <c r="AJ91" s="1409"/>
      <c r="AK91" s="1419"/>
      <c r="AL91" s="1413"/>
      <c r="AM91" s="1421"/>
      <c r="AN91" s="1409"/>
      <c r="AO91" s="1419"/>
      <c r="AP91" s="1429"/>
      <c r="AQ91" s="1417">
        <f t="shared" si="74"/>
        <v>0</v>
      </c>
      <c r="AR91" s="1415">
        <f t="shared" si="75"/>
        <v>0</v>
      </c>
      <c r="AS91" s="310"/>
      <c r="AT91" s="310"/>
      <c r="AU91" s="393">
        <f>IF(AV91=TRUE,G91*0.8,G91)</f>
        <v>3145.1054531792633</v>
      </c>
      <c r="AV91" s="383" t="b">
        <v>0</v>
      </c>
      <c r="AW91" s="312">
        <f t="shared" si="97"/>
        <v>3774.1265438151158</v>
      </c>
      <c r="AX91" s="312">
        <f t="shared" si="98"/>
        <v>4088.6370891330425</v>
      </c>
      <c r="AY91" s="312"/>
      <c r="AZ91" s="312"/>
      <c r="BA91" s="315"/>
      <c r="BB91" s="196" t="s">
        <v>45</v>
      </c>
      <c r="BC91" s="196" t="s">
        <v>1024</v>
      </c>
      <c r="BD91" s="313"/>
      <c r="BE91" s="313"/>
      <c r="BF91" s="313"/>
      <c r="BG91" s="313"/>
      <c r="BH91" s="313"/>
      <c r="BI91" s="313"/>
      <c r="BJ91" s="313"/>
      <c r="BK91" s="313"/>
      <c r="BL91" s="313"/>
      <c r="BM91" s="313"/>
      <c r="BN91" s="313"/>
      <c r="BO91" s="313"/>
      <c r="BP91" s="313"/>
      <c r="BQ91" s="313"/>
      <c r="BR91" s="313"/>
      <c r="BS91" s="313"/>
      <c r="BT91" s="313"/>
      <c r="BU91" s="313"/>
      <c r="BV91" s="313"/>
      <c r="BW91" s="313"/>
      <c r="BX91" s="313"/>
      <c r="BY91" s="313"/>
      <c r="BZ91" s="313"/>
      <c r="CA91" s="313"/>
      <c r="CB91" s="313"/>
      <c r="CC91" s="313"/>
      <c r="CD91" s="313"/>
      <c r="CE91" s="313"/>
    </row>
    <row r="92" spans="1:83" s="101" customFormat="1" ht="12.75" customHeight="1" x14ac:dyDescent="0.2">
      <c r="A92" s="1099">
        <v>43</v>
      </c>
      <c r="B92" s="1096" t="str">
        <f>IF(Stammblatt!$L$4=1,'Kalkulation Herstellungskosten'!BB92,'Kalkulation Herstellungskosten'!BC92)</f>
        <v>Schnitt</v>
      </c>
      <c r="C92" s="99">
        <v>0</v>
      </c>
      <c r="D92" s="385"/>
      <c r="E92" s="103"/>
      <c r="F92" s="1434">
        <f>C92*E92+C93*E93</f>
        <v>0</v>
      </c>
      <c r="G92" s="100">
        <f ca="1">IF(AND(Stammblatt!$I$9=TRUE,GHSTK&lt;=1220000),Kollektivvertrag!$C$60,IF(AND(Stammblatt!$I$9=TRUE,GHSTK&lt;=1570000),Kollektivvertrag!C38/2,Kollektivvertrag!C38))</f>
        <v>1727.5418107708422</v>
      </c>
      <c r="H92" s="841" t="str">
        <f t="shared" ca="1" si="95"/>
        <v/>
      </c>
      <c r="I92" s="848" t="str">
        <f t="shared" si="96"/>
        <v/>
      </c>
      <c r="J92" s="751"/>
      <c r="K92" s="751"/>
      <c r="L92" s="556">
        <f>F92*J92</f>
        <v>0</v>
      </c>
      <c r="M92" s="557">
        <f>F92*K92</f>
        <v>0</v>
      </c>
      <c r="N92" s="558" t="str">
        <f>IF((L92+M92)&lt;&gt;F92,"?","")</f>
        <v/>
      </c>
      <c r="O92" s="1404"/>
      <c r="P92" s="1430"/>
      <c r="Q92" s="1406"/>
      <c r="R92" s="1404"/>
      <c r="S92" s="514"/>
      <c r="T92" s="1404"/>
      <c r="U92" s="1404"/>
      <c r="V92" s="1432">
        <f>SUM(T92:U93)</f>
        <v>0</v>
      </c>
      <c r="W92" s="1432">
        <f>F92-V92</f>
        <v>0</v>
      </c>
      <c r="X92" s="1404"/>
      <c r="Y92" s="1430"/>
      <c r="Z92" s="1406"/>
      <c r="AA92" s="1404"/>
      <c r="AB92" s="295"/>
      <c r="AC92" s="336"/>
      <c r="AD92" s="1410"/>
      <c r="AE92" s="1420"/>
      <c r="AF92" s="1408"/>
      <c r="AG92" s="1418">
        <f>SUM(AE92:AF93)</f>
        <v>0</v>
      </c>
      <c r="AH92" s="1410"/>
      <c r="AI92" s="1420"/>
      <c r="AJ92" s="1408"/>
      <c r="AK92" s="1418">
        <f>SUM(AI92:AJ93)</f>
        <v>0</v>
      </c>
      <c r="AL92" s="1412"/>
      <c r="AM92" s="1420"/>
      <c r="AN92" s="1408"/>
      <c r="AO92" s="1418">
        <f>SUM(AM92:AN93)</f>
        <v>0</v>
      </c>
      <c r="AP92" s="1428">
        <f>SUM(F92,AD92,AH92,AL92)</f>
        <v>0</v>
      </c>
      <c r="AQ92" s="1416">
        <f t="shared" si="74"/>
        <v>0</v>
      </c>
      <c r="AR92" s="1414">
        <f t="shared" si="75"/>
        <v>0</v>
      </c>
      <c r="AS92" s="310"/>
      <c r="AT92" s="310"/>
      <c r="AU92" s="393">
        <f ca="1">IF(AV93=TRUE,G92*0.8,G92)</f>
        <v>1727.5418107708422</v>
      </c>
      <c r="AV92" s="383"/>
      <c r="AW92" s="312">
        <f t="shared" ca="1" si="91"/>
        <v>2073.0501729250104</v>
      </c>
      <c r="AX92" s="312">
        <f t="shared" ca="1" si="92"/>
        <v>2245.8043540020949</v>
      </c>
      <c r="AY92" s="312"/>
      <c r="AZ92" s="312"/>
      <c r="BA92" s="312"/>
      <c r="BB92" s="196" t="s">
        <v>610</v>
      </c>
      <c r="BC92" s="196" t="s">
        <v>319</v>
      </c>
      <c r="BD92" s="313"/>
      <c r="BE92" s="313"/>
      <c r="BF92" s="313"/>
      <c r="BG92" s="313"/>
      <c r="BH92" s="313"/>
      <c r="BI92" s="313"/>
      <c r="BJ92" s="313"/>
      <c r="BK92" s="313"/>
      <c r="BL92" s="313"/>
      <c r="BM92" s="313"/>
      <c r="BN92" s="313"/>
      <c r="BO92" s="313"/>
      <c r="BP92" s="313"/>
      <c r="BQ92" s="313"/>
      <c r="BR92" s="313"/>
      <c r="BS92" s="313"/>
      <c r="BT92" s="313"/>
      <c r="BU92" s="313"/>
      <c r="BV92" s="313"/>
      <c r="BW92" s="313"/>
      <c r="BX92" s="313"/>
      <c r="BY92" s="313"/>
      <c r="BZ92" s="313"/>
      <c r="CA92" s="313"/>
      <c r="CB92" s="313"/>
      <c r="CC92" s="313"/>
      <c r="CD92" s="313"/>
      <c r="CE92" s="313"/>
    </row>
    <row r="93" spans="1:83" s="101" customFormat="1" ht="12.75" customHeight="1" x14ac:dyDescent="0.2">
      <c r="A93" s="1097"/>
      <c r="B93" s="1098" t="str">
        <f>IF(Stammblatt!$L$4=1,'Kalkulation Herstellungskosten'!BB93,'Kalkulation Herstellungskosten'!BC93)</f>
        <v xml:space="preserve">Wochenpauschale (§ 7 KV) </v>
      </c>
      <c r="C93" s="94">
        <v>0</v>
      </c>
      <c r="D93" s="386"/>
      <c r="E93" s="95"/>
      <c r="F93" s="1435"/>
      <c r="G93" s="96">
        <f ca="1">IF(AND(Stammblatt!$I$9=TRUE,GHSTK&lt;=1220000),Kollektivvertrag!$E$60,IF(AND(Stammblatt!$I$9=TRUE,GHSTK&lt;=1570000),Kollektivvertrag!E38/2,Kollektivvertrag!E38))</f>
        <v>2392.6454079176165</v>
      </c>
      <c r="H93" s="842" t="str">
        <f t="shared" ca="1" si="95"/>
        <v/>
      </c>
      <c r="I93" s="849" t="str">
        <f t="shared" si="96"/>
        <v/>
      </c>
      <c r="J93" s="747"/>
      <c r="K93" s="748"/>
      <c r="L93" s="359"/>
      <c r="M93" s="359"/>
      <c r="N93" s="334"/>
      <c r="O93" s="1405"/>
      <c r="P93" s="1431"/>
      <c r="Q93" s="1407"/>
      <c r="R93" s="1405"/>
      <c r="S93" s="514"/>
      <c r="T93" s="1405"/>
      <c r="U93" s="1405"/>
      <c r="V93" s="1433"/>
      <c r="W93" s="1433"/>
      <c r="X93" s="1405"/>
      <c r="Y93" s="1431"/>
      <c r="Z93" s="1407"/>
      <c r="AA93" s="1405"/>
      <c r="AB93" s="295"/>
      <c r="AC93" s="336"/>
      <c r="AD93" s="1411"/>
      <c r="AE93" s="1421"/>
      <c r="AF93" s="1409"/>
      <c r="AG93" s="1419"/>
      <c r="AH93" s="1411"/>
      <c r="AI93" s="1421"/>
      <c r="AJ93" s="1409"/>
      <c r="AK93" s="1419"/>
      <c r="AL93" s="1413"/>
      <c r="AM93" s="1421"/>
      <c r="AN93" s="1409"/>
      <c r="AO93" s="1419"/>
      <c r="AP93" s="1429"/>
      <c r="AQ93" s="1417">
        <f t="shared" si="74"/>
        <v>0</v>
      </c>
      <c r="AR93" s="1415">
        <f t="shared" si="75"/>
        <v>0</v>
      </c>
      <c r="AS93" s="310"/>
      <c r="AT93" s="310"/>
      <c r="AU93" s="393">
        <f ca="1">IF(AV93=TRUE,G93*0.8,G93)</f>
        <v>2392.6454079176165</v>
      </c>
      <c r="AV93" s="383" t="b">
        <v>0</v>
      </c>
      <c r="AW93" s="312">
        <f t="shared" ca="1" si="91"/>
        <v>2871.1744895011398</v>
      </c>
      <c r="AX93" s="312">
        <f t="shared" ca="1" si="92"/>
        <v>3110.4390302929014</v>
      </c>
      <c r="AY93" s="312"/>
      <c r="AZ93" s="312"/>
      <c r="BA93" s="315"/>
      <c r="BB93" s="196" t="s">
        <v>45</v>
      </c>
      <c r="BC93" s="196" t="s">
        <v>1024</v>
      </c>
      <c r="BD93" s="313"/>
      <c r="BE93" s="313"/>
      <c r="BF93" s="313"/>
      <c r="BG93" s="313"/>
      <c r="BH93" s="313"/>
      <c r="BI93" s="313"/>
      <c r="BJ93" s="313"/>
      <c r="BK93" s="313"/>
      <c r="BL93" s="313"/>
      <c r="BM93" s="313"/>
      <c r="BN93" s="313"/>
      <c r="BO93" s="313"/>
      <c r="BP93" s="313"/>
      <c r="BQ93" s="313"/>
      <c r="BR93" s="313"/>
      <c r="BS93" s="313"/>
      <c r="BT93" s="313"/>
      <c r="BU93" s="313"/>
      <c r="BV93" s="313"/>
      <c r="BW93" s="313"/>
      <c r="BX93" s="313"/>
      <c r="BY93" s="313"/>
      <c r="BZ93" s="313"/>
      <c r="CA93" s="313"/>
      <c r="CB93" s="313"/>
      <c r="CC93" s="313"/>
      <c r="CD93" s="313"/>
      <c r="CE93" s="313"/>
    </row>
    <row r="94" spans="1:83" s="101" customFormat="1" ht="12.75" customHeight="1" x14ac:dyDescent="0.2">
      <c r="A94" s="1099">
        <v>44</v>
      </c>
      <c r="B94" s="1096" t="str">
        <f>IF(Stammblatt!$L$4=1,'Kalkulation Herstellungskosten'!BB94,'Kalkulation Herstellungskosten'!BC94)</f>
        <v>Schnittassistenz</v>
      </c>
      <c r="C94" s="99">
        <v>0</v>
      </c>
      <c r="D94" s="385"/>
      <c r="E94" s="103"/>
      <c r="F94" s="1434">
        <f>C94*E94+C95*E95</f>
        <v>0</v>
      </c>
      <c r="G94" s="100">
        <f>IF(Stammblatt!$I$9=TRUE,Kollektivvertrag!$C$60,Kollektivvertrag!C39)</f>
        <v>1127.582859605031</v>
      </c>
      <c r="H94" s="841" t="str">
        <f t="shared" si="95"/>
        <v/>
      </c>
      <c r="I94" s="848" t="str">
        <f t="shared" si="96"/>
        <v/>
      </c>
      <c r="J94" s="751"/>
      <c r="K94" s="751"/>
      <c r="L94" s="556">
        <f>F94*J94</f>
        <v>0</v>
      </c>
      <c r="M94" s="557">
        <f>F94*K94</f>
        <v>0</v>
      </c>
      <c r="N94" s="558" t="str">
        <f>IF((L94+M94)&lt;&gt;F94,"?","")</f>
        <v/>
      </c>
      <c r="O94" s="1404"/>
      <c r="P94" s="1430"/>
      <c r="Q94" s="1406"/>
      <c r="R94" s="1404"/>
      <c r="S94" s="514"/>
      <c r="T94" s="1404"/>
      <c r="U94" s="1404"/>
      <c r="V94" s="1432">
        <f>SUM(T94:U95)</f>
        <v>0</v>
      </c>
      <c r="W94" s="1432">
        <f>F94-V94</f>
        <v>0</v>
      </c>
      <c r="X94" s="1404"/>
      <c r="Y94" s="1430"/>
      <c r="Z94" s="1406"/>
      <c r="AA94" s="1404"/>
      <c r="AB94" s="295"/>
      <c r="AC94" s="336"/>
      <c r="AD94" s="1410"/>
      <c r="AE94" s="1420"/>
      <c r="AF94" s="1408"/>
      <c r="AG94" s="1418">
        <f>SUM(AE94:AF95)</f>
        <v>0</v>
      </c>
      <c r="AH94" s="1410"/>
      <c r="AI94" s="1420"/>
      <c r="AJ94" s="1408"/>
      <c r="AK94" s="1418">
        <f>SUM(AI94:AJ95)</f>
        <v>0</v>
      </c>
      <c r="AL94" s="1412"/>
      <c r="AM94" s="1420"/>
      <c r="AN94" s="1408"/>
      <c r="AO94" s="1418">
        <f>SUM(AM94:AN95)</f>
        <v>0</v>
      </c>
      <c r="AP94" s="1428">
        <f>SUM(F94,AD94,AH94,AL94)</f>
        <v>0</v>
      </c>
      <c r="AQ94" s="1416">
        <f t="shared" si="74"/>
        <v>0</v>
      </c>
      <c r="AR94" s="1414">
        <f t="shared" si="75"/>
        <v>0</v>
      </c>
      <c r="AS94" s="310"/>
      <c r="AT94" s="310"/>
      <c r="AU94" s="393">
        <f>IF(AV95=TRUE,G94*0.8,G94)</f>
        <v>1127.582859605031</v>
      </c>
      <c r="AV94" s="383"/>
      <c r="AW94" s="312">
        <f t="shared" si="91"/>
        <v>1353.0994315260371</v>
      </c>
      <c r="AX94" s="312">
        <f t="shared" si="92"/>
        <v>1465.8577174865404</v>
      </c>
      <c r="AY94" s="312"/>
      <c r="AZ94" s="312"/>
      <c r="BA94" s="312"/>
      <c r="BB94" s="196" t="s">
        <v>612</v>
      </c>
      <c r="BC94" s="196" t="s">
        <v>342</v>
      </c>
      <c r="BD94" s="313"/>
      <c r="BE94" s="313"/>
      <c r="BF94" s="313"/>
      <c r="BG94" s="313"/>
      <c r="BH94" s="313"/>
      <c r="BI94" s="313"/>
      <c r="BJ94" s="313"/>
      <c r="BK94" s="313"/>
      <c r="BL94" s="313"/>
      <c r="BM94" s="313"/>
      <c r="BN94" s="313"/>
      <c r="BO94" s="313"/>
      <c r="BP94" s="313"/>
      <c r="BQ94" s="313"/>
      <c r="BR94" s="313"/>
      <c r="BS94" s="313"/>
      <c r="BT94" s="313"/>
      <c r="BU94" s="313"/>
      <c r="BV94" s="313"/>
      <c r="BW94" s="313"/>
      <c r="BX94" s="313"/>
      <c r="BY94" s="313"/>
      <c r="BZ94" s="313"/>
      <c r="CA94" s="313"/>
      <c r="CB94" s="313"/>
      <c r="CC94" s="313"/>
      <c r="CD94" s="313"/>
      <c r="CE94" s="313"/>
    </row>
    <row r="95" spans="1:83" s="101" customFormat="1" ht="12.75" customHeight="1" x14ac:dyDescent="0.2">
      <c r="A95" s="1097"/>
      <c r="B95" s="1098" t="str">
        <f>IF(Stammblatt!$L$4=1,'Kalkulation Herstellungskosten'!BB95,'Kalkulation Herstellungskosten'!BC95)</f>
        <v xml:space="preserve">Wochenpauschale (§ 7 KV) </v>
      </c>
      <c r="C95" s="94">
        <v>0</v>
      </c>
      <c r="D95" s="386"/>
      <c r="E95" s="95"/>
      <c r="F95" s="1435"/>
      <c r="G95" s="96">
        <f>IF(Stammblatt!$I$9=TRUE,Kollektivvertrag!$E$60,Kollektivvertrag!E39)</f>
        <v>1561.7022605529678</v>
      </c>
      <c r="H95" s="842" t="str">
        <f t="shared" si="95"/>
        <v/>
      </c>
      <c r="I95" s="849" t="str">
        <f t="shared" si="96"/>
        <v/>
      </c>
      <c r="J95" s="747"/>
      <c r="K95" s="748"/>
      <c r="L95" s="359"/>
      <c r="M95" s="359"/>
      <c r="N95" s="334"/>
      <c r="O95" s="1405"/>
      <c r="P95" s="1431"/>
      <c r="Q95" s="1407"/>
      <c r="R95" s="1405"/>
      <c r="S95" s="514"/>
      <c r="T95" s="1405"/>
      <c r="U95" s="1405"/>
      <c r="V95" s="1433"/>
      <c r="W95" s="1433"/>
      <c r="X95" s="1405"/>
      <c r="Y95" s="1431"/>
      <c r="Z95" s="1407"/>
      <c r="AA95" s="1405"/>
      <c r="AB95" s="295"/>
      <c r="AC95" s="336"/>
      <c r="AD95" s="1411"/>
      <c r="AE95" s="1421"/>
      <c r="AF95" s="1409"/>
      <c r="AG95" s="1419"/>
      <c r="AH95" s="1411"/>
      <c r="AI95" s="1421"/>
      <c r="AJ95" s="1409"/>
      <c r="AK95" s="1419"/>
      <c r="AL95" s="1413"/>
      <c r="AM95" s="1421"/>
      <c r="AN95" s="1409"/>
      <c r="AO95" s="1419"/>
      <c r="AP95" s="1429"/>
      <c r="AQ95" s="1417">
        <f t="shared" si="74"/>
        <v>0</v>
      </c>
      <c r="AR95" s="1415">
        <f t="shared" si="75"/>
        <v>0</v>
      </c>
      <c r="AS95" s="310"/>
      <c r="AT95" s="310"/>
      <c r="AU95" s="393">
        <f>IF(AV95=TRUE,G95*0.8,G95)</f>
        <v>1561.7022605529678</v>
      </c>
      <c r="AV95" s="383" t="b">
        <v>0</v>
      </c>
      <c r="AW95" s="312">
        <f t="shared" si="91"/>
        <v>1874.0427126635614</v>
      </c>
      <c r="AX95" s="312">
        <f t="shared" si="92"/>
        <v>2030.2129387188581</v>
      </c>
      <c r="AY95" s="312"/>
      <c r="AZ95" s="312"/>
      <c r="BA95" s="315"/>
      <c r="BB95" s="196" t="s">
        <v>45</v>
      </c>
      <c r="BC95" s="196" t="s">
        <v>1024</v>
      </c>
      <c r="BD95" s="313"/>
      <c r="BE95" s="313"/>
      <c r="BF95" s="313"/>
      <c r="BG95" s="313"/>
      <c r="BH95" s="313"/>
      <c r="BI95" s="313"/>
      <c r="BJ95" s="313"/>
      <c r="BK95" s="313"/>
      <c r="BL95" s="313"/>
      <c r="BM95" s="313"/>
      <c r="BN95" s="313"/>
      <c r="BO95" s="313"/>
      <c r="BP95" s="313"/>
      <c r="BQ95" s="313"/>
      <c r="BR95" s="313"/>
      <c r="BS95" s="313"/>
      <c r="BT95" s="313"/>
      <c r="BU95" s="313"/>
      <c r="BV95" s="313"/>
      <c r="BW95" s="313"/>
      <c r="BX95" s="313"/>
      <c r="BY95" s="313"/>
      <c r="BZ95" s="313"/>
      <c r="CA95" s="313"/>
      <c r="CB95" s="313"/>
      <c r="CC95" s="313"/>
      <c r="CD95" s="313"/>
      <c r="CE95" s="313"/>
    </row>
    <row r="96" spans="1:83" s="101" customFormat="1" ht="12.75" customHeight="1" x14ac:dyDescent="0.2">
      <c r="A96" s="1099">
        <v>45</v>
      </c>
      <c r="B96" s="1096" t="s">
        <v>617</v>
      </c>
      <c r="C96" s="99">
        <v>0</v>
      </c>
      <c r="D96" s="385"/>
      <c r="E96" s="103"/>
      <c r="F96" s="1434">
        <f>C96*E96+C97*E97</f>
        <v>0</v>
      </c>
      <c r="G96" s="100">
        <f ca="1">IF(AND(Stammblatt!$I$9=TRUE,GHSTK&lt;=1220000),Kollektivvertrag!$C$60,IF(AND(Stammblatt!$I$9=TRUE,GHSTK&lt;=1570000),Kollektivvertrag!C41/2,Kollektivvertrag!C41))</f>
        <v>1727.5418107708422</v>
      </c>
      <c r="H96" s="841" t="str">
        <f t="shared" ca="1" si="95"/>
        <v/>
      </c>
      <c r="I96" s="848" t="str">
        <f t="shared" si="96"/>
        <v/>
      </c>
      <c r="J96" s="751"/>
      <c r="K96" s="751"/>
      <c r="L96" s="556">
        <f>F96*J96</f>
        <v>0</v>
      </c>
      <c r="M96" s="557">
        <f>F96*K96</f>
        <v>0</v>
      </c>
      <c r="N96" s="558" t="str">
        <f>IF((L96+M96)&lt;&gt;F96,"?","")</f>
        <v/>
      </c>
      <c r="O96" s="1404"/>
      <c r="P96" s="1430"/>
      <c r="Q96" s="1406"/>
      <c r="R96" s="1404"/>
      <c r="S96" s="514"/>
      <c r="T96" s="1404"/>
      <c r="U96" s="1404"/>
      <c r="V96" s="1432">
        <f>SUM(T96:U97)</f>
        <v>0</v>
      </c>
      <c r="W96" s="1432">
        <f>F96-V96</f>
        <v>0</v>
      </c>
      <c r="X96" s="1404"/>
      <c r="Y96" s="1430"/>
      <c r="Z96" s="1406"/>
      <c r="AA96" s="1404"/>
      <c r="AB96" s="295"/>
      <c r="AC96" s="336"/>
      <c r="AD96" s="1410"/>
      <c r="AE96" s="1420"/>
      <c r="AF96" s="1408"/>
      <c r="AG96" s="1418">
        <f>SUM(AE96:AF97)</f>
        <v>0</v>
      </c>
      <c r="AH96" s="1410"/>
      <c r="AI96" s="1420"/>
      <c r="AJ96" s="1408"/>
      <c r="AK96" s="1418">
        <f>SUM(AI96:AJ97)</f>
        <v>0</v>
      </c>
      <c r="AL96" s="1412"/>
      <c r="AM96" s="1420"/>
      <c r="AN96" s="1408"/>
      <c r="AO96" s="1418">
        <f>SUM(AM96:AN97)</f>
        <v>0</v>
      </c>
      <c r="AP96" s="1428">
        <f>SUM(F96,AD96,AH96,AL96)</f>
        <v>0</v>
      </c>
      <c r="AQ96" s="1416">
        <f t="shared" si="74"/>
        <v>0</v>
      </c>
      <c r="AR96" s="1414">
        <f t="shared" si="75"/>
        <v>0</v>
      </c>
      <c r="AS96" s="310"/>
      <c r="AT96" s="310"/>
      <c r="AU96" s="393">
        <f ca="1">IF(AV97=TRUE,G96*0.8,G96)</f>
        <v>1727.5418107708422</v>
      </c>
      <c r="AV96" s="383"/>
      <c r="AW96" s="312">
        <f t="shared" ca="1" si="91"/>
        <v>2073.0501729250104</v>
      </c>
      <c r="AX96" s="312">
        <f t="shared" ca="1" si="92"/>
        <v>2245.8043540020949</v>
      </c>
      <c r="AY96" s="312"/>
      <c r="AZ96" s="312"/>
      <c r="BA96" s="312"/>
      <c r="BB96" s="196"/>
      <c r="BC96" s="196"/>
      <c r="BD96" s="313"/>
      <c r="BE96" s="313"/>
      <c r="BF96" s="313"/>
      <c r="BG96" s="313"/>
      <c r="BH96" s="313"/>
      <c r="BI96" s="313"/>
      <c r="BJ96" s="313"/>
      <c r="BK96" s="313"/>
      <c r="BL96" s="313"/>
      <c r="BM96" s="313"/>
      <c r="BN96" s="313"/>
      <c r="BO96" s="313"/>
      <c r="BP96" s="313"/>
      <c r="BQ96" s="313"/>
      <c r="BR96" s="313"/>
      <c r="BS96" s="313"/>
      <c r="BT96" s="313"/>
      <c r="BU96" s="313"/>
      <c r="BV96" s="313"/>
      <c r="BW96" s="313"/>
      <c r="BX96" s="313"/>
      <c r="BY96" s="313"/>
      <c r="BZ96" s="313"/>
      <c r="CA96" s="313"/>
      <c r="CB96" s="313"/>
      <c r="CC96" s="313"/>
      <c r="CD96" s="313"/>
      <c r="CE96" s="313"/>
    </row>
    <row r="97" spans="1:83" s="101" customFormat="1" ht="12.75" customHeight="1" x14ac:dyDescent="0.2">
      <c r="A97" s="1097"/>
      <c r="B97" s="1098" t="str">
        <f>IF(Stammblatt!$L$4=1,'Kalkulation Herstellungskosten'!BB97,'Kalkulation Herstellungskosten'!BC97)</f>
        <v xml:space="preserve">Wochenpauschale (§ 7 KV) </v>
      </c>
      <c r="C97" s="94">
        <v>0</v>
      </c>
      <c r="D97" s="386"/>
      <c r="E97" s="95"/>
      <c r="F97" s="1435"/>
      <c r="G97" s="96">
        <f ca="1">IF(AND(Stammblatt!$I$9=TRUE,GHSTK&lt;=1220000),Kollektivvertrag!$E$60,IF(AND(Stammblatt!$I$9=TRUE,GHSTK&lt;=1570000),Kollektivvertrag!E41/2,Kollektivvertrag!E41))</f>
        <v>2392.6454079176165</v>
      </c>
      <c r="H97" s="842" t="str">
        <f t="shared" ca="1" si="95"/>
        <v/>
      </c>
      <c r="I97" s="849" t="str">
        <f t="shared" si="96"/>
        <v/>
      </c>
      <c r="J97" s="747"/>
      <c r="K97" s="748"/>
      <c r="L97" s="359"/>
      <c r="M97" s="359"/>
      <c r="N97" s="334"/>
      <c r="O97" s="1405"/>
      <c r="P97" s="1431"/>
      <c r="Q97" s="1407"/>
      <c r="R97" s="1405"/>
      <c r="S97" s="514"/>
      <c r="T97" s="1405"/>
      <c r="U97" s="1405"/>
      <c r="V97" s="1433"/>
      <c r="W97" s="1433"/>
      <c r="X97" s="1405"/>
      <c r="Y97" s="1431"/>
      <c r="Z97" s="1407"/>
      <c r="AA97" s="1405"/>
      <c r="AB97" s="295"/>
      <c r="AC97" s="336"/>
      <c r="AD97" s="1411"/>
      <c r="AE97" s="1421"/>
      <c r="AF97" s="1409"/>
      <c r="AG97" s="1419"/>
      <c r="AH97" s="1411"/>
      <c r="AI97" s="1421"/>
      <c r="AJ97" s="1409"/>
      <c r="AK97" s="1419"/>
      <c r="AL97" s="1413"/>
      <c r="AM97" s="1421"/>
      <c r="AN97" s="1409"/>
      <c r="AO97" s="1419"/>
      <c r="AP97" s="1429"/>
      <c r="AQ97" s="1417">
        <f t="shared" si="74"/>
        <v>0</v>
      </c>
      <c r="AR97" s="1415">
        <f t="shared" si="75"/>
        <v>0</v>
      </c>
      <c r="AS97" s="310"/>
      <c r="AT97" s="310"/>
      <c r="AU97" s="393">
        <f ca="1">IF(AV97=TRUE,G97*0.8,G97)</f>
        <v>2392.6454079176165</v>
      </c>
      <c r="AV97" s="383" t="b">
        <v>0</v>
      </c>
      <c r="AW97" s="312">
        <f t="shared" ca="1" si="91"/>
        <v>2871.1744895011398</v>
      </c>
      <c r="AX97" s="312">
        <f t="shared" ca="1" si="92"/>
        <v>3110.4390302929014</v>
      </c>
      <c r="AY97" s="312"/>
      <c r="AZ97" s="312"/>
      <c r="BA97" s="315"/>
      <c r="BB97" s="196" t="s">
        <v>45</v>
      </c>
      <c r="BC97" s="196" t="s">
        <v>1024</v>
      </c>
      <c r="BD97" s="313"/>
      <c r="BE97" s="313"/>
      <c r="BF97" s="313"/>
      <c r="BG97" s="313"/>
      <c r="BH97" s="313"/>
      <c r="BI97" s="313"/>
      <c r="BJ97" s="313"/>
      <c r="BK97" s="313"/>
      <c r="BL97" s="313"/>
      <c r="BM97" s="313"/>
      <c r="BN97" s="313"/>
      <c r="BO97" s="313"/>
      <c r="BP97" s="313"/>
      <c r="BQ97" s="313"/>
      <c r="BR97" s="313"/>
      <c r="BS97" s="313"/>
      <c r="BT97" s="313"/>
      <c r="BU97" s="313"/>
      <c r="BV97" s="313"/>
      <c r="BW97" s="313"/>
      <c r="BX97" s="313"/>
      <c r="BY97" s="313"/>
      <c r="BZ97" s="313"/>
      <c r="CA97" s="313"/>
      <c r="CB97" s="313"/>
      <c r="CC97" s="313"/>
      <c r="CD97" s="313"/>
      <c r="CE97" s="313"/>
    </row>
    <row r="98" spans="1:83" s="101" customFormat="1" ht="12.75" customHeight="1" x14ac:dyDescent="0.2">
      <c r="A98" s="1099">
        <v>46</v>
      </c>
      <c r="B98" s="1096" t="str">
        <f>IF(Stammblatt!$L$4=1,'Kalkulation Herstellungskosten'!BB98,'Kalkulation Herstellungskosten'!BC98)</f>
        <v>Tonschnitt</v>
      </c>
      <c r="C98" s="99">
        <v>0</v>
      </c>
      <c r="D98" s="385"/>
      <c r="E98" s="103"/>
      <c r="F98" s="1434">
        <f>C98*E98+C99*E99</f>
        <v>0</v>
      </c>
      <c r="G98" s="100">
        <f>IF(Stammblatt!$I$9=TRUE,Kollektivvertrag!$C$60,Kollektivvertrag!C40)</f>
        <v>1295.6551510653831</v>
      </c>
      <c r="H98" s="841" t="str">
        <f t="shared" si="95"/>
        <v/>
      </c>
      <c r="I98" s="848" t="str">
        <f t="shared" si="96"/>
        <v/>
      </c>
      <c r="J98" s="751"/>
      <c r="K98" s="751"/>
      <c r="L98" s="556">
        <f>F98*J98</f>
        <v>0</v>
      </c>
      <c r="M98" s="557">
        <f>F98*K98</f>
        <v>0</v>
      </c>
      <c r="N98" s="558" t="str">
        <f>IF((L98+M98)&lt;&gt;F98,"?","")</f>
        <v/>
      </c>
      <c r="O98" s="1404"/>
      <c r="P98" s="1430"/>
      <c r="Q98" s="1406"/>
      <c r="R98" s="1404"/>
      <c r="S98" s="514"/>
      <c r="T98" s="1404"/>
      <c r="U98" s="1404"/>
      <c r="V98" s="1432">
        <f>SUM(T98:U99)</f>
        <v>0</v>
      </c>
      <c r="W98" s="1432">
        <f>F98-V98</f>
        <v>0</v>
      </c>
      <c r="X98" s="1404"/>
      <c r="Y98" s="1430"/>
      <c r="Z98" s="1406"/>
      <c r="AA98" s="1404"/>
      <c r="AB98" s="295"/>
      <c r="AC98" s="336"/>
      <c r="AD98" s="1410"/>
      <c r="AE98" s="1420"/>
      <c r="AF98" s="1408"/>
      <c r="AG98" s="1418">
        <f>SUM(AE98:AF99)</f>
        <v>0</v>
      </c>
      <c r="AH98" s="1410"/>
      <c r="AI98" s="1420"/>
      <c r="AJ98" s="1408"/>
      <c r="AK98" s="1418">
        <f>SUM(AI98:AJ99)</f>
        <v>0</v>
      </c>
      <c r="AL98" s="1412"/>
      <c r="AM98" s="1420"/>
      <c r="AN98" s="1408"/>
      <c r="AO98" s="1418">
        <f>SUM(AM98:AN99)</f>
        <v>0</v>
      </c>
      <c r="AP98" s="1428">
        <f>SUM(F98,AD98,AH98,AL98)</f>
        <v>0</v>
      </c>
      <c r="AQ98" s="1416">
        <f t="shared" si="74"/>
        <v>0</v>
      </c>
      <c r="AR98" s="1414">
        <f t="shared" si="75"/>
        <v>0</v>
      </c>
      <c r="AS98" s="310"/>
      <c r="AT98" s="310"/>
      <c r="AU98" s="393">
        <f>IF(AV99=TRUE,G98*0.8,G98)</f>
        <v>1295.6551510653831</v>
      </c>
      <c r="AV98" s="383"/>
      <c r="AW98" s="312">
        <f t="shared" si="91"/>
        <v>1554.7861812784597</v>
      </c>
      <c r="AX98" s="312">
        <f t="shared" si="92"/>
        <v>1684.3516963849979</v>
      </c>
      <c r="AY98" s="312"/>
      <c r="AZ98" s="312"/>
      <c r="BA98" s="312"/>
      <c r="BB98" s="196" t="s">
        <v>611</v>
      </c>
      <c r="BC98" s="196" t="s">
        <v>341</v>
      </c>
      <c r="BD98" s="313"/>
      <c r="BE98" s="313"/>
      <c r="BF98" s="313"/>
      <c r="BG98" s="313"/>
      <c r="BH98" s="313"/>
      <c r="BI98" s="313"/>
      <c r="BJ98" s="313"/>
      <c r="BK98" s="313"/>
      <c r="BL98" s="313"/>
      <c r="BM98" s="313"/>
      <c r="BN98" s="313"/>
      <c r="BO98" s="313"/>
      <c r="BP98" s="313"/>
      <c r="BQ98" s="313"/>
      <c r="BR98" s="313"/>
      <c r="BS98" s="313"/>
      <c r="BT98" s="313"/>
      <c r="BU98" s="313"/>
      <c r="BV98" s="313"/>
      <c r="BW98" s="313"/>
      <c r="BX98" s="313"/>
      <c r="BY98" s="313"/>
      <c r="BZ98" s="313"/>
      <c r="CA98" s="313"/>
      <c r="CB98" s="313"/>
      <c r="CC98" s="313"/>
      <c r="CD98" s="313"/>
      <c r="CE98" s="313"/>
    </row>
    <row r="99" spans="1:83" s="101" customFormat="1" ht="12.75" customHeight="1" x14ac:dyDescent="0.2">
      <c r="A99" s="1097"/>
      <c r="B99" s="1098" t="str">
        <f>IF(Stammblatt!$L$4=1,'Kalkulation Herstellungskosten'!BB99,'Kalkulation Herstellungskosten'!BC99)</f>
        <v xml:space="preserve">Wochenpauschale (§ 7 KV) </v>
      </c>
      <c r="C99" s="94">
        <v>0</v>
      </c>
      <c r="D99" s="386"/>
      <c r="E99" s="95"/>
      <c r="F99" s="1435"/>
      <c r="G99" s="96">
        <f>IF(Stammblatt!$I$9=TRUE,Kollektivvertrag!$E$60,Kollektivvertrag!E40)</f>
        <v>1794.4823842255555</v>
      </c>
      <c r="H99" s="842" t="str">
        <f t="shared" si="95"/>
        <v/>
      </c>
      <c r="I99" s="849" t="str">
        <f t="shared" si="96"/>
        <v/>
      </c>
      <c r="J99" s="747"/>
      <c r="K99" s="748"/>
      <c r="L99" s="359"/>
      <c r="M99" s="359"/>
      <c r="N99" s="334"/>
      <c r="O99" s="1405"/>
      <c r="P99" s="1431"/>
      <c r="Q99" s="1407"/>
      <c r="R99" s="1405"/>
      <c r="S99" s="514"/>
      <c r="T99" s="1405"/>
      <c r="U99" s="1405"/>
      <c r="V99" s="1433"/>
      <c r="W99" s="1433"/>
      <c r="X99" s="1405"/>
      <c r="Y99" s="1431"/>
      <c r="Z99" s="1407"/>
      <c r="AA99" s="1405"/>
      <c r="AB99" s="295"/>
      <c r="AC99" s="336"/>
      <c r="AD99" s="1411"/>
      <c r="AE99" s="1421"/>
      <c r="AF99" s="1409"/>
      <c r="AG99" s="1419"/>
      <c r="AH99" s="1411"/>
      <c r="AI99" s="1421"/>
      <c r="AJ99" s="1409"/>
      <c r="AK99" s="1419"/>
      <c r="AL99" s="1413"/>
      <c r="AM99" s="1421"/>
      <c r="AN99" s="1409"/>
      <c r="AO99" s="1419"/>
      <c r="AP99" s="1429"/>
      <c r="AQ99" s="1417">
        <f t="shared" si="74"/>
        <v>0</v>
      </c>
      <c r="AR99" s="1415">
        <f t="shared" si="75"/>
        <v>0</v>
      </c>
      <c r="AS99" s="310"/>
      <c r="AT99" s="310"/>
      <c r="AU99" s="393">
        <f>IF(AV99=TRUE,G99*0.8,G99)</f>
        <v>1794.4823842255555</v>
      </c>
      <c r="AV99" s="383" t="b">
        <v>0</v>
      </c>
      <c r="AW99" s="312">
        <f t="shared" si="91"/>
        <v>2153.3788610706665</v>
      </c>
      <c r="AX99" s="312">
        <f t="shared" si="92"/>
        <v>2332.8270994932222</v>
      </c>
      <c r="AY99" s="312"/>
      <c r="AZ99" s="312"/>
      <c r="BA99" s="315"/>
      <c r="BB99" s="196" t="s">
        <v>45</v>
      </c>
      <c r="BC99" s="196" t="s">
        <v>1024</v>
      </c>
      <c r="BD99" s="313"/>
      <c r="BE99" s="313"/>
      <c r="BF99" s="313"/>
      <c r="BG99" s="313"/>
      <c r="BH99" s="313"/>
      <c r="BI99" s="313"/>
      <c r="BJ99" s="313"/>
      <c r="BK99" s="313"/>
      <c r="BL99" s="313"/>
      <c r="BM99" s="313"/>
      <c r="BN99" s="313"/>
      <c r="BO99" s="313"/>
      <c r="BP99" s="313"/>
      <c r="BQ99" s="313"/>
      <c r="BR99" s="313"/>
      <c r="BS99" s="313"/>
      <c r="BT99" s="313"/>
      <c r="BU99" s="313"/>
      <c r="BV99" s="313"/>
      <c r="BW99" s="313"/>
      <c r="BX99" s="313"/>
      <c r="BY99" s="313"/>
      <c r="BZ99" s="313"/>
      <c r="CA99" s="313"/>
      <c r="CB99" s="313"/>
      <c r="CC99" s="313"/>
      <c r="CD99" s="313"/>
      <c r="CE99" s="313"/>
    </row>
    <row r="100" spans="1:83" s="101" customFormat="1" ht="12.75" customHeight="1" x14ac:dyDescent="0.2">
      <c r="A100" s="1099">
        <v>47</v>
      </c>
      <c r="B100" s="1096" t="str">
        <f>IF(Stammblatt!$L$4=1,'Kalkulation Herstellungskosten'!BB100,'Kalkulation Herstellungskosten'!BC100)</f>
        <v>Kostümbild</v>
      </c>
      <c r="C100" s="99">
        <v>0</v>
      </c>
      <c r="D100" s="385"/>
      <c r="E100" s="103"/>
      <c r="F100" s="1434">
        <f>C100*E100+C101*E101</f>
        <v>0</v>
      </c>
      <c r="G100" s="100">
        <f ca="1">IF(AND(Stammblatt!$I$9=TRUE,GHSTK&lt;=1220000),Kollektivvertrag!$C$60,IF(AND(Stammblatt!$I$9=TRUE,GHSTK&lt;=1570000),Kollektivvertrag!C44/2,Kollektivvertrag!C44))</f>
        <v>1862.4583516294156</v>
      </c>
      <c r="H100" s="841" t="str">
        <f t="shared" ca="1" si="95"/>
        <v/>
      </c>
      <c r="I100" s="848" t="str">
        <f t="shared" si="96"/>
        <v/>
      </c>
      <c r="J100" s="751"/>
      <c r="K100" s="751"/>
      <c r="L100" s="556">
        <f>F100*J100</f>
        <v>0</v>
      </c>
      <c r="M100" s="557">
        <f>F100*K100</f>
        <v>0</v>
      </c>
      <c r="N100" s="558" t="str">
        <f>IF((L100+M100)&lt;&gt;F100,"?","")</f>
        <v/>
      </c>
      <c r="O100" s="1404"/>
      <c r="P100" s="1430"/>
      <c r="Q100" s="1406"/>
      <c r="R100" s="1404"/>
      <c r="S100" s="514"/>
      <c r="T100" s="1404"/>
      <c r="U100" s="1404"/>
      <c r="V100" s="1432">
        <f>SUM(T100:U101)</f>
        <v>0</v>
      </c>
      <c r="W100" s="1432">
        <f>F100-V100</f>
        <v>0</v>
      </c>
      <c r="X100" s="1404"/>
      <c r="Y100" s="1430"/>
      <c r="Z100" s="1406"/>
      <c r="AA100" s="1404"/>
      <c r="AB100" s="295"/>
      <c r="AC100" s="336"/>
      <c r="AD100" s="1410"/>
      <c r="AE100" s="1420"/>
      <c r="AF100" s="1408"/>
      <c r="AG100" s="1418">
        <f>SUM(AE100:AF101)</f>
        <v>0</v>
      </c>
      <c r="AH100" s="1410"/>
      <c r="AI100" s="1420"/>
      <c r="AJ100" s="1408"/>
      <c r="AK100" s="1418">
        <f>SUM(AI100:AJ101)</f>
        <v>0</v>
      </c>
      <c r="AL100" s="1412"/>
      <c r="AM100" s="1420"/>
      <c r="AN100" s="1408"/>
      <c r="AO100" s="1418">
        <f>SUM(AM100:AN101)</f>
        <v>0</v>
      </c>
      <c r="AP100" s="1428">
        <f>SUM(F100,AD100,AH100,AL100)</f>
        <v>0</v>
      </c>
      <c r="AQ100" s="1416">
        <f t="shared" si="74"/>
        <v>0</v>
      </c>
      <c r="AR100" s="1414">
        <f t="shared" si="75"/>
        <v>0</v>
      </c>
      <c r="AS100" s="310"/>
      <c r="AT100" s="310"/>
      <c r="AU100" s="393">
        <f ca="1">IF(AV101=TRUE,G100*0.8,G100)</f>
        <v>1862.4583516294156</v>
      </c>
      <c r="AV100" s="383"/>
      <c r="AW100" s="312">
        <f t="shared" ca="1" si="91"/>
        <v>2234.9500219552988</v>
      </c>
      <c r="AX100" s="312">
        <f t="shared" ca="1" si="92"/>
        <v>2421.1958571182404</v>
      </c>
      <c r="AY100" s="312"/>
      <c r="AZ100" s="312"/>
      <c r="BA100" s="312"/>
      <c r="BB100" s="196" t="s">
        <v>590</v>
      </c>
      <c r="BC100" s="196" t="s">
        <v>320</v>
      </c>
      <c r="BD100" s="313"/>
      <c r="BE100" s="313"/>
      <c r="BF100" s="313"/>
      <c r="BG100" s="313"/>
      <c r="BH100" s="313"/>
      <c r="BI100" s="313"/>
      <c r="BJ100" s="313"/>
      <c r="BK100" s="313"/>
      <c r="BL100" s="313"/>
      <c r="BM100" s="313"/>
      <c r="BN100" s="313"/>
      <c r="BO100" s="313"/>
      <c r="BP100" s="313"/>
      <c r="BQ100" s="313"/>
      <c r="BR100" s="313"/>
      <c r="BS100" s="313"/>
      <c r="BT100" s="313"/>
      <c r="BU100" s="313"/>
      <c r="BV100" s="313"/>
      <c r="BW100" s="313"/>
      <c r="BX100" s="313"/>
      <c r="BY100" s="313"/>
      <c r="BZ100" s="313"/>
      <c r="CA100" s="313"/>
      <c r="CB100" s="313"/>
      <c r="CC100" s="313"/>
      <c r="CD100" s="313"/>
      <c r="CE100" s="313"/>
    </row>
    <row r="101" spans="1:83" s="101" customFormat="1" ht="12.75" customHeight="1" x14ac:dyDescent="0.2">
      <c r="A101" s="1097"/>
      <c r="B101" s="1098" t="str">
        <f>IF(Stammblatt!$L$4=1,'Kalkulation Herstellungskosten'!BB101,'Kalkulation Herstellungskosten'!BC101)</f>
        <v xml:space="preserve">Wochenpauschale (§ 7 KV) </v>
      </c>
      <c r="C101" s="94">
        <v>0</v>
      </c>
      <c r="D101" s="386"/>
      <c r="E101" s="95"/>
      <c r="F101" s="1435"/>
      <c r="G101" s="96">
        <f ca="1">IF(AND(Stammblatt!$I$9=TRUE,GHSTK&lt;=1220000),Kollektivvertrag!$E$60,IF(AND(Stammblatt!$I$9=TRUE,GHSTK&lt;=1570000),Kollektivvertrag!E44/2,Kollektivvertrag!E44))</f>
        <v>2579.5048170067407</v>
      </c>
      <c r="H101" s="842" t="str">
        <f t="shared" ca="1" si="95"/>
        <v/>
      </c>
      <c r="I101" s="849" t="str">
        <f t="shared" si="96"/>
        <v/>
      </c>
      <c r="J101" s="747"/>
      <c r="K101" s="748"/>
      <c r="L101" s="359"/>
      <c r="M101" s="359"/>
      <c r="N101" s="334"/>
      <c r="O101" s="1405"/>
      <c r="P101" s="1431"/>
      <c r="Q101" s="1407"/>
      <c r="R101" s="1405"/>
      <c r="S101" s="514"/>
      <c r="T101" s="1405"/>
      <c r="U101" s="1405"/>
      <c r="V101" s="1433"/>
      <c r="W101" s="1433"/>
      <c r="X101" s="1405"/>
      <c r="Y101" s="1431"/>
      <c r="Z101" s="1407"/>
      <c r="AA101" s="1405"/>
      <c r="AB101" s="295"/>
      <c r="AC101" s="336"/>
      <c r="AD101" s="1411"/>
      <c r="AE101" s="1421"/>
      <c r="AF101" s="1409"/>
      <c r="AG101" s="1419"/>
      <c r="AH101" s="1411"/>
      <c r="AI101" s="1421"/>
      <c r="AJ101" s="1409"/>
      <c r="AK101" s="1419"/>
      <c r="AL101" s="1413"/>
      <c r="AM101" s="1421"/>
      <c r="AN101" s="1409"/>
      <c r="AO101" s="1419"/>
      <c r="AP101" s="1429"/>
      <c r="AQ101" s="1417">
        <f t="shared" si="74"/>
        <v>0</v>
      </c>
      <c r="AR101" s="1415">
        <f t="shared" si="75"/>
        <v>0</v>
      </c>
      <c r="AS101" s="310"/>
      <c r="AT101" s="310"/>
      <c r="AU101" s="393">
        <f ca="1">IF(AV101=TRUE,G101*0.8,G101)</f>
        <v>2579.5048170067407</v>
      </c>
      <c r="AV101" s="383" t="b">
        <v>0</v>
      </c>
      <c r="AW101" s="312">
        <f t="shared" ca="1" si="91"/>
        <v>3095.405780408089</v>
      </c>
      <c r="AX101" s="312">
        <f t="shared" ca="1" si="92"/>
        <v>3353.3562621087631</v>
      </c>
      <c r="AY101" s="312"/>
      <c r="AZ101" s="312"/>
      <c r="BA101" s="315"/>
      <c r="BB101" s="196" t="s">
        <v>45</v>
      </c>
      <c r="BC101" s="196" t="s">
        <v>1024</v>
      </c>
      <c r="BD101" s="313"/>
      <c r="BE101" s="313"/>
      <c r="BF101" s="313"/>
      <c r="BG101" s="313"/>
      <c r="BH101" s="313"/>
      <c r="BI101" s="313"/>
      <c r="BJ101" s="313"/>
      <c r="BK101" s="313"/>
      <c r="BL101" s="313"/>
      <c r="BM101" s="313"/>
      <c r="BN101" s="313"/>
      <c r="BO101" s="313"/>
      <c r="BP101" s="313"/>
      <c r="BQ101" s="313"/>
      <c r="BR101" s="313"/>
      <c r="BS101" s="313"/>
      <c r="BT101" s="313"/>
      <c r="BU101" s="313"/>
      <c r="BV101" s="313"/>
      <c r="BW101" s="313"/>
      <c r="BX101" s="313"/>
      <c r="BY101" s="313"/>
      <c r="BZ101" s="313"/>
      <c r="CA101" s="313"/>
      <c r="CB101" s="313"/>
      <c r="CC101" s="313"/>
      <c r="CD101" s="313"/>
      <c r="CE101" s="313"/>
    </row>
    <row r="102" spans="1:83" s="101" customFormat="1" ht="12.75" customHeight="1" x14ac:dyDescent="0.2">
      <c r="A102" s="1099">
        <v>48</v>
      </c>
      <c r="B102" s="1096" t="str">
        <f>IF(Stammblatt!$L$4=1,'Kalkulation Herstellungskosten'!BB102,'Kalkulation Herstellungskosten'!BC102)</f>
        <v>Kostümbildassistenz</v>
      </c>
      <c r="C102" s="99">
        <v>0</v>
      </c>
      <c r="D102" s="385"/>
      <c r="E102" s="103"/>
      <c r="F102" s="1434">
        <f>C102*E102+C103*E103</f>
        <v>0</v>
      </c>
      <c r="G102" s="100">
        <f>IF(Stammblatt!$I$9=TRUE,Kollektivvertrag!$C$60,Kollektivvertrag!C45)</f>
        <v>1291.5689205194096</v>
      </c>
      <c r="H102" s="841" t="str">
        <f t="shared" si="95"/>
        <v/>
      </c>
      <c r="I102" s="848" t="str">
        <f t="shared" si="96"/>
        <v/>
      </c>
      <c r="J102" s="751"/>
      <c r="K102" s="751"/>
      <c r="L102" s="556">
        <f>F102*J102</f>
        <v>0</v>
      </c>
      <c r="M102" s="557">
        <f>F102*K102</f>
        <v>0</v>
      </c>
      <c r="N102" s="558" t="str">
        <f>IF((L102+M102)&lt;&gt;F102,"?","")</f>
        <v/>
      </c>
      <c r="O102" s="1404"/>
      <c r="P102" s="1430"/>
      <c r="Q102" s="1406"/>
      <c r="R102" s="1404"/>
      <c r="S102" s="514"/>
      <c r="T102" s="1404"/>
      <c r="U102" s="1404"/>
      <c r="V102" s="1432">
        <f>SUM(T102:U103)</f>
        <v>0</v>
      </c>
      <c r="W102" s="1432">
        <f>F102-V102</f>
        <v>0</v>
      </c>
      <c r="X102" s="1404"/>
      <c r="Y102" s="1430"/>
      <c r="Z102" s="1406"/>
      <c r="AA102" s="1404"/>
      <c r="AB102" s="295"/>
      <c r="AC102" s="336"/>
      <c r="AD102" s="1410"/>
      <c r="AE102" s="1420"/>
      <c r="AF102" s="1408"/>
      <c r="AG102" s="1418">
        <f>SUM(AE102:AF103)</f>
        <v>0</v>
      </c>
      <c r="AH102" s="1410"/>
      <c r="AI102" s="1420"/>
      <c r="AJ102" s="1408"/>
      <c r="AK102" s="1418">
        <f>SUM(AI102:AJ103)</f>
        <v>0</v>
      </c>
      <c r="AL102" s="1412"/>
      <c r="AM102" s="1420"/>
      <c r="AN102" s="1408"/>
      <c r="AO102" s="1418">
        <f>SUM(AM102:AN103)</f>
        <v>0</v>
      </c>
      <c r="AP102" s="1428">
        <f>SUM(F102,AD102,AH102,AL102)</f>
        <v>0</v>
      </c>
      <c r="AQ102" s="1416">
        <f t="shared" si="74"/>
        <v>0</v>
      </c>
      <c r="AR102" s="1414">
        <f t="shared" si="75"/>
        <v>0</v>
      </c>
      <c r="AS102" s="310"/>
      <c r="AT102" s="310"/>
      <c r="AU102" s="393">
        <f>IF(AV103=TRUE,G102*0.8,G102)</f>
        <v>1291.5689205194096</v>
      </c>
      <c r="AV102" s="383"/>
      <c r="AW102" s="312">
        <f t="shared" si="91"/>
        <v>1549.8827046232916</v>
      </c>
      <c r="AX102" s="312">
        <f t="shared" si="92"/>
        <v>1679.0395966752326</v>
      </c>
      <c r="AY102" s="312"/>
      <c r="AZ102" s="312"/>
      <c r="BA102" s="312"/>
      <c r="BB102" s="196" t="s">
        <v>591</v>
      </c>
      <c r="BC102" s="196" t="s">
        <v>321</v>
      </c>
      <c r="BD102" s="313"/>
      <c r="BE102" s="313"/>
      <c r="BF102" s="313"/>
      <c r="BG102" s="313"/>
      <c r="BH102" s="313"/>
      <c r="BI102" s="313"/>
      <c r="BJ102" s="313"/>
      <c r="BK102" s="313"/>
      <c r="BL102" s="313"/>
      <c r="BM102" s="313"/>
      <c r="BN102" s="313"/>
      <c r="BO102" s="313"/>
      <c r="BP102" s="313"/>
      <c r="BQ102" s="313"/>
      <c r="BR102" s="313"/>
      <c r="BS102" s="313"/>
      <c r="BT102" s="313"/>
      <c r="BU102" s="313"/>
      <c r="BV102" s="313"/>
      <c r="BW102" s="313"/>
      <c r="BX102" s="313"/>
      <c r="BY102" s="313"/>
      <c r="BZ102" s="313"/>
      <c r="CA102" s="313"/>
      <c r="CB102" s="313"/>
      <c r="CC102" s="313"/>
      <c r="CD102" s="313"/>
      <c r="CE102" s="313"/>
    </row>
    <row r="103" spans="1:83" s="101" customFormat="1" ht="12.75" customHeight="1" x14ac:dyDescent="0.2">
      <c r="A103" s="1097"/>
      <c r="B103" s="1098" t="str">
        <f>IF(Stammblatt!$L$4=1,'Kalkulation Herstellungskosten'!BB103,'Kalkulation Herstellungskosten'!BC103)</f>
        <v xml:space="preserve">Wochenpauschale (§ 7 KV) </v>
      </c>
      <c r="C103" s="94">
        <v>0</v>
      </c>
      <c r="D103" s="386"/>
      <c r="E103" s="95"/>
      <c r="F103" s="1435"/>
      <c r="G103" s="96">
        <f>IF(Stammblatt!$I$9=TRUE,Kollektivvertrag!$E$60,Kollektivvertrag!E45)</f>
        <v>1788.8229549193825</v>
      </c>
      <c r="H103" s="842" t="str">
        <f t="shared" si="95"/>
        <v/>
      </c>
      <c r="I103" s="849" t="str">
        <f t="shared" si="96"/>
        <v/>
      </c>
      <c r="J103" s="747"/>
      <c r="K103" s="748"/>
      <c r="L103" s="359"/>
      <c r="M103" s="359"/>
      <c r="N103" s="334"/>
      <c r="O103" s="1405"/>
      <c r="P103" s="1431"/>
      <c r="Q103" s="1407"/>
      <c r="R103" s="1405"/>
      <c r="S103" s="514"/>
      <c r="T103" s="1405"/>
      <c r="U103" s="1405"/>
      <c r="V103" s="1433"/>
      <c r="W103" s="1433"/>
      <c r="X103" s="1405"/>
      <c r="Y103" s="1431"/>
      <c r="Z103" s="1407"/>
      <c r="AA103" s="1405"/>
      <c r="AB103" s="295"/>
      <c r="AC103" s="336"/>
      <c r="AD103" s="1411"/>
      <c r="AE103" s="1421"/>
      <c r="AF103" s="1409"/>
      <c r="AG103" s="1419"/>
      <c r="AH103" s="1411"/>
      <c r="AI103" s="1421"/>
      <c r="AJ103" s="1409"/>
      <c r="AK103" s="1419"/>
      <c r="AL103" s="1413"/>
      <c r="AM103" s="1421"/>
      <c r="AN103" s="1409"/>
      <c r="AO103" s="1419"/>
      <c r="AP103" s="1429"/>
      <c r="AQ103" s="1417">
        <f t="shared" si="74"/>
        <v>0</v>
      </c>
      <c r="AR103" s="1415">
        <f t="shared" si="75"/>
        <v>0</v>
      </c>
      <c r="AS103" s="310"/>
      <c r="AT103" s="310"/>
      <c r="AU103" s="393">
        <f>IF(AV103=TRUE,G103*0.8,G103)</f>
        <v>1788.8229549193825</v>
      </c>
      <c r="AV103" s="383" t="b">
        <v>0</v>
      </c>
      <c r="AW103" s="312">
        <f t="shared" si="91"/>
        <v>2146.5875459032591</v>
      </c>
      <c r="AX103" s="312">
        <f t="shared" si="92"/>
        <v>2325.4698413951974</v>
      </c>
      <c r="AY103" s="312"/>
      <c r="AZ103" s="312"/>
      <c r="BA103" s="315"/>
      <c r="BB103" s="196" t="s">
        <v>45</v>
      </c>
      <c r="BC103" s="196" t="s">
        <v>1024</v>
      </c>
      <c r="BD103" s="313"/>
      <c r="BE103" s="313"/>
      <c r="BF103" s="313"/>
      <c r="BG103" s="313"/>
      <c r="BH103" s="313"/>
      <c r="BI103" s="313"/>
      <c r="BJ103" s="313"/>
      <c r="BK103" s="313"/>
      <c r="BL103" s="313"/>
      <c r="BM103" s="313"/>
      <c r="BN103" s="313"/>
      <c r="BO103" s="313"/>
      <c r="BP103" s="313"/>
      <c r="BQ103" s="313"/>
      <c r="BR103" s="313"/>
      <c r="BS103" s="313"/>
      <c r="BT103" s="313"/>
      <c r="BU103" s="313"/>
      <c r="BV103" s="313"/>
      <c r="BW103" s="313"/>
      <c r="BX103" s="313"/>
      <c r="BY103" s="313"/>
      <c r="BZ103" s="313"/>
      <c r="CA103" s="313"/>
      <c r="CB103" s="313"/>
      <c r="CC103" s="313"/>
      <c r="CD103" s="313"/>
      <c r="CE103" s="313"/>
    </row>
    <row r="104" spans="1:83" s="101" customFormat="1" ht="12.75" customHeight="1" x14ac:dyDescent="0.2">
      <c r="A104" s="1100">
        <v>49</v>
      </c>
      <c r="B104" s="1096" t="str">
        <f>IF(Stammblatt!$L$4=1,'Kalkulation Herstellungskosten'!BB104,'Kalkulation Herstellungskosten'!BC104)</f>
        <v>Set-Kostüm Assistenz</v>
      </c>
      <c r="C104" s="99">
        <v>0</v>
      </c>
      <c r="D104" s="385"/>
      <c r="E104" s="103"/>
      <c r="F104" s="1434">
        <f>C104*E104+C105*E105</f>
        <v>0</v>
      </c>
      <c r="G104" s="100">
        <f>IF(Stammblatt!$I$9=TRUE,Kollektivvertrag!$C$60,Kollektivvertrag!C69)</f>
        <v>888.72192768254502</v>
      </c>
      <c r="H104" s="841" t="str">
        <f t="shared" si="95"/>
        <v/>
      </c>
      <c r="I104" s="848" t="str">
        <f t="shared" si="96"/>
        <v/>
      </c>
      <c r="J104" s="751"/>
      <c r="K104" s="751"/>
      <c r="L104" s="556">
        <f>F104*J104</f>
        <v>0</v>
      </c>
      <c r="M104" s="557">
        <f>F104*K104</f>
        <v>0</v>
      </c>
      <c r="N104" s="558" t="str">
        <f>IF((L104+M104)&lt;&gt;F104,"?","")</f>
        <v/>
      </c>
      <c r="O104" s="1404"/>
      <c r="P104" s="1430"/>
      <c r="Q104" s="686"/>
      <c r="R104" s="685"/>
      <c r="S104" s="514"/>
      <c r="T104" s="1404"/>
      <c r="U104" s="1404"/>
      <c r="V104" s="1432">
        <f>SUM(T104:U105)</f>
        <v>0</v>
      </c>
      <c r="W104" s="1432">
        <f>F104-V104</f>
        <v>0</v>
      </c>
      <c r="X104" s="1404"/>
      <c r="Y104" s="1430"/>
      <c r="Z104" s="1406"/>
      <c r="AA104" s="1404"/>
      <c r="AB104" s="295"/>
      <c r="AC104" s="336"/>
      <c r="AD104" s="1410"/>
      <c r="AE104" s="1420"/>
      <c r="AF104" s="1408"/>
      <c r="AG104" s="1418">
        <f>SUM(AE104:AF105)</f>
        <v>0</v>
      </c>
      <c r="AH104" s="1410"/>
      <c r="AI104" s="1420"/>
      <c r="AJ104" s="1408"/>
      <c r="AK104" s="1418">
        <f>SUM(AI104:AJ105)</f>
        <v>0</v>
      </c>
      <c r="AL104" s="1412"/>
      <c r="AM104" s="1420"/>
      <c r="AN104" s="1408"/>
      <c r="AO104" s="1418">
        <f>SUM(AM104:AN105)</f>
        <v>0</v>
      </c>
      <c r="AP104" s="1428">
        <f>SUM(F104,AD104,AH104,AL104)</f>
        <v>0</v>
      </c>
      <c r="AQ104" s="1416">
        <f t="shared" si="74"/>
        <v>0</v>
      </c>
      <c r="AR104" s="1414">
        <f t="shared" si="75"/>
        <v>0</v>
      </c>
      <c r="AS104" s="310"/>
      <c r="AT104" s="310"/>
      <c r="AU104" s="393">
        <f>IF(AV105=TRUE,G104*0.8,G104)</f>
        <v>888.72192768254502</v>
      </c>
      <c r="AV104" s="383"/>
      <c r="AW104" s="312">
        <f t="shared" ref="AW104:AW105" si="99">G104*1.2</f>
        <v>1066.466313219054</v>
      </c>
      <c r="AX104" s="312">
        <f t="shared" ref="AX104:AX105" si="100">G104*1.3</f>
        <v>1155.3385059873085</v>
      </c>
      <c r="AY104" s="312"/>
      <c r="AZ104" s="312"/>
      <c r="BA104" s="315"/>
      <c r="BB104" s="196" t="s">
        <v>947</v>
      </c>
      <c r="BC104" s="196" t="s">
        <v>1029</v>
      </c>
      <c r="BD104" s="313"/>
      <c r="BE104" s="313"/>
      <c r="BF104" s="313"/>
      <c r="BG104" s="313"/>
      <c r="BH104" s="313"/>
      <c r="BI104" s="313"/>
      <c r="BJ104" s="313"/>
      <c r="BK104" s="313"/>
      <c r="BL104" s="313"/>
      <c r="BM104" s="313"/>
      <c r="BN104" s="313"/>
      <c r="BO104" s="313"/>
      <c r="BP104" s="313"/>
      <c r="BQ104" s="313"/>
      <c r="BR104" s="313"/>
      <c r="BS104" s="313"/>
      <c r="BT104" s="313"/>
      <c r="BU104" s="313"/>
      <c r="BV104" s="313"/>
      <c r="BW104" s="313"/>
      <c r="BX104" s="313"/>
      <c r="BY104" s="313"/>
      <c r="BZ104" s="313"/>
      <c r="CA104" s="313"/>
      <c r="CB104" s="313"/>
      <c r="CC104" s="313"/>
      <c r="CD104" s="313"/>
      <c r="CE104" s="313"/>
    </row>
    <row r="105" spans="1:83" s="101" customFormat="1" ht="12.75" customHeight="1" x14ac:dyDescent="0.2">
      <c r="A105" s="1100"/>
      <c r="B105" s="1098" t="str">
        <f>IF(Stammblatt!$L$4=1,'Kalkulation Herstellungskosten'!BB105,'Kalkulation Herstellungskosten'!BC105)</f>
        <v xml:space="preserve">Wochenpauschale (§ 7 KV) </v>
      </c>
      <c r="C105" s="94">
        <v>0</v>
      </c>
      <c r="D105" s="386"/>
      <c r="E105" s="95"/>
      <c r="F105" s="1435"/>
      <c r="G105" s="96">
        <f>IF(Stammblatt!$I$9=TRUE,Kollektivvertrag!$E$60,Kollektivvertrag!E69)</f>
        <v>1230.8798698403248</v>
      </c>
      <c r="H105" s="842" t="str">
        <f t="shared" si="95"/>
        <v/>
      </c>
      <c r="I105" s="849" t="str">
        <f t="shared" si="96"/>
        <v/>
      </c>
      <c r="J105" s="747"/>
      <c r="K105" s="748"/>
      <c r="L105" s="359"/>
      <c r="M105" s="359"/>
      <c r="N105" s="334"/>
      <c r="O105" s="1405"/>
      <c r="P105" s="1431"/>
      <c r="Q105" s="686"/>
      <c r="R105" s="685"/>
      <c r="S105" s="514"/>
      <c r="T105" s="1405"/>
      <c r="U105" s="1405"/>
      <c r="V105" s="1433"/>
      <c r="W105" s="1433"/>
      <c r="X105" s="1405"/>
      <c r="Y105" s="1431"/>
      <c r="Z105" s="1407"/>
      <c r="AA105" s="1405"/>
      <c r="AB105" s="295"/>
      <c r="AC105" s="336"/>
      <c r="AD105" s="1411"/>
      <c r="AE105" s="1421"/>
      <c r="AF105" s="1409"/>
      <c r="AG105" s="1419"/>
      <c r="AH105" s="1411"/>
      <c r="AI105" s="1421"/>
      <c r="AJ105" s="1409"/>
      <c r="AK105" s="1419"/>
      <c r="AL105" s="1413"/>
      <c r="AM105" s="1421"/>
      <c r="AN105" s="1409"/>
      <c r="AO105" s="1419"/>
      <c r="AP105" s="1429"/>
      <c r="AQ105" s="1417">
        <f t="shared" si="74"/>
        <v>0</v>
      </c>
      <c r="AR105" s="1415">
        <f t="shared" si="75"/>
        <v>0</v>
      </c>
      <c r="AS105" s="310"/>
      <c r="AT105" s="310"/>
      <c r="AU105" s="393">
        <f>IF(AV105=TRUE,G105*0.8,G105)</f>
        <v>1230.8798698403248</v>
      </c>
      <c r="AV105" s="383" t="b">
        <v>0</v>
      </c>
      <c r="AW105" s="312">
        <f t="shared" si="99"/>
        <v>1477.0558438083897</v>
      </c>
      <c r="AX105" s="312">
        <f t="shared" si="100"/>
        <v>1600.1438307924222</v>
      </c>
      <c r="AY105" s="312"/>
      <c r="AZ105" s="312"/>
      <c r="BA105" s="315"/>
      <c r="BB105" s="196" t="s">
        <v>45</v>
      </c>
      <c r="BC105" s="196" t="s">
        <v>1024</v>
      </c>
      <c r="BD105" s="313"/>
      <c r="BE105" s="313"/>
      <c r="BF105" s="313"/>
      <c r="BG105" s="313"/>
      <c r="BH105" s="313"/>
      <c r="BI105" s="313"/>
      <c r="BJ105" s="313"/>
      <c r="BK105" s="313"/>
      <c r="BL105" s="313"/>
      <c r="BM105" s="313"/>
      <c r="BN105" s="313"/>
      <c r="BO105" s="313"/>
      <c r="BP105" s="313"/>
      <c r="BQ105" s="313"/>
      <c r="BR105" s="313"/>
      <c r="BS105" s="313"/>
      <c r="BT105" s="313"/>
      <c r="BU105" s="313"/>
      <c r="BV105" s="313"/>
      <c r="BW105" s="313"/>
      <c r="BX105" s="313"/>
      <c r="BY105" s="313"/>
      <c r="BZ105" s="313"/>
      <c r="CA105" s="313"/>
      <c r="CB105" s="313"/>
      <c r="CC105" s="313"/>
      <c r="CD105" s="313"/>
      <c r="CE105" s="313"/>
    </row>
    <row r="106" spans="1:83" s="101" customFormat="1" ht="12.75" customHeight="1" x14ac:dyDescent="0.2">
      <c r="A106" s="1099">
        <v>50</v>
      </c>
      <c r="B106" s="1096" t="str">
        <f>IF(Stammblatt!$L$4=1,'Kalkulation Herstellungskosten'!BB106,'Kalkulation Herstellungskosten'!BC106)</f>
        <v>Garderobe</v>
      </c>
      <c r="C106" s="99">
        <v>0</v>
      </c>
      <c r="D106" s="385"/>
      <c r="E106" s="103"/>
      <c r="F106" s="1434">
        <f>C106*E106+C107*E107</f>
        <v>0</v>
      </c>
      <c r="G106" s="100">
        <f>IF(Stammblatt!$I$9=TRUE,Kollektivvertrag!$C$60,Kollektivvertrag!C46)</f>
        <v>1166.5728030051839</v>
      </c>
      <c r="H106" s="841" t="str">
        <f t="shared" si="95"/>
        <v/>
      </c>
      <c r="I106" s="848" t="str">
        <f t="shared" si="96"/>
        <v/>
      </c>
      <c r="J106" s="751"/>
      <c r="K106" s="751"/>
      <c r="L106" s="556">
        <f>F106*J106</f>
        <v>0</v>
      </c>
      <c r="M106" s="557">
        <f>F106*K106</f>
        <v>0</v>
      </c>
      <c r="N106" s="558" t="str">
        <f>IF((L106+M106)&lt;&gt;F106,"?","")</f>
        <v/>
      </c>
      <c r="O106" s="1404"/>
      <c r="P106" s="1430"/>
      <c r="Q106" s="1406"/>
      <c r="R106" s="1404"/>
      <c r="S106" s="514"/>
      <c r="T106" s="1404"/>
      <c r="U106" s="1404"/>
      <c r="V106" s="1432">
        <f>SUM(T106:U107)</f>
        <v>0</v>
      </c>
      <c r="W106" s="1432">
        <f>F106-V106</f>
        <v>0</v>
      </c>
      <c r="X106" s="1404"/>
      <c r="Y106" s="1430"/>
      <c r="Z106" s="1406"/>
      <c r="AA106" s="1404"/>
      <c r="AB106" s="295"/>
      <c r="AC106" s="336"/>
      <c r="AD106" s="1410"/>
      <c r="AE106" s="1420"/>
      <c r="AF106" s="1408"/>
      <c r="AG106" s="1418">
        <f>SUM(AE106:AF107)</f>
        <v>0</v>
      </c>
      <c r="AH106" s="1410"/>
      <c r="AI106" s="1420"/>
      <c r="AJ106" s="1408"/>
      <c r="AK106" s="1418">
        <f>SUM(AI106:AJ107)</f>
        <v>0</v>
      </c>
      <c r="AL106" s="1412"/>
      <c r="AM106" s="1420"/>
      <c r="AN106" s="1408"/>
      <c r="AO106" s="1418">
        <f>SUM(AM106:AN107)</f>
        <v>0</v>
      </c>
      <c r="AP106" s="1428">
        <f>SUM(F106,AD106,AH106,AL106)</f>
        <v>0</v>
      </c>
      <c r="AQ106" s="1416">
        <f t="shared" si="74"/>
        <v>0</v>
      </c>
      <c r="AR106" s="1414">
        <f t="shared" si="75"/>
        <v>0</v>
      </c>
      <c r="AS106" s="310"/>
      <c r="AT106" s="310"/>
      <c r="AU106" s="393">
        <f>IF(AV107=TRUE,G106*0.8,G106)</f>
        <v>1166.5728030051839</v>
      </c>
      <c r="AV106" s="383"/>
      <c r="AW106" s="312">
        <f t="shared" si="91"/>
        <v>1399.8873636062206</v>
      </c>
      <c r="AX106" s="312">
        <f t="shared" si="92"/>
        <v>1516.5446439067391</v>
      </c>
      <c r="AY106" s="312"/>
      <c r="AZ106" s="312"/>
      <c r="BA106" s="312"/>
      <c r="BB106" s="196" t="s">
        <v>532</v>
      </c>
      <c r="BC106" s="196" t="s">
        <v>322</v>
      </c>
      <c r="BD106" s="313"/>
      <c r="BE106" s="313"/>
      <c r="BF106" s="313"/>
      <c r="BG106" s="313"/>
      <c r="BH106" s="313"/>
      <c r="BI106" s="313"/>
      <c r="BJ106" s="313"/>
      <c r="BK106" s="313"/>
      <c r="BL106" s="313"/>
      <c r="BM106" s="313"/>
      <c r="BN106" s="313"/>
      <c r="BO106" s="313"/>
      <c r="BP106" s="313"/>
      <c r="BQ106" s="313"/>
      <c r="BR106" s="313"/>
      <c r="BS106" s="313"/>
      <c r="BT106" s="313"/>
      <c r="BU106" s="313"/>
      <c r="BV106" s="313"/>
      <c r="BW106" s="313"/>
      <c r="BX106" s="313"/>
      <c r="BY106" s="313"/>
      <c r="BZ106" s="313"/>
      <c r="CA106" s="313"/>
      <c r="CB106" s="313"/>
      <c r="CC106" s="313"/>
      <c r="CD106" s="313"/>
      <c r="CE106" s="313"/>
    </row>
    <row r="107" spans="1:83" s="101" customFormat="1" ht="12.75" customHeight="1" x14ac:dyDescent="0.2">
      <c r="A107" s="1097"/>
      <c r="B107" s="1098" t="str">
        <f>IF(Stammblatt!$L$4=1,'Kalkulation Herstellungskosten'!BB107,'Kalkulation Herstellungskosten'!BC107)</f>
        <v xml:space="preserve">Wochenpauschale (§ 7 KV) </v>
      </c>
      <c r="C107" s="94">
        <v>0</v>
      </c>
      <c r="D107" s="386"/>
      <c r="E107" s="95"/>
      <c r="F107" s="1435"/>
      <c r="G107" s="96">
        <f>IF(Stammblatt!$I$9=TRUE,Kollektivvertrag!$E$60,Kollektivvertrag!E46)</f>
        <v>1615.7033321621798</v>
      </c>
      <c r="H107" s="842" t="str">
        <f t="shared" si="95"/>
        <v/>
      </c>
      <c r="I107" s="849" t="str">
        <f t="shared" si="96"/>
        <v/>
      </c>
      <c r="J107" s="747"/>
      <c r="K107" s="748"/>
      <c r="L107" s="359"/>
      <c r="M107" s="359"/>
      <c r="N107" s="334"/>
      <c r="O107" s="1405"/>
      <c r="P107" s="1431"/>
      <c r="Q107" s="1407"/>
      <c r="R107" s="1405"/>
      <c r="S107" s="514"/>
      <c r="T107" s="1405"/>
      <c r="U107" s="1405"/>
      <c r="V107" s="1433"/>
      <c r="W107" s="1433"/>
      <c r="X107" s="1405"/>
      <c r="Y107" s="1431"/>
      <c r="Z107" s="1407"/>
      <c r="AA107" s="1405"/>
      <c r="AB107" s="295"/>
      <c r="AC107" s="336"/>
      <c r="AD107" s="1411"/>
      <c r="AE107" s="1421"/>
      <c r="AF107" s="1409"/>
      <c r="AG107" s="1419"/>
      <c r="AH107" s="1411"/>
      <c r="AI107" s="1421"/>
      <c r="AJ107" s="1409"/>
      <c r="AK107" s="1419"/>
      <c r="AL107" s="1413"/>
      <c r="AM107" s="1421"/>
      <c r="AN107" s="1409"/>
      <c r="AO107" s="1419"/>
      <c r="AP107" s="1429"/>
      <c r="AQ107" s="1417">
        <f t="shared" si="74"/>
        <v>0</v>
      </c>
      <c r="AR107" s="1415">
        <f t="shared" si="75"/>
        <v>0</v>
      </c>
      <c r="AS107" s="310"/>
      <c r="AT107" s="310"/>
      <c r="AU107" s="393">
        <f>IF(AV107=TRUE,G107*0.8,G107)</f>
        <v>1615.7033321621798</v>
      </c>
      <c r="AV107" s="383" t="b">
        <v>0</v>
      </c>
      <c r="AW107" s="312">
        <f t="shared" si="91"/>
        <v>1938.8439985946156</v>
      </c>
      <c r="AX107" s="312">
        <f t="shared" si="92"/>
        <v>2100.4143318108336</v>
      </c>
      <c r="AY107" s="312"/>
      <c r="AZ107" s="312"/>
      <c r="BA107" s="315"/>
      <c r="BB107" s="196" t="s">
        <v>45</v>
      </c>
      <c r="BC107" s="196" t="s">
        <v>1024</v>
      </c>
      <c r="BD107" s="313"/>
      <c r="BE107" s="313"/>
      <c r="BF107" s="313"/>
      <c r="BG107" s="313"/>
      <c r="BH107" s="313"/>
      <c r="BI107" s="313"/>
      <c r="BJ107" s="313"/>
      <c r="BK107" s="313"/>
      <c r="BL107" s="313"/>
      <c r="BM107" s="313"/>
      <c r="BN107" s="313"/>
      <c r="BO107" s="313"/>
      <c r="BP107" s="313"/>
      <c r="BQ107" s="313"/>
      <c r="BR107" s="313"/>
      <c r="BS107" s="313"/>
      <c r="BT107" s="313"/>
      <c r="BU107" s="313"/>
      <c r="BV107" s="313"/>
      <c r="BW107" s="313"/>
      <c r="BX107" s="313"/>
      <c r="BY107" s="313"/>
      <c r="BZ107" s="313"/>
      <c r="CA107" s="313"/>
      <c r="CB107" s="313"/>
      <c r="CC107" s="313"/>
      <c r="CD107" s="313"/>
      <c r="CE107" s="313"/>
    </row>
    <row r="108" spans="1:83" s="101" customFormat="1" ht="12.75" customHeight="1" x14ac:dyDescent="0.2">
      <c r="A108" s="1099">
        <v>51</v>
      </c>
      <c r="B108" s="1096" t="str">
        <f>IF(Stammblatt!$L$4=1,'Kalkulation Herstellungskosten'!BB108,'Kalkulation Herstellungskosten'!BC108)</f>
        <v>Garderobe</v>
      </c>
      <c r="C108" s="99">
        <v>0</v>
      </c>
      <c r="D108" s="385"/>
      <c r="E108" s="103"/>
      <c r="F108" s="1434">
        <f>C108*E108+C109*E109</f>
        <v>0</v>
      </c>
      <c r="G108" s="100">
        <f>IF(Stammblatt!$I$9=TRUE,Kollektivvertrag!$C$60,Kollektivvertrag!C46)</f>
        <v>1166.5728030051839</v>
      </c>
      <c r="H108" s="841" t="str">
        <f t="shared" si="95"/>
        <v/>
      </c>
      <c r="I108" s="848" t="str">
        <f t="shared" si="96"/>
        <v/>
      </c>
      <c r="J108" s="751"/>
      <c r="K108" s="751"/>
      <c r="L108" s="556">
        <f>F108*J108</f>
        <v>0</v>
      </c>
      <c r="M108" s="557">
        <f>F108*K108</f>
        <v>0</v>
      </c>
      <c r="N108" s="558" t="str">
        <f>IF((L108+M108)&lt;&gt;F108,"?","")</f>
        <v/>
      </c>
      <c r="O108" s="1404"/>
      <c r="P108" s="1430"/>
      <c r="Q108" s="1406"/>
      <c r="R108" s="1404"/>
      <c r="S108" s="514"/>
      <c r="T108" s="1404"/>
      <c r="U108" s="1404"/>
      <c r="V108" s="1432">
        <f>SUM(T108:U109)</f>
        <v>0</v>
      </c>
      <c r="W108" s="1432">
        <f>F108-V108</f>
        <v>0</v>
      </c>
      <c r="X108" s="1404"/>
      <c r="Y108" s="1430"/>
      <c r="Z108" s="1406"/>
      <c r="AA108" s="1404"/>
      <c r="AB108" s="295"/>
      <c r="AC108" s="336"/>
      <c r="AD108" s="1410"/>
      <c r="AE108" s="1420"/>
      <c r="AF108" s="1408"/>
      <c r="AG108" s="1418">
        <f>SUM(AE108:AF109)</f>
        <v>0</v>
      </c>
      <c r="AH108" s="1410"/>
      <c r="AI108" s="1420"/>
      <c r="AJ108" s="1408"/>
      <c r="AK108" s="1418">
        <f>SUM(AI108:AJ109)</f>
        <v>0</v>
      </c>
      <c r="AL108" s="1412"/>
      <c r="AM108" s="1420"/>
      <c r="AN108" s="1408"/>
      <c r="AO108" s="1418">
        <f>SUM(AM108:AN109)</f>
        <v>0</v>
      </c>
      <c r="AP108" s="1428">
        <f>SUM(F108,AD108,AH108,AL108)</f>
        <v>0</v>
      </c>
      <c r="AQ108" s="1416">
        <f t="shared" si="74"/>
        <v>0</v>
      </c>
      <c r="AR108" s="1414">
        <f t="shared" si="75"/>
        <v>0</v>
      </c>
      <c r="AS108" s="310"/>
      <c r="AT108" s="310"/>
      <c r="AU108" s="393">
        <f>IF(AV109=TRUE,G108*0.8,G108)</f>
        <v>1166.5728030051839</v>
      </c>
      <c r="AV108" s="383"/>
      <c r="AW108" s="312">
        <f t="shared" si="91"/>
        <v>1399.8873636062206</v>
      </c>
      <c r="AX108" s="312">
        <f t="shared" si="92"/>
        <v>1516.5446439067391</v>
      </c>
      <c r="AY108" s="312"/>
      <c r="AZ108" s="312"/>
      <c r="BA108" s="312"/>
      <c r="BB108" s="196" t="s">
        <v>532</v>
      </c>
      <c r="BC108" s="196" t="s">
        <v>322</v>
      </c>
      <c r="BD108" s="313"/>
      <c r="BE108" s="313"/>
      <c r="BF108" s="313"/>
      <c r="BG108" s="313"/>
      <c r="BH108" s="313"/>
      <c r="BI108" s="313"/>
      <c r="BJ108" s="313"/>
      <c r="BK108" s="313"/>
      <c r="BL108" s="313"/>
      <c r="BM108" s="313"/>
      <c r="BN108" s="313"/>
      <c r="BO108" s="313"/>
      <c r="BP108" s="313"/>
      <c r="BQ108" s="313"/>
      <c r="BR108" s="313"/>
      <c r="BS108" s="313"/>
      <c r="BT108" s="313"/>
      <c r="BU108" s="313"/>
      <c r="BV108" s="313"/>
      <c r="BW108" s="313"/>
      <c r="BX108" s="313"/>
      <c r="BY108" s="313"/>
      <c r="BZ108" s="313"/>
      <c r="CA108" s="313"/>
      <c r="CB108" s="313"/>
      <c r="CC108" s="313"/>
      <c r="CD108" s="313"/>
      <c r="CE108" s="313"/>
    </row>
    <row r="109" spans="1:83" s="101" customFormat="1" ht="12.75" customHeight="1" x14ac:dyDescent="0.2">
      <c r="A109" s="1097"/>
      <c r="B109" s="1098" t="str">
        <f>IF(Stammblatt!$L$4=1,'Kalkulation Herstellungskosten'!BB109,'Kalkulation Herstellungskosten'!BC109)</f>
        <v xml:space="preserve">Wochenpauschale (§ 7 KV) </v>
      </c>
      <c r="C109" s="94">
        <v>0</v>
      </c>
      <c r="D109" s="386"/>
      <c r="E109" s="95"/>
      <c r="F109" s="1435"/>
      <c r="G109" s="96">
        <f>IF(Stammblatt!$I$9=TRUE,Kollektivvertrag!$E$60,Kollektivvertrag!E46)</f>
        <v>1615.7033321621798</v>
      </c>
      <c r="H109" s="842" t="str">
        <f t="shared" si="95"/>
        <v/>
      </c>
      <c r="I109" s="849" t="str">
        <f t="shared" si="96"/>
        <v/>
      </c>
      <c r="J109" s="747"/>
      <c r="K109" s="748"/>
      <c r="L109" s="359"/>
      <c r="M109" s="359"/>
      <c r="N109" s="334"/>
      <c r="O109" s="1405"/>
      <c r="P109" s="1431"/>
      <c r="Q109" s="1407"/>
      <c r="R109" s="1405"/>
      <c r="S109" s="514"/>
      <c r="T109" s="1405"/>
      <c r="U109" s="1405"/>
      <c r="V109" s="1433"/>
      <c r="W109" s="1433"/>
      <c r="X109" s="1405"/>
      <c r="Y109" s="1431"/>
      <c r="Z109" s="1407"/>
      <c r="AA109" s="1405"/>
      <c r="AB109" s="295"/>
      <c r="AC109" s="336"/>
      <c r="AD109" s="1411"/>
      <c r="AE109" s="1421"/>
      <c r="AF109" s="1409"/>
      <c r="AG109" s="1419"/>
      <c r="AH109" s="1411"/>
      <c r="AI109" s="1421"/>
      <c r="AJ109" s="1409"/>
      <c r="AK109" s="1419"/>
      <c r="AL109" s="1413"/>
      <c r="AM109" s="1421"/>
      <c r="AN109" s="1409"/>
      <c r="AO109" s="1419"/>
      <c r="AP109" s="1429"/>
      <c r="AQ109" s="1417">
        <f t="shared" si="74"/>
        <v>0</v>
      </c>
      <c r="AR109" s="1415">
        <f t="shared" si="75"/>
        <v>0</v>
      </c>
      <c r="AS109" s="310"/>
      <c r="AT109" s="310"/>
      <c r="AU109" s="393">
        <f>IF(AV109=TRUE,G109*0.8,G109)</f>
        <v>1615.7033321621798</v>
      </c>
      <c r="AV109" s="383" t="b">
        <v>0</v>
      </c>
      <c r="AW109" s="312">
        <f t="shared" si="91"/>
        <v>1938.8439985946156</v>
      </c>
      <c r="AX109" s="312">
        <f t="shared" si="92"/>
        <v>2100.4143318108336</v>
      </c>
      <c r="AY109" s="312"/>
      <c r="AZ109" s="312"/>
      <c r="BA109" s="315"/>
      <c r="BB109" s="196" t="s">
        <v>45</v>
      </c>
      <c r="BC109" s="196" t="s">
        <v>1024</v>
      </c>
      <c r="BD109" s="313"/>
      <c r="BE109" s="313"/>
      <c r="BF109" s="313"/>
      <c r="BG109" s="313"/>
      <c r="BH109" s="313"/>
      <c r="BI109" s="313"/>
      <c r="BJ109" s="313"/>
      <c r="BK109" s="313"/>
      <c r="BL109" s="313"/>
      <c r="BM109" s="313"/>
      <c r="BN109" s="313"/>
      <c r="BO109" s="313"/>
      <c r="BP109" s="313"/>
      <c r="BQ109" s="313"/>
      <c r="BR109" s="313"/>
      <c r="BS109" s="313"/>
      <c r="BT109" s="313"/>
      <c r="BU109" s="313"/>
      <c r="BV109" s="313"/>
      <c r="BW109" s="313"/>
      <c r="BX109" s="313"/>
      <c r="BY109" s="313"/>
      <c r="BZ109" s="313"/>
      <c r="CA109" s="313"/>
      <c r="CB109" s="313"/>
      <c r="CC109" s="313"/>
      <c r="CD109" s="313"/>
      <c r="CE109" s="313"/>
    </row>
    <row r="110" spans="1:83" s="101" customFormat="1" ht="12.75" customHeight="1" x14ac:dyDescent="0.2">
      <c r="A110" s="1099">
        <v>52</v>
      </c>
      <c r="B110" s="1096" t="str">
        <f>IF(Stammblatt!$L$4=1,'Kalkulation Herstellungskosten'!BB110,'Kalkulation Herstellungskosten'!BC110)</f>
        <v>Garderobenhilfe</v>
      </c>
      <c r="C110" s="99">
        <v>0</v>
      </c>
      <c r="D110" s="385"/>
      <c r="E110" s="103"/>
      <c r="F110" s="1434">
        <f>C110*E110+C111*E111</f>
        <v>0</v>
      </c>
      <c r="G110" s="100">
        <f>IF(Stammblatt!$I$9=TRUE,Kollektivvertrag!$C$60,Kollektivvertrag!C49)</f>
        <v>877.31968972402183</v>
      </c>
      <c r="H110" s="841" t="str">
        <f t="shared" si="95"/>
        <v/>
      </c>
      <c r="I110" s="848" t="str">
        <f t="shared" si="96"/>
        <v/>
      </c>
      <c r="J110" s="751"/>
      <c r="K110" s="751"/>
      <c r="L110" s="556">
        <f>F110*J110</f>
        <v>0</v>
      </c>
      <c r="M110" s="557">
        <f>F110*K110</f>
        <v>0</v>
      </c>
      <c r="N110" s="558" t="str">
        <f>IF((L110+M110)&lt;&gt;F110,"?","")</f>
        <v/>
      </c>
      <c r="O110" s="1404"/>
      <c r="P110" s="1430"/>
      <c r="Q110" s="1406"/>
      <c r="R110" s="1404"/>
      <c r="S110" s="514"/>
      <c r="T110" s="1404"/>
      <c r="U110" s="1404"/>
      <c r="V110" s="1432">
        <f>SUM(T110:U111)</f>
        <v>0</v>
      </c>
      <c r="W110" s="1432">
        <f>F110-V110</f>
        <v>0</v>
      </c>
      <c r="X110" s="1404"/>
      <c r="Y110" s="1430"/>
      <c r="Z110" s="1406"/>
      <c r="AA110" s="1404"/>
      <c r="AB110" s="295"/>
      <c r="AC110" s="336"/>
      <c r="AD110" s="1410"/>
      <c r="AE110" s="1420"/>
      <c r="AF110" s="1408"/>
      <c r="AG110" s="1418">
        <f>SUM(AE110:AF111)</f>
        <v>0</v>
      </c>
      <c r="AH110" s="1410"/>
      <c r="AI110" s="1420"/>
      <c r="AJ110" s="1408"/>
      <c r="AK110" s="1418">
        <f>SUM(AI110:AJ111)</f>
        <v>0</v>
      </c>
      <c r="AL110" s="1412"/>
      <c r="AM110" s="1420"/>
      <c r="AN110" s="1408"/>
      <c r="AO110" s="1418">
        <f>SUM(AM110:AN111)</f>
        <v>0</v>
      </c>
      <c r="AP110" s="1428">
        <f>SUM(F110,AD110,AH110,AL110)</f>
        <v>0</v>
      </c>
      <c r="AQ110" s="1416">
        <f t="shared" si="74"/>
        <v>0</v>
      </c>
      <c r="AR110" s="1414">
        <f t="shared" si="75"/>
        <v>0</v>
      </c>
      <c r="AS110" s="310"/>
      <c r="AT110" s="310"/>
      <c r="AU110" s="393">
        <f>IF(AV111=TRUE,G110*0.8,G110)</f>
        <v>877.31968972402183</v>
      </c>
      <c r="AV110" s="383"/>
      <c r="AW110" s="312">
        <f t="shared" si="91"/>
        <v>1052.7836276688261</v>
      </c>
      <c r="AX110" s="312">
        <f t="shared" si="92"/>
        <v>1140.5155966412285</v>
      </c>
      <c r="AY110" s="312"/>
      <c r="AZ110" s="312"/>
      <c r="BA110" s="312"/>
      <c r="BB110" s="196" t="s">
        <v>126</v>
      </c>
      <c r="BC110" s="196" t="s">
        <v>323</v>
      </c>
      <c r="BD110" s="313"/>
      <c r="BE110" s="313"/>
      <c r="BF110" s="313"/>
      <c r="BG110" s="313"/>
      <c r="BH110" s="313"/>
      <c r="BI110" s="313"/>
      <c r="BJ110" s="313"/>
      <c r="BK110" s="313"/>
      <c r="BL110" s="313"/>
      <c r="BM110" s="313"/>
      <c r="BN110" s="313"/>
      <c r="BO110" s="313"/>
      <c r="BP110" s="313"/>
      <c r="BQ110" s="313"/>
      <c r="BR110" s="313"/>
      <c r="BS110" s="313"/>
      <c r="BT110" s="313"/>
      <c r="BU110" s="313"/>
      <c r="BV110" s="313"/>
      <c r="BW110" s="313"/>
      <c r="BX110" s="313"/>
      <c r="BY110" s="313"/>
      <c r="BZ110" s="313"/>
      <c r="CA110" s="313"/>
      <c r="CB110" s="313"/>
      <c r="CC110" s="313"/>
      <c r="CD110" s="313"/>
      <c r="CE110" s="313"/>
    </row>
    <row r="111" spans="1:83" s="101" customFormat="1" ht="12.75" customHeight="1" x14ac:dyDescent="0.2">
      <c r="A111" s="1097"/>
      <c r="B111" s="1098" t="str">
        <f>IF(Stammblatt!$L$4=1,'Kalkulation Herstellungskosten'!BB111,'Kalkulation Herstellungskosten'!BC111)</f>
        <v xml:space="preserve">Wochenpauschale (§ 7 KV) </v>
      </c>
      <c r="C111" s="94">
        <v>0</v>
      </c>
      <c r="D111" s="386"/>
      <c r="E111" s="95"/>
      <c r="F111" s="1435"/>
      <c r="G111" s="96">
        <f>IF(Stammblatt!$I$9=TRUE,Kollektivvertrag!$E$60,Kollektivvertrag!E49)</f>
        <v>1215.0877702677701</v>
      </c>
      <c r="H111" s="842" t="str">
        <f t="shared" si="95"/>
        <v/>
      </c>
      <c r="I111" s="849" t="str">
        <f t="shared" si="96"/>
        <v/>
      </c>
      <c r="J111" s="747"/>
      <c r="K111" s="748"/>
      <c r="L111" s="359"/>
      <c r="M111" s="359"/>
      <c r="N111" s="334"/>
      <c r="O111" s="1405"/>
      <c r="P111" s="1431"/>
      <c r="Q111" s="1407"/>
      <c r="R111" s="1405"/>
      <c r="S111" s="514"/>
      <c r="T111" s="1405"/>
      <c r="U111" s="1405"/>
      <c r="V111" s="1433"/>
      <c r="W111" s="1433"/>
      <c r="X111" s="1405"/>
      <c r="Y111" s="1431"/>
      <c r="Z111" s="1407"/>
      <c r="AA111" s="1405"/>
      <c r="AB111" s="295"/>
      <c r="AC111" s="336"/>
      <c r="AD111" s="1411"/>
      <c r="AE111" s="1421"/>
      <c r="AF111" s="1409"/>
      <c r="AG111" s="1419"/>
      <c r="AH111" s="1411"/>
      <c r="AI111" s="1421"/>
      <c r="AJ111" s="1409"/>
      <c r="AK111" s="1419"/>
      <c r="AL111" s="1413"/>
      <c r="AM111" s="1421"/>
      <c r="AN111" s="1409"/>
      <c r="AO111" s="1419"/>
      <c r="AP111" s="1429"/>
      <c r="AQ111" s="1417">
        <f t="shared" si="74"/>
        <v>0</v>
      </c>
      <c r="AR111" s="1415">
        <f t="shared" si="75"/>
        <v>0</v>
      </c>
      <c r="AS111" s="310"/>
      <c r="AT111" s="310"/>
      <c r="AU111" s="393">
        <f>IF(AV111=TRUE,G111*0.8,G111)</f>
        <v>1215.0877702677701</v>
      </c>
      <c r="AV111" s="383" t="b">
        <v>0</v>
      </c>
      <c r="AW111" s="312">
        <f t="shared" si="91"/>
        <v>1458.1053243213241</v>
      </c>
      <c r="AX111" s="312">
        <f t="shared" si="92"/>
        <v>1579.6141013481013</v>
      </c>
      <c r="AY111" s="312"/>
      <c r="AZ111" s="312"/>
      <c r="BA111" s="315"/>
      <c r="BB111" s="196" t="s">
        <v>45</v>
      </c>
      <c r="BC111" s="196" t="s">
        <v>1024</v>
      </c>
      <c r="BD111" s="313"/>
      <c r="BE111" s="313"/>
      <c r="BF111" s="313"/>
      <c r="BG111" s="313"/>
      <c r="BH111" s="313"/>
      <c r="BI111" s="313"/>
      <c r="BJ111" s="313"/>
      <c r="BK111" s="313"/>
      <c r="BL111" s="313"/>
      <c r="BM111" s="313"/>
      <c r="BN111" s="313"/>
      <c r="BO111" s="313"/>
      <c r="BP111" s="313"/>
      <c r="BQ111" s="313"/>
      <c r="BR111" s="313"/>
      <c r="BS111" s="313"/>
      <c r="BT111" s="313"/>
      <c r="BU111" s="313"/>
      <c r="BV111" s="313"/>
      <c r="BW111" s="313"/>
      <c r="BX111" s="313"/>
      <c r="BY111" s="313"/>
      <c r="BZ111" s="313"/>
      <c r="CA111" s="313"/>
      <c r="CB111" s="313"/>
      <c r="CC111" s="313"/>
      <c r="CD111" s="313"/>
      <c r="CE111" s="313"/>
    </row>
    <row r="112" spans="1:83" s="101" customFormat="1" ht="12.75" customHeight="1" x14ac:dyDescent="0.2">
      <c r="A112" s="1099">
        <v>53</v>
      </c>
      <c r="B112" s="1096" t="str">
        <f>IF(Stammblatt!$L$4=1,'Kalkulation Herstellungskosten'!BB112,'Kalkulation Herstellungskosten'!BC112)</f>
        <v>Außenrequisite</v>
      </c>
      <c r="C112" s="99">
        <v>0</v>
      </c>
      <c r="D112" s="385"/>
      <c r="E112" s="103"/>
      <c r="F112" s="1434">
        <f>C112*E112+C113*E113</f>
        <v>0</v>
      </c>
      <c r="G112" s="100">
        <f>IF(Stammblatt!$I$9=TRUE,Kollektivvertrag!$C$60,Kollektivvertrag!C42)</f>
        <v>1416.5536076372948</v>
      </c>
      <c r="H112" s="841" t="str">
        <f t="shared" si="95"/>
        <v/>
      </c>
      <c r="I112" s="848" t="str">
        <f t="shared" si="96"/>
        <v/>
      </c>
      <c r="J112" s="751"/>
      <c r="K112" s="751"/>
      <c r="L112" s="556">
        <f>F112*J112</f>
        <v>0</v>
      </c>
      <c r="M112" s="557">
        <f>F112*K112</f>
        <v>0</v>
      </c>
      <c r="N112" s="558" t="str">
        <f>IF((L112+M112)&lt;&gt;F112,"?","")</f>
        <v/>
      </c>
      <c r="O112" s="1404"/>
      <c r="P112" s="1430"/>
      <c r="Q112" s="1406"/>
      <c r="R112" s="1404"/>
      <c r="S112" s="514"/>
      <c r="T112" s="1404"/>
      <c r="U112" s="1404"/>
      <c r="V112" s="1432">
        <f>SUM(T112:U113)</f>
        <v>0</v>
      </c>
      <c r="W112" s="1432">
        <f>F112-V112</f>
        <v>0</v>
      </c>
      <c r="X112" s="1404"/>
      <c r="Y112" s="1430"/>
      <c r="Z112" s="1406"/>
      <c r="AA112" s="1404"/>
      <c r="AB112" s="295"/>
      <c r="AC112" s="336"/>
      <c r="AD112" s="1410"/>
      <c r="AE112" s="1420"/>
      <c r="AF112" s="1408"/>
      <c r="AG112" s="1418">
        <f>SUM(AE112:AF113)</f>
        <v>0</v>
      </c>
      <c r="AH112" s="1410"/>
      <c r="AI112" s="1420"/>
      <c r="AJ112" s="1408"/>
      <c r="AK112" s="1418">
        <f>SUM(AI112:AJ113)</f>
        <v>0</v>
      </c>
      <c r="AL112" s="1412"/>
      <c r="AM112" s="1420"/>
      <c r="AN112" s="1408"/>
      <c r="AO112" s="1418">
        <f>SUM(AM112:AN113)</f>
        <v>0</v>
      </c>
      <c r="AP112" s="1428">
        <f>SUM(F112,AD112,AH112,AL112)</f>
        <v>0</v>
      </c>
      <c r="AQ112" s="1416">
        <f t="shared" si="74"/>
        <v>0</v>
      </c>
      <c r="AR112" s="1414">
        <f t="shared" si="75"/>
        <v>0</v>
      </c>
      <c r="AS112" s="310"/>
      <c r="AT112" s="310"/>
      <c r="AU112" s="393">
        <f>IF(AV113=TRUE,G112*0.8,G112)</f>
        <v>1416.5536076372948</v>
      </c>
      <c r="AV112" s="383"/>
      <c r="AW112" s="312">
        <f t="shared" si="91"/>
        <v>1699.8643291647538</v>
      </c>
      <c r="AX112" s="312">
        <f t="shared" si="92"/>
        <v>1841.5196899284833</v>
      </c>
      <c r="AY112" s="312"/>
      <c r="AZ112" s="312"/>
      <c r="BA112" s="312"/>
      <c r="BB112" s="196" t="s">
        <v>588</v>
      </c>
      <c r="BC112" s="196" t="s">
        <v>343</v>
      </c>
      <c r="BD112" s="313"/>
      <c r="BE112" s="313"/>
      <c r="BF112" s="313"/>
      <c r="BG112" s="313"/>
      <c r="BH112" s="313"/>
      <c r="BI112" s="313"/>
      <c r="BJ112" s="313"/>
      <c r="BK112" s="313"/>
      <c r="BL112" s="313"/>
      <c r="BM112" s="313"/>
      <c r="BN112" s="313"/>
      <c r="BO112" s="313"/>
      <c r="BP112" s="313"/>
      <c r="BQ112" s="313"/>
      <c r="BR112" s="313"/>
      <c r="BS112" s="313"/>
      <c r="BT112" s="313"/>
      <c r="BU112" s="313"/>
      <c r="BV112" s="313"/>
      <c r="BW112" s="313"/>
      <c r="BX112" s="313"/>
      <c r="BY112" s="313"/>
      <c r="BZ112" s="313"/>
      <c r="CA112" s="313"/>
      <c r="CB112" s="313"/>
      <c r="CC112" s="313"/>
      <c r="CD112" s="313"/>
      <c r="CE112" s="313"/>
    </row>
    <row r="113" spans="1:83" s="101" customFormat="1" ht="12.75" customHeight="1" x14ac:dyDescent="0.2">
      <c r="A113" s="1097"/>
      <c r="B113" s="1098" t="str">
        <f>IF(Stammblatt!$L$4=1,'Kalkulation Herstellungskosten'!BB113,'Kalkulation Herstellungskosten'!BC113)</f>
        <v xml:space="preserve">Wochenpauschale (§ 7 KV) </v>
      </c>
      <c r="C113" s="94">
        <v>0</v>
      </c>
      <c r="D113" s="386"/>
      <c r="E113" s="95"/>
      <c r="F113" s="1435"/>
      <c r="G113" s="96">
        <f>IF(Stammblatt!$I$9=TRUE,Kollektivvertrag!$E$60,Kollektivvertrag!E42)</f>
        <v>1961.9267465776534</v>
      </c>
      <c r="H113" s="842" t="str">
        <f t="shared" si="95"/>
        <v/>
      </c>
      <c r="I113" s="849" t="str">
        <f t="shared" si="96"/>
        <v/>
      </c>
      <c r="J113" s="747"/>
      <c r="K113" s="748"/>
      <c r="L113" s="359"/>
      <c r="M113" s="359"/>
      <c r="N113" s="334"/>
      <c r="O113" s="1405"/>
      <c r="P113" s="1431"/>
      <c r="Q113" s="1407"/>
      <c r="R113" s="1405"/>
      <c r="S113" s="514"/>
      <c r="T113" s="1405"/>
      <c r="U113" s="1405"/>
      <c r="V113" s="1433"/>
      <c r="W113" s="1433"/>
      <c r="X113" s="1405"/>
      <c r="Y113" s="1431"/>
      <c r="Z113" s="1407"/>
      <c r="AA113" s="1405"/>
      <c r="AB113" s="295"/>
      <c r="AC113" s="336"/>
      <c r="AD113" s="1411"/>
      <c r="AE113" s="1421"/>
      <c r="AF113" s="1409"/>
      <c r="AG113" s="1419"/>
      <c r="AH113" s="1411"/>
      <c r="AI113" s="1421"/>
      <c r="AJ113" s="1409"/>
      <c r="AK113" s="1419"/>
      <c r="AL113" s="1413"/>
      <c r="AM113" s="1421"/>
      <c r="AN113" s="1409"/>
      <c r="AO113" s="1419"/>
      <c r="AP113" s="1429"/>
      <c r="AQ113" s="1417">
        <f t="shared" si="74"/>
        <v>0</v>
      </c>
      <c r="AR113" s="1415">
        <f t="shared" si="75"/>
        <v>0</v>
      </c>
      <c r="AS113" s="310"/>
      <c r="AT113" s="310"/>
      <c r="AU113" s="393">
        <f>IF(AV113=TRUE,G113*0.8,G113)</f>
        <v>1961.9267465776534</v>
      </c>
      <c r="AV113" s="383" t="b">
        <v>0</v>
      </c>
      <c r="AW113" s="312">
        <f t="shared" si="91"/>
        <v>2354.3120958931841</v>
      </c>
      <c r="AX113" s="312">
        <f t="shared" si="92"/>
        <v>2550.5047705509496</v>
      </c>
      <c r="AY113" s="312"/>
      <c r="AZ113" s="312"/>
      <c r="BA113" s="315"/>
      <c r="BB113" s="196" t="s">
        <v>45</v>
      </c>
      <c r="BC113" s="196" t="s">
        <v>1024</v>
      </c>
      <c r="BD113" s="313"/>
      <c r="BE113" s="313"/>
      <c r="BF113" s="313"/>
      <c r="BG113" s="313"/>
      <c r="BH113" s="313"/>
      <c r="BI113" s="313"/>
      <c r="BJ113" s="313"/>
      <c r="BK113" s="313"/>
      <c r="BL113" s="313"/>
      <c r="BM113" s="313"/>
      <c r="BN113" s="313"/>
      <c r="BO113" s="313"/>
      <c r="BP113" s="313"/>
      <c r="BQ113" s="313"/>
      <c r="BR113" s="313"/>
      <c r="BS113" s="313"/>
      <c r="BT113" s="313"/>
      <c r="BU113" s="313"/>
      <c r="BV113" s="313"/>
      <c r="BW113" s="313"/>
      <c r="BX113" s="313"/>
      <c r="BY113" s="313"/>
      <c r="BZ113" s="313"/>
      <c r="CA113" s="313"/>
      <c r="CB113" s="313"/>
      <c r="CC113" s="313"/>
      <c r="CD113" s="313"/>
      <c r="CE113" s="313"/>
    </row>
    <row r="114" spans="1:83" s="101" customFormat="1" ht="12.75" customHeight="1" x14ac:dyDescent="0.2">
      <c r="A114" s="1099">
        <v>54</v>
      </c>
      <c r="B114" s="1096" t="str">
        <f>IF(Stammblatt!$L$4=1,'Kalkulation Herstellungskosten'!BB114,'Kalkulation Herstellungskosten'!BC114)</f>
        <v>Innenrequisite</v>
      </c>
      <c r="C114" s="99">
        <v>0</v>
      </c>
      <c r="D114" s="385"/>
      <c r="E114" s="103"/>
      <c r="F114" s="1434">
        <f>C114*E114+C115*E115</f>
        <v>0</v>
      </c>
      <c r="G114" s="100">
        <f>IF(Stammblatt!$I$9=TRUE,Kollektivvertrag!$C$60,Kollektivvertrag!C43)</f>
        <v>1312.4006322744617</v>
      </c>
      <c r="H114" s="841" t="str">
        <f t="shared" si="95"/>
        <v/>
      </c>
      <c r="I114" s="848" t="str">
        <f t="shared" si="96"/>
        <v/>
      </c>
      <c r="J114" s="751"/>
      <c r="K114" s="751"/>
      <c r="L114" s="556">
        <f>F114*J114</f>
        <v>0</v>
      </c>
      <c r="M114" s="557">
        <f>F114*K114</f>
        <v>0</v>
      </c>
      <c r="N114" s="558" t="str">
        <f>IF((L114+M114)&lt;&gt;F114,"?","")</f>
        <v/>
      </c>
      <c r="O114" s="1404"/>
      <c r="P114" s="1430"/>
      <c r="Q114" s="1406"/>
      <c r="R114" s="1404"/>
      <c r="S114" s="514"/>
      <c r="T114" s="1404"/>
      <c r="U114" s="1404"/>
      <c r="V114" s="1432">
        <f>SUM(T114:U115)</f>
        <v>0</v>
      </c>
      <c r="W114" s="1432">
        <f>F114-V114</f>
        <v>0</v>
      </c>
      <c r="X114" s="1404"/>
      <c r="Y114" s="1430"/>
      <c r="Z114" s="1406"/>
      <c r="AA114" s="1404"/>
      <c r="AB114" s="295"/>
      <c r="AC114" s="336"/>
      <c r="AD114" s="1410"/>
      <c r="AE114" s="1420"/>
      <c r="AF114" s="1408"/>
      <c r="AG114" s="1418">
        <f>SUM(AE114:AF115)</f>
        <v>0</v>
      </c>
      <c r="AH114" s="1410"/>
      <c r="AI114" s="1420"/>
      <c r="AJ114" s="1408"/>
      <c r="AK114" s="1418">
        <f>SUM(AI114:AJ115)</f>
        <v>0</v>
      </c>
      <c r="AL114" s="1412"/>
      <c r="AM114" s="1420"/>
      <c r="AN114" s="1408"/>
      <c r="AO114" s="1418">
        <f>SUM(AM114:AN115)</f>
        <v>0</v>
      </c>
      <c r="AP114" s="1428">
        <f>SUM(F114,AD114,AH114,AL114)</f>
        <v>0</v>
      </c>
      <c r="AQ114" s="1416">
        <f t="shared" si="74"/>
        <v>0</v>
      </c>
      <c r="AR114" s="1414">
        <f t="shared" si="75"/>
        <v>0</v>
      </c>
      <c r="AS114" s="310"/>
      <c r="AT114" s="310"/>
      <c r="AU114" s="393">
        <f>IF(AV115=TRUE,G114*0.8,G114)</f>
        <v>1312.4006322744617</v>
      </c>
      <c r="AV114" s="383"/>
      <c r="AW114" s="312">
        <f t="shared" si="91"/>
        <v>1574.8807587293541</v>
      </c>
      <c r="AX114" s="312">
        <f t="shared" si="92"/>
        <v>1706.1208219568002</v>
      </c>
      <c r="AY114" s="312"/>
      <c r="AZ114" s="312"/>
      <c r="BA114" s="312"/>
      <c r="BB114" s="196" t="s">
        <v>589</v>
      </c>
      <c r="BC114" s="196" t="s">
        <v>476</v>
      </c>
      <c r="BD114" s="313"/>
      <c r="BE114" s="313"/>
      <c r="BF114" s="313"/>
      <c r="BG114" s="313"/>
      <c r="BH114" s="313"/>
      <c r="BI114" s="313"/>
      <c r="BJ114" s="313"/>
      <c r="BK114" s="313"/>
      <c r="BL114" s="313"/>
      <c r="BM114" s="313"/>
      <c r="BN114" s="313"/>
      <c r="BO114" s="313"/>
      <c r="BP114" s="313"/>
      <c r="BQ114" s="313"/>
      <c r="BR114" s="313"/>
      <c r="BS114" s="313"/>
      <c r="BT114" s="313"/>
      <c r="BU114" s="313"/>
      <c r="BV114" s="313"/>
      <c r="BW114" s="313"/>
      <c r="BX114" s="313"/>
      <c r="BY114" s="313"/>
      <c r="BZ114" s="313"/>
      <c r="CA114" s="313"/>
      <c r="CB114" s="313"/>
      <c r="CC114" s="313"/>
      <c r="CD114" s="313"/>
      <c r="CE114" s="313"/>
    </row>
    <row r="115" spans="1:83" s="101" customFormat="1" ht="12.75" customHeight="1" x14ac:dyDescent="0.2">
      <c r="A115" s="1097"/>
      <c r="B115" s="1098" t="str">
        <f>IF(Stammblatt!$L$4=1,'Kalkulation Herstellungskosten'!BB115,'Kalkulation Herstellungskosten'!BC115)</f>
        <v xml:space="preserve">Wochenpauschale (§ 7 KV) </v>
      </c>
      <c r="C115" s="94">
        <v>0</v>
      </c>
      <c r="D115" s="386"/>
      <c r="E115" s="95"/>
      <c r="F115" s="1435"/>
      <c r="G115" s="96">
        <f>IF(Stammblatt!$I$9=TRUE,Kollektivvertrag!$E$60,Kollektivvertrag!E43)</f>
        <v>1817.6748757001294</v>
      </c>
      <c r="H115" s="842" t="str">
        <f t="shared" si="95"/>
        <v/>
      </c>
      <c r="I115" s="849" t="str">
        <f t="shared" si="96"/>
        <v/>
      </c>
      <c r="J115" s="747"/>
      <c r="K115" s="748"/>
      <c r="L115" s="359"/>
      <c r="M115" s="359"/>
      <c r="N115" s="334"/>
      <c r="O115" s="1405"/>
      <c r="P115" s="1431"/>
      <c r="Q115" s="1407"/>
      <c r="R115" s="1405"/>
      <c r="S115" s="514"/>
      <c r="T115" s="1405"/>
      <c r="U115" s="1405"/>
      <c r="V115" s="1433"/>
      <c r="W115" s="1433"/>
      <c r="X115" s="1405"/>
      <c r="Y115" s="1431"/>
      <c r="Z115" s="1407"/>
      <c r="AA115" s="1405"/>
      <c r="AB115" s="295"/>
      <c r="AC115" s="336"/>
      <c r="AD115" s="1411"/>
      <c r="AE115" s="1421"/>
      <c r="AF115" s="1409"/>
      <c r="AG115" s="1419"/>
      <c r="AH115" s="1411"/>
      <c r="AI115" s="1421"/>
      <c r="AJ115" s="1409"/>
      <c r="AK115" s="1419"/>
      <c r="AL115" s="1413"/>
      <c r="AM115" s="1421"/>
      <c r="AN115" s="1409"/>
      <c r="AO115" s="1419"/>
      <c r="AP115" s="1429"/>
      <c r="AQ115" s="1417">
        <f t="shared" si="74"/>
        <v>0</v>
      </c>
      <c r="AR115" s="1415">
        <f t="shared" si="75"/>
        <v>0</v>
      </c>
      <c r="AS115" s="310"/>
      <c r="AT115" s="310"/>
      <c r="AU115" s="393">
        <f>IF(AV115=TRUE,G115*0.8,G115)</f>
        <v>1817.6748757001294</v>
      </c>
      <c r="AV115" s="383" t="b">
        <v>0</v>
      </c>
      <c r="AW115" s="312">
        <f t="shared" si="91"/>
        <v>2181.209850840155</v>
      </c>
      <c r="AX115" s="312">
        <f t="shared" si="92"/>
        <v>2362.9773384101682</v>
      </c>
      <c r="AY115" s="312"/>
      <c r="AZ115" s="312"/>
      <c r="BA115" s="315"/>
      <c r="BB115" s="196" t="s">
        <v>45</v>
      </c>
      <c r="BC115" s="196" t="s">
        <v>1024</v>
      </c>
      <c r="BD115" s="313"/>
      <c r="BE115" s="313"/>
      <c r="BF115" s="313"/>
      <c r="BG115" s="313"/>
      <c r="BH115" s="313"/>
      <c r="BI115" s="313"/>
      <c r="BJ115" s="313"/>
      <c r="BK115" s="313"/>
      <c r="BL115" s="313"/>
      <c r="BM115" s="313"/>
      <c r="BN115" s="313"/>
      <c r="BO115" s="313"/>
      <c r="BP115" s="313"/>
      <c r="BQ115" s="313"/>
      <c r="BR115" s="313"/>
      <c r="BS115" s="313"/>
      <c r="BT115" s="313"/>
      <c r="BU115" s="313"/>
      <c r="BV115" s="313"/>
      <c r="BW115" s="313"/>
      <c r="BX115" s="313"/>
      <c r="BY115" s="313"/>
      <c r="BZ115" s="313"/>
      <c r="CA115" s="313"/>
      <c r="CB115" s="313"/>
      <c r="CC115" s="313"/>
      <c r="CD115" s="313"/>
      <c r="CE115" s="313"/>
    </row>
    <row r="116" spans="1:83" s="101" customFormat="1" ht="12.75" customHeight="1" x14ac:dyDescent="0.2">
      <c r="A116" s="1100">
        <v>55</v>
      </c>
      <c r="B116" s="1096" t="str">
        <f>IF(Stammblatt!$L$4=1,'Kalkulation Herstellungskosten'!BB116,'Kalkulation Herstellungskosten'!BC116)</f>
        <v>Set Requisite Assistenz</v>
      </c>
      <c r="C116" s="99">
        <v>0</v>
      </c>
      <c r="D116" s="385"/>
      <c r="E116" s="103"/>
      <c r="F116" s="1434">
        <f>C116*E116+C117*E117</f>
        <v>0</v>
      </c>
      <c r="G116" s="100">
        <f>IF(Stammblatt!$I$9=TRUE,Kollektivvertrag!$C$60,Kollektivvertrag!C68)</f>
        <v>888.72192768254502</v>
      </c>
      <c r="H116" s="841" t="str">
        <f t="shared" si="95"/>
        <v/>
      </c>
      <c r="I116" s="848" t="str">
        <f t="shared" si="96"/>
        <v/>
      </c>
      <c r="J116" s="751"/>
      <c r="K116" s="751"/>
      <c r="L116" s="556">
        <f>F116*J116</f>
        <v>0</v>
      </c>
      <c r="M116" s="557">
        <f>F116*K116</f>
        <v>0</v>
      </c>
      <c r="N116" s="558" t="str">
        <f>IF((L116+M116)&lt;&gt;F116,"?","")</f>
        <v/>
      </c>
      <c r="O116" s="1404"/>
      <c r="P116" s="1430"/>
      <c r="Q116" s="1406"/>
      <c r="R116" s="1404"/>
      <c r="S116" s="514"/>
      <c r="T116" s="1404"/>
      <c r="U116" s="1404"/>
      <c r="V116" s="1432">
        <f>SUM(T116:U117)</f>
        <v>0</v>
      </c>
      <c r="W116" s="1432">
        <f>F116-V116</f>
        <v>0</v>
      </c>
      <c r="X116" s="1404"/>
      <c r="Y116" s="1430"/>
      <c r="Z116" s="1406"/>
      <c r="AA116" s="1404"/>
      <c r="AB116" s="295"/>
      <c r="AC116" s="336"/>
      <c r="AD116" s="1410"/>
      <c r="AE116" s="1420"/>
      <c r="AF116" s="1408"/>
      <c r="AG116" s="1418">
        <f>SUM(AE116:AF117)</f>
        <v>0</v>
      </c>
      <c r="AH116" s="1410"/>
      <c r="AI116" s="1420"/>
      <c r="AJ116" s="1408"/>
      <c r="AK116" s="1418">
        <f>SUM(AI116:AJ117)</f>
        <v>0</v>
      </c>
      <c r="AL116" s="1412"/>
      <c r="AM116" s="1420"/>
      <c r="AN116" s="1408"/>
      <c r="AO116" s="1418">
        <f>SUM(AM116:AN117)</f>
        <v>0</v>
      </c>
      <c r="AP116" s="1428">
        <f>SUM(F116,AD116,AH116,AL116)</f>
        <v>0</v>
      </c>
      <c r="AQ116" s="1416">
        <f t="shared" si="74"/>
        <v>0</v>
      </c>
      <c r="AR116" s="1414">
        <f t="shared" si="75"/>
        <v>0</v>
      </c>
      <c r="AS116" s="310"/>
      <c r="AT116" s="310"/>
      <c r="AU116" s="393">
        <f>IF(AV117=TRUE,G116*0.8,G116)</f>
        <v>888.72192768254502</v>
      </c>
      <c r="AV116" s="383"/>
      <c r="AW116" s="312">
        <f t="shared" ref="AW116:AW117" si="101">G116*1.2</f>
        <v>1066.466313219054</v>
      </c>
      <c r="AX116" s="312">
        <f t="shared" ref="AX116:AX117" si="102">G116*1.3</f>
        <v>1155.3385059873085</v>
      </c>
      <c r="AY116" s="312"/>
      <c r="AZ116" s="312"/>
      <c r="BA116" s="315"/>
      <c r="BB116" s="196" t="s">
        <v>919</v>
      </c>
      <c r="BC116" s="196" t="s">
        <v>1030</v>
      </c>
      <c r="BD116" s="313"/>
      <c r="BE116" s="313"/>
      <c r="BF116" s="313"/>
      <c r="BG116" s="313"/>
      <c r="BH116" s="313"/>
      <c r="BI116" s="313"/>
      <c r="BJ116" s="313"/>
      <c r="BK116" s="313"/>
      <c r="BL116" s="313"/>
      <c r="BM116" s="313"/>
      <c r="BN116" s="313"/>
      <c r="BO116" s="313"/>
      <c r="BP116" s="313"/>
      <c r="BQ116" s="313"/>
      <c r="BR116" s="313"/>
      <c r="BS116" s="313"/>
      <c r="BT116" s="313"/>
      <c r="BU116" s="313"/>
      <c r="BV116" s="313"/>
      <c r="BW116" s="313"/>
      <c r="BX116" s="313"/>
      <c r="BY116" s="313"/>
      <c r="BZ116" s="313"/>
      <c r="CA116" s="313"/>
      <c r="CB116" s="313"/>
      <c r="CC116" s="313"/>
      <c r="CD116" s="313"/>
      <c r="CE116" s="313"/>
    </row>
    <row r="117" spans="1:83" s="101" customFormat="1" ht="12.75" customHeight="1" x14ac:dyDescent="0.2">
      <c r="A117" s="1100"/>
      <c r="B117" s="1098" t="str">
        <f>IF(Stammblatt!$L$4=1,'Kalkulation Herstellungskosten'!BB117,'Kalkulation Herstellungskosten'!BC117)</f>
        <v xml:space="preserve">Wochenpauschale (§ 7 KV) </v>
      </c>
      <c r="C117" s="94">
        <v>0</v>
      </c>
      <c r="D117" s="386"/>
      <c r="E117" s="95"/>
      <c r="F117" s="1435"/>
      <c r="G117" s="96">
        <f>IF(Stammblatt!$I$9=TRUE,Kollektivvertrag!$E$60,Kollektivvertrag!E68)</f>
        <v>1230.8798698403248</v>
      </c>
      <c r="H117" s="842" t="str">
        <f t="shared" si="95"/>
        <v/>
      </c>
      <c r="I117" s="849" t="str">
        <f t="shared" si="96"/>
        <v/>
      </c>
      <c r="J117" s="747"/>
      <c r="K117" s="748"/>
      <c r="L117" s="359"/>
      <c r="M117" s="359"/>
      <c r="N117" s="334"/>
      <c r="O117" s="1405"/>
      <c r="P117" s="1431"/>
      <c r="Q117" s="1407"/>
      <c r="R117" s="1405"/>
      <c r="S117" s="514"/>
      <c r="T117" s="1405"/>
      <c r="U117" s="1405"/>
      <c r="V117" s="1433"/>
      <c r="W117" s="1433"/>
      <c r="X117" s="1405"/>
      <c r="Y117" s="1431"/>
      <c r="Z117" s="1407"/>
      <c r="AA117" s="1405"/>
      <c r="AB117" s="295"/>
      <c r="AC117" s="336"/>
      <c r="AD117" s="1411"/>
      <c r="AE117" s="1421"/>
      <c r="AF117" s="1409"/>
      <c r="AG117" s="1419"/>
      <c r="AH117" s="1411"/>
      <c r="AI117" s="1421"/>
      <c r="AJ117" s="1409"/>
      <c r="AK117" s="1419"/>
      <c r="AL117" s="1413"/>
      <c r="AM117" s="1421"/>
      <c r="AN117" s="1409"/>
      <c r="AO117" s="1419"/>
      <c r="AP117" s="1429"/>
      <c r="AQ117" s="1417">
        <f t="shared" si="74"/>
        <v>0</v>
      </c>
      <c r="AR117" s="1415">
        <f t="shared" si="75"/>
        <v>0</v>
      </c>
      <c r="AS117" s="310"/>
      <c r="AT117" s="310"/>
      <c r="AU117" s="393">
        <f>IF(AV117=TRUE,G117*0.8,G117)</f>
        <v>1230.8798698403248</v>
      </c>
      <c r="AV117" s="383" t="b">
        <v>0</v>
      </c>
      <c r="AW117" s="312">
        <f t="shared" si="101"/>
        <v>1477.0558438083897</v>
      </c>
      <c r="AX117" s="312">
        <f t="shared" si="102"/>
        <v>1600.1438307924222</v>
      </c>
      <c r="AY117" s="312"/>
      <c r="AZ117" s="312"/>
      <c r="BA117" s="315"/>
      <c r="BB117" s="196" t="s">
        <v>45</v>
      </c>
      <c r="BC117" s="196" t="s">
        <v>1024</v>
      </c>
      <c r="BD117" s="313"/>
      <c r="BE117" s="313"/>
      <c r="BF117" s="313"/>
      <c r="BG117" s="313"/>
      <c r="BH117" s="313"/>
      <c r="BI117" s="313"/>
      <c r="BJ117" s="313"/>
      <c r="BK117" s="313"/>
      <c r="BL117" s="313"/>
      <c r="BM117" s="313"/>
      <c r="BN117" s="313"/>
      <c r="BO117" s="313"/>
      <c r="BP117" s="313"/>
      <c r="BQ117" s="313"/>
      <c r="BR117" s="313"/>
      <c r="BS117" s="313"/>
      <c r="BT117" s="313"/>
      <c r="BU117" s="313"/>
      <c r="BV117" s="313"/>
      <c r="BW117" s="313"/>
      <c r="BX117" s="313"/>
      <c r="BY117" s="313"/>
      <c r="BZ117" s="313"/>
      <c r="CA117" s="313"/>
      <c r="CB117" s="313"/>
      <c r="CC117" s="313"/>
      <c r="CD117" s="313"/>
      <c r="CE117" s="313"/>
    </row>
    <row r="118" spans="1:83" s="101" customFormat="1" ht="12.75" customHeight="1" x14ac:dyDescent="0.2">
      <c r="A118" s="1099">
        <v>56</v>
      </c>
      <c r="B118" s="1096" t="str">
        <f>IF(Stammblatt!$L$4=1,'Kalkulation Herstellungskosten'!BB118,'Kalkulation Herstellungskosten'!BC118)</f>
        <v>Requisitenhilfe</v>
      </c>
      <c r="C118" s="99">
        <v>0</v>
      </c>
      <c r="D118" s="385"/>
      <c r="E118" s="103"/>
      <c r="F118" s="1434">
        <f>C118*E118+C119*E119</f>
        <v>0</v>
      </c>
      <c r="G118" s="100">
        <f>IF(Stammblatt!$I$9=TRUE,Kollektivvertrag!$C$60,Kollektivvertrag!C49)</f>
        <v>877.31968972402183</v>
      </c>
      <c r="H118" s="841" t="str">
        <f t="shared" si="95"/>
        <v/>
      </c>
      <c r="I118" s="848" t="str">
        <f t="shared" si="96"/>
        <v/>
      </c>
      <c r="J118" s="751"/>
      <c r="K118" s="751"/>
      <c r="L118" s="556">
        <f>F118*J118</f>
        <v>0</v>
      </c>
      <c r="M118" s="557">
        <f>F118*K118</f>
        <v>0</v>
      </c>
      <c r="N118" s="558" t="str">
        <f>IF((L118+M118)&lt;&gt;F118,"?","")</f>
        <v/>
      </c>
      <c r="O118" s="1404"/>
      <c r="P118" s="1430"/>
      <c r="Q118" s="1406"/>
      <c r="R118" s="1404"/>
      <c r="S118" s="514"/>
      <c r="T118" s="1404"/>
      <c r="U118" s="1404"/>
      <c r="V118" s="1432">
        <f>SUM(T118:U119)</f>
        <v>0</v>
      </c>
      <c r="W118" s="1432">
        <f>F118-V118</f>
        <v>0</v>
      </c>
      <c r="X118" s="1404"/>
      <c r="Y118" s="1430"/>
      <c r="Z118" s="1406"/>
      <c r="AA118" s="1404"/>
      <c r="AB118" s="295"/>
      <c r="AC118" s="336"/>
      <c r="AD118" s="1410"/>
      <c r="AE118" s="1420"/>
      <c r="AF118" s="1408"/>
      <c r="AG118" s="1418">
        <f>SUM(AE118:AF119)</f>
        <v>0</v>
      </c>
      <c r="AH118" s="1410"/>
      <c r="AI118" s="1420"/>
      <c r="AJ118" s="1408"/>
      <c r="AK118" s="1418">
        <f>SUM(AI118:AJ119)</f>
        <v>0</v>
      </c>
      <c r="AL118" s="1412"/>
      <c r="AM118" s="1420"/>
      <c r="AN118" s="1408"/>
      <c r="AO118" s="1418">
        <f>SUM(AM118:AN119)</f>
        <v>0</v>
      </c>
      <c r="AP118" s="1428">
        <f>SUM(F118,AD118,AH118,AL118)</f>
        <v>0</v>
      </c>
      <c r="AQ118" s="1416">
        <f t="shared" si="74"/>
        <v>0</v>
      </c>
      <c r="AR118" s="1414">
        <f t="shared" si="75"/>
        <v>0</v>
      </c>
      <c r="AS118" s="310"/>
      <c r="AT118" s="310"/>
      <c r="AU118" s="393">
        <f>IF(AV119=TRUE,G118*0.8,G118)</f>
        <v>877.31968972402183</v>
      </c>
      <c r="AV118" s="383"/>
      <c r="AW118" s="312">
        <f t="shared" si="91"/>
        <v>1052.7836276688261</v>
      </c>
      <c r="AX118" s="312">
        <f t="shared" si="92"/>
        <v>1140.5155966412285</v>
      </c>
      <c r="AY118" s="312"/>
      <c r="AZ118" s="312"/>
      <c r="BA118" s="312"/>
      <c r="BB118" s="196" t="s">
        <v>125</v>
      </c>
      <c r="BC118" s="196" t="s">
        <v>344</v>
      </c>
      <c r="BD118" s="313"/>
      <c r="BE118" s="313"/>
      <c r="BF118" s="313"/>
      <c r="BG118" s="313"/>
      <c r="BH118" s="313"/>
      <c r="BI118" s="313"/>
      <c r="BJ118" s="313"/>
      <c r="BK118" s="313"/>
      <c r="BL118" s="313"/>
      <c r="BM118" s="313"/>
      <c r="BN118" s="313"/>
      <c r="BO118" s="313"/>
      <c r="BP118" s="313"/>
      <c r="BQ118" s="313"/>
      <c r="BR118" s="313"/>
      <c r="BS118" s="313"/>
      <c r="BT118" s="313"/>
      <c r="BU118" s="313"/>
      <c r="BV118" s="313"/>
      <c r="BW118" s="313"/>
      <c r="BX118" s="313"/>
      <c r="BY118" s="313"/>
      <c r="BZ118" s="313"/>
      <c r="CA118" s="313"/>
      <c r="CB118" s="313"/>
      <c r="CC118" s="313"/>
      <c r="CD118" s="313"/>
      <c r="CE118" s="313"/>
    </row>
    <row r="119" spans="1:83" s="101" customFormat="1" ht="12.75" customHeight="1" x14ac:dyDescent="0.2">
      <c r="A119" s="1097"/>
      <c r="B119" s="1098" t="str">
        <f>IF(Stammblatt!$L$4=1,'Kalkulation Herstellungskosten'!BB119,'Kalkulation Herstellungskosten'!BC119)</f>
        <v xml:space="preserve">Wochenpauschale (§ 7 KV) </v>
      </c>
      <c r="C119" s="94">
        <v>0</v>
      </c>
      <c r="D119" s="386"/>
      <c r="E119" s="95"/>
      <c r="F119" s="1435"/>
      <c r="G119" s="96">
        <f>IF(Stammblatt!$I$9=TRUE,Kollektivvertrag!$E$60,Kollektivvertrag!E49)</f>
        <v>1215.0877702677701</v>
      </c>
      <c r="H119" s="842" t="str">
        <f t="shared" si="95"/>
        <v/>
      </c>
      <c r="I119" s="849" t="str">
        <f t="shared" si="96"/>
        <v/>
      </c>
      <c r="J119" s="747"/>
      <c r="K119" s="748"/>
      <c r="L119" s="359"/>
      <c r="M119" s="359"/>
      <c r="N119" s="334"/>
      <c r="O119" s="1405"/>
      <c r="P119" s="1431"/>
      <c r="Q119" s="1407"/>
      <c r="R119" s="1405"/>
      <c r="S119" s="514"/>
      <c r="T119" s="1405"/>
      <c r="U119" s="1405"/>
      <c r="V119" s="1433"/>
      <c r="W119" s="1433"/>
      <c r="X119" s="1405"/>
      <c r="Y119" s="1431"/>
      <c r="Z119" s="1407"/>
      <c r="AA119" s="1405"/>
      <c r="AB119" s="295"/>
      <c r="AC119" s="336"/>
      <c r="AD119" s="1411"/>
      <c r="AE119" s="1421"/>
      <c r="AF119" s="1409"/>
      <c r="AG119" s="1419"/>
      <c r="AH119" s="1411"/>
      <c r="AI119" s="1421"/>
      <c r="AJ119" s="1409"/>
      <c r="AK119" s="1419"/>
      <c r="AL119" s="1413"/>
      <c r="AM119" s="1421"/>
      <c r="AN119" s="1409"/>
      <c r="AO119" s="1419"/>
      <c r="AP119" s="1429"/>
      <c r="AQ119" s="1417">
        <f t="shared" si="74"/>
        <v>0</v>
      </c>
      <c r="AR119" s="1415">
        <f t="shared" si="75"/>
        <v>0</v>
      </c>
      <c r="AS119" s="310"/>
      <c r="AT119" s="310"/>
      <c r="AU119" s="393">
        <f>IF(AV119=TRUE,G119*0.8,G119)</f>
        <v>1215.0877702677701</v>
      </c>
      <c r="AV119" s="383" t="b">
        <v>0</v>
      </c>
      <c r="AW119" s="312">
        <f t="shared" si="91"/>
        <v>1458.1053243213241</v>
      </c>
      <c r="AX119" s="312">
        <f t="shared" si="92"/>
        <v>1579.6141013481013</v>
      </c>
      <c r="AY119" s="312"/>
      <c r="AZ119" s="312"/>
      <c r="BA119" s="315"/>
      <c r="BB119" s="196" t="s">
        <v>45</v>
      </c>
      <c r="BC119" s="196" t="s">
        <v>1024</v>
      </c>
      <c r="BD119" s="313"/>
      <c r="BE119" s="313"/>
      <c r="BF119" s="313"/>
      <c r="BG119" s="313"/>
      <c r="BH119" s="313"/>
      <c r="BI119" s="313"/>
      <c r="BJ119" s="313"/>
      <c r="BK119" s="313"/>
      <c r="BL119" s="313"/>
      <c r="BM119" s="313"/>
      <c r="BN119" s="313"/>
      <c r="BO119" s="313"/>
      <c r="BP119" s="313"/>
      <c r="BQ119" s="313"/>
      <c r="BR119" s="313"/>
      <c r="BS119" s="313"/>
      <c r="BT119" s="313"/>
      <c r="BU119" s="313"/>
      <c r="BV119" s="313"/>
      <c r="BW119" s="313"/>
      <c r="BX119" s="313"/>
      <c r="BY119" s="313"/>
      <c r="BZ119" s="313"/>
      <c r="CA119" s="313"/>
      <c r="CB119" s="313"/>
      <c r="CC119" s="313"/>
      <c r="CD119" s="313"/>
      <c r="CE119" s="313"/>
    </row>
    <row r="120" spans="1:83" s="101" customFormat="1" ht="12.75" customHeight="1" x14ac:dyDescent="0.2">
      <c r="A120" s="1099">
        <v>57</v>
      </c>
      <c r="B120" s="1096" t="str">
        <f>IF(Stammblatt!$L$4=1,'Kalkulation Herstellungskosten'!BB120,'Kalkulation Herstellungskosten'!BC120)</f>
        <v>Szenenbild (Filmarchitektur)</v>
      </c>
      <c r="C120" s="99">
        <v>0</v>
      </c>
      <c r="D120" s="385"/>
      <c r="E120" s="103"/>
      <c r="F120" s="1434">
        <f>C120*E120+C121*E121</f>
        <v>0</v>
      </c>
      <c r="G120" s="100">
        <f ca="1">IF(AND(Stammblatt!$I$9=TRUE,GHSTK&lt;=1220000),Kollektivvertrag!$C$60,IF(AND(Stammblatt!$I$9=TRUE,GHSTK&lt;=1570000),Kollektivvertrag!C53/2,Kollektivvertrag!C53))</f>
        <v>1942.8292294936089</v>
      </c>
      <c r="H120" s="841" t="str">
        <f t="shared" ref="H120:H151" ca="1" si="103">IF(E120&gt;G120*1.1,C120*(E120-G120*1.1),"")</f>
        <v/>
      </c>
      <c r="I120" s="848" t="str">
        <f t="shared" ref="I120:I151" si="104">IF(E120=0,"",E120/G120-1)</f>
        <v/>
      </c>
      <c r="J120" s="751"/>
      <c r="K120" s="751"/>
      <c r="L120" s="556">
        <f>F120*J120</f>
        <v>0</v>
      </c>
      <c r="M120" s="557">
        <f>F120*K120</f>
        <v>0</v>
      </c>
      <c r="N120" s="558" t="str">
        <f>IF((L120+M120)&lt;&gt;F120,"?","")</f>
        <v/>
      </c>
      <c r="O120" s="1404"/>
      <c r="P120" s="1430"/>
      <c r="Q120" s="1406"/>
      <c r="R120" s="1404"/>
      <c r="S120" s="514"/>
      <c r="T120" s="1404"/>
      <c r="U120" s="1404"/>
      <c r="V120" s="1432">
        <f>SUM(T120:U121)</f>
        <v>0</v>
      </c>
      <c r="W120" s="1432">
        <f>F120-V120</f>
        <v>0</v>
      </c>
      <c r="X120" s="1404"/>
      <c r="Y120" s="1430"/>
      <c r="Z120" s="1406"/>
      <c r="AA120" s="1404"/>
      <c r="AB120" s="295"/>
      <c r="AC120" s="336"/>
      <c r="AD120" s="1410"/>
      <c r="AE120" s="1420"/>
      <c r="AF120" s="1408"/>
      <c r="AG120" s="1418">
        <f>SUM(AE120:AF121)</f>
        <v>0</v>
      </c>
      <c r="AH120" s="1410"/>
      <c r="AI120" s="1420"/>
      <c r="AJ120" s="1408"/>
      <c r="AK120" s="1418">
        <f>SUM(AI120:AJ121)</f>
        <v>0</v>
      </c>
      <c r="AL120" s="1412"/>
      <c r="AM120" s="1420"/>
      <c r="AN120" s="1408"/>
      <c r="AO120" s="1418">
        <f>SUM(AM120:AN121)</f>
        <v>0</v>
      </c>
      <c r="AP120" s="1428">
        <f>SUM(F120,AD120,AH120,AL120)</f>
        <v>0</v>
      </c>
      <c r="AQ120" s="1416">
        <f t="shared" si="74"/>
        <v>0</v>
      </c>
      <c r="AR120" s="1414">
        <f t="shared" si="75"/>
        <v>0</v>
      </c>
      <c r="AS120" s="310"/>
      <c r="AT120" s="310"/>
      <c r="AU120" s="393">
        <f ca="1">IF(AV121=TRUE,G120*0.8,G120)</f>
        <v>1942.8292294936089</v>
      </c>
      <c r="AV120" s="383"/>
      <c r="AW120" s="312">
        <f t="shared" ca="1" si="91"/>
        <v>2331.3950753923305</v>
      </c>
      <c r="AX120" s="312">
        <f t="shared" ca="1" si="92"/>
        <v>2525.6779983416918</v>
      </c>
      <c r="AY120" s="312"/>
      <c r="AZ120" s="312"/>
      <c r="BA120" s="312"/>
      <c r="BB120" s="196" t="s">
        <v>616</v>
      </c>
      <c r="BC120" s="196" t="s">
        <v>355</v>
      </c>
      <c r="BD120" s="313"/>
      <c r="BE120" s="313"/>
      <c r="BF120" s="313"/>
      <c r="BG120" s="313"/>
      <c r="BH120" s="313"/>
      <c r="BI120" s="313"/>
      <c r="BJ120" s="313"/>
      <c r="BK120" s="313"/>
      <c r="BL120" s="313"/>
      <c r="BM120" s="313"/>
      <c r="BN120" s="313"/>
      <c r="BO120" s="313"/>
      <c r="BP120" s="313"/>
      <c r="BQ120" s="313"/>
      <c r="BR120" s="313"/>
      <c r="BS120" s="313"/>
      <c r="BT120" s="313"/>
      <c r="BU120" s="313"/>
      <c r="BV120" s="313"/>
      <c r="BW120" s="313"/>
      <c r="BX120" s="313"/>
      <c r="BY120" s="313"/>
      <c r="BZ120" s="313"/>
      <c r="CA120" s="313"/>
      <c r="CB120" s="313"/>
      <c r="CC120" s="313"/>
      <c r="CD120" s="313"/>
      <c r="CE120" s="313"/>
    </row>
    <row r="121" spans="1:83" s="101" customFormat="1" ht="12.75" customHeight="1" x14ac:dyDescent="0.2">
      <c r="A121" s="1097"/>
      <c r="B121" s="1098" t="str">
        <f>IF(Stammblatt!$L$4=1,'Kalkulation Herstellungskosten'!BB121,'Kalkulation Herstellungskosten'!BC121)</f>
        <v xml:space="preserve">Wochenpauschale (§ 7 KV) </v>
      </c>
      <c r="C121" s="94">
        <v>0</v>
      </c>
      <c r="D121" s="386"/>
      <c r="E121" s="95"/>
      <c r="F121" s="1435"/>
      <c r="G121" s="96">
        <f ca="1">IF(AND(Stammblatt!$I$9=TRUE,GHSTK&lt;=1220000),Kollektivvertrag!$E$60,IF(AND(Stammblatt!$I$9=TRUE,GHSTK&lt;=1570000),Kollektivvertrag!E53/2,Kollektivvertrag!E53))</f>
        <v>2690.8184828486483</v>
      </c>
      <c r="H121" s="842" t="str">
        <f t="shared" ca="1" si="103"/>
        <v/>
      </c>
      <c r="I121" s="849" t="str">
        <f t="shared" si="104"/>
        <v/>
      </c>
      <c r="J121" s="747"/>
      <c r="K121" s="748"/>
      <c r="L121" s="359"/>
      <c r="M121" s="359"/>
      <c r="N121" s="334"/>
      <c r="O121" s="1405"/>
      <c r="P121" s="1431"/>
      <c r="Q121" s="1407"/>
      <c r="R121" s="1405"/>
      <c r="S121" s="514"/>
      <c r="T121" s="1405"/>
      <c r="U121" s="1405"/>
      <c r="V121" s="1433"/>
      <c r="W121" s="1433"/>
      <c r="X121" s="1405"/>
      <c r="Y121" s="1431"/>
      <c r="Z121" s="1407"/>
      <c r="AA121" s="1405"/>
      <c r="AB121" s="295"/>
      <c r="AC121" s="336"/>
      <c r="AD121" s="1411"/>
      <c r="AE121" s="1421"/>
      <c r="AF121" s="1409"/>
      <c r="AG121" s="1419"/>
      <c r="AH121" s="1411"/>
      <c r="AI121" s="1421"/>
      <c r="AJ121" s="1409"/>
      <c r="AK121" s="1419"/>
      <c r="AL121" s="1413"/>
      <c r="AM121" s="1421"/>
      <c r="AN121" s="1409"/>
      <c r="AO121" s="1419"/>
      <c r="AP121" s="1429"/>
      <c r="AQ121" s="1417">
        <f t="shared" si="74"/>
        <v>0</v>
      </c>
      <c r="AR121" s="1415">
        <f t="shared" si="75"/>
        <v>0</v>
      </c>
      <c r="AS121" s="310"/>
      <c r="AT121" s="310"/>
      <c r="AU121" s="393">
        <f ca="1">IF(AV121=TRUE,G121*0.8,G121)</f>
        <v>2690.8184828486483</v>
      </c>
      <c r="AV121" s="383" t="b">
        <v>0</v>
      </c>
      <c r="AW121" s="312">
        <f t="shared" ca="1" si="91"/>
        <v>3228.9821794183777</v>
      </c>
      <c r="AX121" s="312">
        <f t="shared" ca="1" si="92"/>
        <v>3498.064027703243</v>
      </c>
      <c r="AY121" s="312"/>
      <c r="AZ121" s="312"/>
      <c r="BA121" s="315"/>
      <c r="BB121" s="196" t="s">
        <v>45</v>
      </c>
      <c r="BC121" s="196" t="s">
        <v>1024</v>
      </c>
      <c r="BD121" s="313"/>
      <c r="BE121" s="313"/>
      <c r="BF121" s="313"/>
      <c r="BG121" s="313"/>
      <c r="BH121" s="313"/>
      <c r="BI121" s="313"/>
      <c r="BJ121" s="313"/>
      <c r="BK121" s="313"/>
      <c r="BL121" s="313"/>
      <c r="BM121" s="313"/>
      <c r="BN121" s="313"/>
      <c r="BO121" s="313"/>
      <c r="BP121" s="313"/>
      <c r="BQ121" s="313"/>
      <c r="BR121" s="313"/>
      <c r="BS121" s="313"/>
      <c r="BT121" s="313"/>
      <c r="BU121" s="313"/>
      <c r="BV121" s="313"/>
      <c r="BW121" s="313"/>
      <c r="BX121" s="313"/>
      <c r="BY121" s="313"/>
      <c r="BZ121" s="313"/>
      <c r="CA121" s="313"/>
      <c r="CB121" s="313"/>
      <c r="CC121" s="313"/>
      <c r="CD121" s="313"/>
      <c r="CE121" s="313"/>
    </row>
    <row r="122" spans="1:83" s="101" customFormat="1" ht="12.75" customHeight="1" x14ac:dyDescent="0.2">
      <c r="A122" s="1099">
        <v>58</v>
      </c>
      <c r="B122" s="1096" t="str">
        <f>IF(Stammblatt!$L$4=1,'Kalkulation Herstellungskosten'!BB122,'Kalkulation Herstellungskosten'!BC122)</f>
        <v>Szenenbildassistenz</v>
      </c>
      <c r="C122" s="99">
        <v>0</v>
      </c>
      <c r="D122" s="385"/>
      <c r="E122" s="103"/>
      <c r="F122" s="1434">
        <f>C122*E122+C123*E123</f>
        <v>0</v>
      </c>
      <c r="G122" s="100">
        <f>IF(Stammblatt!$I$9=TRUE,Kollektivvertrag!$C$60,Kollektivvertrag!C54)</f>
        <v>1458.3731635405879</v>
      </c>
      <c r="H122" s="841" t="str">
        <f t="shared" si="103"/>
        <v/>
      </c>
      <c r="I122" s="848" t="str">
        <f t="shared" si="104"/>
        <v/>
      </c>
      <c r="J122" s="751"/>
      <c r="K122" s="751"/>
      <c r="L122" s="556">
        <f>F122*J122</f>
        <v>0</v>
      </c>
      <c r="M122" s="557">
        <f>F122*K122</f>
        <v>0</v>
      </c>
      <c r="N122" s="558" t="str">
        <f>IF((L122+M122)&lt;&gt;F122,"?","")</f>
        <v/>
      </c>
      <c r="O122" s="1404"/>
      <c r="P122" s="1430"/>
      <c r="Q122" s="1406"/>
      <c r="R122" s="1404"/>
      <c r="S122" s="514"/>
      <c r="T122" s="1404"/>
      <c r="U122" s="1404"/>
      <c r="V122" s="1432">
        <f>SUM(T122:U123)</f>
        <v>0</v>
      </c>
      <c r="W122" s="1432">
        <f>F122-V122</f>
        <v>0</v>
      </c>
      <c r="X122" s="1404"/>
      <c r="Y122" s="1430"/>
      <c r="Z122" s="1406"/>
      <c r="AA122" s="1404"/>
      <c r="AB122" s="295"/>
      <c r="AC122" s="336"/>
      <c r="AD122" s="1410"/>
      <c r="AE122" s="1420"/>
      <c r="AF122" s="1408"/>
      <c r="AG122" s="1418">
        <f>SUM(AE122:AF123)</f>
        <v>0</v>
      </c>
      <c r="AH122" s="1410"/>
      <c r="AI122" s="1420"/>
      <c r="AJ122" s="1408"/>
      <c r="AK122" s="1418">
        <f>SUM(AI122:AJ123)</f>
        <v>0</v>
      </c>
      <c r="AL122" s="1412"/>
      <c r="AM122" s="1420"/>
      <c r="AN122" s="1408"/>
      <c r="AO122" s="1418">
        <f>SUM(AM122:AN123)</f>
        <v>0</v>
      </c>
      <c r="AP122" s="1428">
        <f>SUM(F122,AD122,AH122,AL122)</f>
        <v>0</v>
      </c>
      <c r="AQ122" s="1416">
        <f t="shared" ref="AQ122:AQ167" si="105">SUM(AO122,AK122,AG122,V122)</f>
        <v>0</v>
      </c>
      <c r="AR122" s="1414">
        <f t="shared" ref="AR122:AR167" si="106">AP122-AQ122</f>
        <v>0</v>
      </c>
      <c r="AS122" s="310"/>
      <c r="AT122" s="310"/>
      <c r="AU122" s="393">
        <f>IF(AV123=TRUE,G122*0.8,G122)</f>
        <v>1458.3731635405879</v>
      </c>
      <c r="AV122" s="383"/>
      <c r="AW122" s="312">
        <f t="shared" si="91"/>
        <v>1750.0477962487055</v>
      </c>
      <c r="AX122" s="312">
        <f t="shared" si="92"/>
        <v>1895.8851126027644</v>
      </c>
      <c r="AY122" s="312"/>
      <c r="AZ122" s="312"/>
      <c r="BA122" s="312"/>
      <c r="BB122" s="196" t="s">
        <v>615</v>
      </c>
      <c r="BC122" s="196" t="s">
        <v>716</v>
      </c>
      <c r="BD122" s="313"/>
      <c r="BE122" s="313"/>
      <c r="BF122" s="313"/>
      <c r="BG122" s="313"/>
      <c r="BH122" s="313"/>
      <c r="BI122" s="313"/>
      <c r="BJ122" s="313"/>
      <c r="BK122" s="313"/>
      <c r="BL122" s="313"/>
      <c r="BM122" s="313"/>
      <c r="BN122" s="313"/>
      <c r="BO122" s="313"/>
      <c r="BP122" s="313"/>
      <c r="BQ122" s="313"/>
      <c r="BR122" s="313"/>
      <c r="BS122" s="313"/>
      <c r="BT122" s="313"/>
      <c r="BU122" s="313"/>
      <c r="BV122" s="313"/>
      <c r="BW122" s="313"/>
      <c r="BX122" s="313"/>
      <c r="BY122" s="313"/>
      <c r="BZ122" s="313"/>
      <c r="CA122" s="313"/>
      <c r="CB122" s="313"/>
      <c r="CC122" s="313"/>
      <c r="CD122" s="313"/>
      <c r="CE122" s="313"/>
    </row>
    <row r="123" spans="1:83" s="101" customFormat="1" ht="12.75" customHeight="1" x14ac:dyDescent="0.2">
      <c r="A123" s="1097"/>
      <c r="B123" s="1098" t="str">
        <f>IF(Stammblatt!$L$4=1,'Kalkulation Herstellungskosten'!BB123,'Kalkulation Herstellungskosten'!BC123)</f>
        <v xml:space="preserve">Wochenpauschale (§ 7 KV) </v>
      </c>
      <c r="C123" s="94">
        <v>0</v>
      </c>
      <c r="D123" s="386"/>
      <c r="E123" s="95"/>
      <c r="F123" s="1435"/>
      <c r="G123" s="96">
        <f>IF(Stammblatt!$I$9=TRUE,Kollektivvertrag!$E$60,Kollektivvertrag!E54)</f>
        <v>2019.8468315037142</v>
      </c>
      <c r="H123" s="842" t="str">
        <f t="shared" si="103"/>
        <v/>
      </c>
      <c r="I123" s="849" t="str">
        <f t="shared" si="104"/>
        <v/>
      </c>
      <c r="J123" s="747"/>
      <c r="K123" s="748"/>
      <c r="L123" s="359"/>
      <c r="M123" s="359"/>
      <c r="N123" s="334"/>
      <c r="O123" s="1405"/>
      <c r="P123" s="1431"/>
      <c r="Q123" s="1407"/>
      <c r="R123" s="1405"/>
      <c r="S123" s="514"/>
      <c r="T123" s="1405"/>
      <c r="U123" s="1405"/>
      <c r="V123" s="1433"/>
      <c r="W123" s="1433"/>
      <c r="X123" s="1405"/>
      <c r="Y123" s="1431"/>
      <c r="Z123" s="1407"/>
      <c r="AA123" s="1405"/>
      <c r="AB123" s="295"/>
      <c r="AC123" s="336"/>
      <c r="AD123" s="1411"/>
      <c r="AE123" s="1421"/>
      <c r="AF123" s="1409"/>
      <c r="AG123" s="1419"/>
      <c r="AH123" s="1411"/>
      <c r="AI123" s="1421"/>
      <c r="AJ123" s="1409"/>
      <c r="AK123" s="1419"/>
      <c r="AL123" s="1413"/>
      <c r="AM123" s="1421"/>
      <c r="AN123" s="1409"/>
      <c r="AO123" s="1419"/>
      <c r="AP123" s="1429"/>
      <c r="AQ123" s="1417">
        <f t="shared" si="105"/>
        <v>0</v>
      </c>
      <c r="AR123" s="1415">
        <f t="shared" si="106"/>
        <v>0</v>
      </c>
      <c r="AS123" s="310"/>
      <c r="AT123" s="310"/>
      <c r="AU123" s="393">
        <f>IF(AV123=TRUE,G123*0.8,G123)</f>
        <v>2019.8468315037142</v>
      </c>
      <c r="AV123" s="383" t="b">
        <v>0</v>
      </c>
      <c r="AW123" s="312">
        <f t="shared" si="91"/>
        <v>2423.8161978044568</v>
      </c>
      <c r="AX123" s="312">
        <f t="shared" si="92"/>
        <v>2625.8008809548287</v>
      </c>
      <c r="AY123" s="312"/>
      <c r="AZ123" s="312"/>
      <c r="BA123" s="315"/>
      <c r="BB123" s="196" t="s">
        <v>45</v>
      </c>
      <c r="BC123" s="196" t="s">
        <v>1024</v>
      </c>
      <c r="BD123" s="313"/>
      <c r="BE123" s="313"/>
      <c r="BF123" s="313"/>
      <c r="BG123" s="313"/>
      <c r="BH123" s="313"/>
      <c r="BI123" s="313"/>
      <c r="BJ123" s="313"/>
      <c r="BK123" s="313"/>
      <c r="BL123" s="313"/>
      <c r="BM123" s="313"/>
      <c r="BN123" s="313"/>
      <c r="BO123" s="313"/>
      <c r="BP123" s="313"/>
      <c r="BQ123" s="313"/>
      <c r="BR123" s="313"/>
      <c r="BS123" s="313"/>
      <c r="BT123" s="313"/>
      <c r="BU123" s="313"/>
      <c r="BV123" s="313"/>
      <c r="BW123" s="313"/>
      <c r="BX123" s="313"/>
      <c r="BY123" s="313"/>
      <c r="BZ123" s="313"/>
      <c r="CA123" s="313"/>
      <c r="CB123" s="313"/>
      <c r="CC123" s="313"/>
      <c r="CD123" s="313"/>
      <c r="CE123" s="313"/>
    </row>
    <row r="124" spans="1:83" s="101" customFormat="1" ht="12.75" customHeight="1" x14ac:dyDescent="0.2">
      <c r="A124" s="1100">
        <v>59</v>
      </c>
      <c r="B124" s="1096" t="str">
        <f>IF(Stammblatt!$L$4=1,'Kalkulation Herstellungskosten'!BB124,'Kalkulation Herstellungskosten'!BC124)</f>
        <v>Chefmaskenbildner*in</v>
      </c>
      <c r="C124" s="99">
        <v>0</v>
      </c>
      <c r="D124" s="391"/>
      <c r="E124" s="103"/>
      <c r="F124" s="1434">
        <f>C124*E124+C125*E125</f>
        <v>0</v>
      </c>
      <c r="G124" s="100">
        <f ca="1">IF(AND(Stammblatt!$I$9=TRUE,GHSTK&lt;=1220000),Kollektivvertrag!$C$60,IF(AND(Stammblatt!$I$9=TRUE,GHSTK&lt;=1570000),Kollektivvertrag!C47/2,Kollektivvertrag!C47))</f>
        <v>1862.4583516294156</v>
      </c>
      <c r="H124" s="841" t="str">
        <f t="shared" ca="1" si="103"/>
        <v/>
      </c>
      <c r="I124" s="848" t="str">
        <f t="shared" si="104"/>
        <v/>
      </c>
      <c r="J124" s="751"/>
      <c r="K124" s="751"/>
      <c r="L124" s="556">
        <f>F124*J124</f>
        <v>0</v>
      </c>
      <c r="M124" s="557">
        <f>F124*K124</f>
        <v>0</v>
      </c>
      <c r="N124" s="558" t="str">
        <f>IF((L124+M124)&lt;&gt;F124,"?","")</f>
        <v/>
      </c>
      <c r="O124" s="1404"/>
      <c r="P124" s="1430"/>
      <c r="Q124" s="686"/>
      <c r="R124" s="685"/>
      <c r="S124" s="514"/>
      <c r="T124" s="1404"/>
      <c r="U124" s="1404"/>
      <c r="V124" s="1432">
        <f>SUM(T124:U125)</f>
        <v>0</v>
      </c>
      <c r="W124" s="1432">
        <f>F124-V124</f>
        <v>0</v>
      </c>
      <c r="X124" s="1404"/>
      <c r="Y124" s="1430"/>
      <c r="Z124" s="1406"/>
      <c r="AA124" s="1404"/>
      <c r="AB124" s="295"/>
      <c r="AC124" s="336"/>
      <c r="AD124" s="1410"/>
      <c r="AE124" s="1420"/>
      <c r="AF124" s="1408"/>
      <c r="AG124" s="1418">
        <f>SUM(AE124:AF125)</f>
        <v>0</v>
      </c>
      <c r="AH124" s="1410"/>
      <c r="AI124" s="1420"/>
      <c r="AJ124" s="1408"/>
      <c r="AK124" s="1418">
        <f>SUM(AI124:AJ125)</f>
        <v>0</v>
      </c>
      <c r="AL124" s="1412"/>
      <c r="AM124" s="1420"/>
      <c r="AN124" s="1408"/>
      <c r="AO124" s="1418">
        <f>SUM(AM124:AN125)</f>
        <v>0</v>
      </c>
      <c r="AP124" s="1428">
        <f>SUM(F124,AD124,AH124,AL124)</f>
        <v>0</v>
      </c>
      <c r="AQ124" s="1416">
        <f t="shared" si="105"/>
        <v>0</v>
      </c>
      <c r="AR124" s="1414">
        <f t="shared" si="106"/>
        <v>0</v>
      </c>
      <c r="AS124" s="310"/>
      <c r="AT124" s="310"/>
      <c r="AU124" s="393">
        <f ca="1">IF(AV125=TRUE,G124*0.8,G124)</f>
        <v>1862.4583516294156</v>
      </c>
      <c r="AV124" s="383"/>
      <c r="AW124" s="312">
        <f t="shared" ref="AW124:AW125" ca="1" si="107">G124*1.2</f>
        <v>2234.9500219552988</v>
      </c>
      <c r="AX124" s="312">
        <f t="shared" ref="AX124:AX125" ca="1" si="108">G124*1.3</f>
        <v>2421.1958571182404</v>
      </c>
      <c r="AY124" s="312"/>
      <c r="AZ124" s="312"/>
      <c r="BA124" s="315"/>
      <c r="BB124" s="196" t="s">
        <v>938</v>
      </c>
      <c r="BC124" s="196" t="s">
        <v>939</v>
      </c>
      <c r="BD124" s="313"/>
      <c r="BE124" s="313"/>
      <c r="BF124" s="313"/>
      <c r="BG124" s="313"/>
      <c r="BH124" s="313"/>
      <c r="BI124" s="313"/>
      <c r="BJ124" s="313"/>
      <c r="BK124" s="313"/>
      <c r="BL124" s="313"/>
      <c r="BM124" s="313"/>
      <c r="BN124" s="313"/>
      <c r="BO124" s="313"/>
      <c r="BP124" s="313"/>
      <c r="BQ124" s="313"/>
      <c r="BR124" s="313"/>
      <c r="BS124" s="313"/>
      <c r="BT124" s="313"/>
      <c r="BU124" s="313"/>
      <c r="BV124" s="313"/>
      <c r="BW124" s="313"/>
      <c r="BX124" s="313"/>
      <c r="BY124" s="313"/>
      <c r="BZ124" s="313"/>
      <c r="CA124" s="313"/>
      <c r="CB124" s="313"/>
      <c r="CC124" s="313"/>
      <c r="CD124" s="313"/>
      <c r="CE124" s="313"/>
    </row>
    <row r="125" spans="1:83" s="101" customFormat="1" ht="12.75" customHeight="1" x14ac:dyDescent="0.2">
      <c r="A125" s="1100"/>
      <c r="B125" s="1098" t="str">
        <f>IF(Stammblatt!$L$4=1,'Kalkulation Herstellungskosten'!BB125,'Kalkulation Herstellungskosten'!BC125)</f>
        <v xml:space="preserve">Wochenpauschale (§ 7 KV) </v>
      </c>
      <c r="C125" s="94">
        <v>0</v>
      </c>
      <c r="D125" s="391"/>
      <c r="E125" s="95"/>
      <c r="F125" s="1435"/>
      <c r="G125" s="96">
        <f ca="1">IF(AND(Stammblatt!$I$9=TRUE,GHSTK&lt;=1220000),Kollektivvertrag!$E$60,IF(AND(Stammblatt!$I$9=TRUE,GHSTK&lt;=1570000),Kollektivvertrag!E47/2,Kollektivvertrag!E47))</f>
        <v>2579.5048170067407</v>
      </c>
      <c r="H125" s="842" t="str">
        <f t="shared" ca="1" si="103"/>
        <v/>
      </c>
      <c r="I125" s="849" t="str">
        <f t="shared" si="104"/>
        <v/>
      </c>
      <c r="J125" s="747"/>
      <c r="K125" s="748"/>
      <c r="L125" s="359"/>
      <c r="M125" s="359"/>
      <c r="N125" s="334"/>
      <c r="O125" s="1405"/>
      <c r="P125" s="1431"/>
      <c r="Q125" s="686"/>
      <c r="R125" s="685"/>
      <c r="S125" s="514"/>
      <c r="T125" s="1405"/>
      <c r="U125" s="1405"/>
      <c r="V125" s="1433"/>
      <c r="W125" s="1433"/>
      <c r="X125" s="1405"/>
      <c r="Y125" s="1431"/>
      <c r="Z125" s="1407"/>
      <c r="AA125" s="1405"/>
      <c r="AB125" s="295"/>
      <c r="AC125" s="336"/>
      <c r="AD125" s="1411"/>
      <c r="AE125" s="1421"/>
      <c r="AF125" s="1409"/>
      <c r="AG125" s="1419"/>
      <c r="AH125" s="1411"/>
      <c r="AI125" s="1421"/>
      <c r="AJ125" s="1409"/>
      <c r="AK125" s="1419"/>
      <c r="AL125" s="1413"/>
      <c r="AM125" s="1421"/>
      <c r="AN125" s="1409"/>
      <c r="AO125" s="1419"/>
      <c r="AP125" s="1429"/>
      <c r="AQ125" s="1417">
        <f t="shared" si="105"/>
        <v>0</v>
      </c>
      <c r="AR125" s="1415">
        <f t="shared" si="106"/>
        <v>0</v>
      </c>
      <c r="AS125" s="310"/>
      <c r="AT125" s="310"/>
      <c r="AU125" s="393">
        <f ca="1">IF(AV125=TRUE,G125*0.8,G125)</f>
        <v>2579.5048170067407</v>
      </c>
      <c r="AV125" s="383" t="b">
        <v>0</v>
      </c>
      <c r="AW125" s="312">
        <f t="shared" ca="1" si="107"/>
        <v>3095.405780408089</v>
      </c>
      <c r="AX125" s="312">
        <f t="shared" ca="1" si="108"/>
        <v>3353.3562621087631</v>
      </c>
      <c r="AY125" s="312"/>
      <c r="AZ125" s="312"/>
      <c r="BA125" s="315"/>
      <c r="BB125" s="196" t="s">
        <v>45</v>
      </c>
      <c r="BC125" s="196" t="s">
        <v>1024</v>
      </c>
      <c r="BD125" s="313"/>
      <c r="BE125" s="313"/>
      <c r="BF125" s="313"/>
      <c r="BG125" s="313"/>
      <c r="BH125" s="313"/>
      <c r="BI125" s="313"/>
      <c r="BJ125" s="313"/>
      <c r="BK125" s="313"/>
      <c r="BL125" s="313"/>
      <c r="BM125" s="313"/>
      <c r="BN125" s="313"/>
      <c r="BO125" s="313"/>
      <c r="BP125" s="313"/>
      <c r="BQ125" s="313"/>
      <c r="BR125" s="313"/>
      <c r="BS125" s="313"/>
      <c r="BT125" s="313"/>
      <c r="BU125" s="313"/>
      <c r="BV125" s="313"/>
      <c r="BW125" s="313"/>
      <c r="BX125" s="313"/>
      <c r="BY125" s="313"/>
      <c r="BZ125" s="313"/>
      <c r="CA125" s="313"/>
      <c r="CB125" s="313"/>
      <c r="CC125" s="313"/>
      <c r="CD125" s="313"/>
      <c r="CE125" s="313"/>
    </row>
    <row r="126" spans="1:83" s="101" customFormat="1" ht="12.75" customHeight="1" x14ac:dyDescent="0.2">
      <c r="A126" s="1099">
        <v>60</v>
      </c>
      <c r="B126" s="1096" t="str">
        <f>IF(Stammblatt!$L$4=1,'Kalkulation Herstellungskosten'!BB126,'Kalkulation Herstellungskosten'!BC126)</f>
        <v>Maskenbildner*in</v>
      </c>
      <c r="C126" s="99">
        <v>0</v>
      </c>
      <c r="D126" s="385"/>
      <c r="E126" s="103"/>
      <c r="F126" s="1434">
        <f>C126*E126+C127*E127</f>
        <v>0</v>
      </c>
      <c r="G126" s="100">
        <f ca="1">IF(AND(Stammblatt!$I$9=TRUE,GHSTK&lt;=1220000),Kollektivvertrag!$C$60,IF(AND(Stammblatt!$I$9=TRUE,GHSTK&lt;=1570000),Kollektivvertrag!C48/2,Kollektivvertrag!C48))</f>
        <v>1727.5418107708422</v>
      </c>
      <c r="H126" s="841" t="str">
        <f t="shared" ca="1" si="103"/>
        <v/>
      </c>
      <c r="I126" s="848" t="str">
        <f t="shared" si="104"/>
        <v/>
      </c>
      <c r="J126" s="751"/>
      <c r="K126" s="751"/>
      <c r="L126" s="556">
        <f>F126*J126</f>
        <v>0</v>
      </c>
      <c r="M126" s="557">
        <f>F126*K126</f>
        <v>0</v>
      </c>
      <c r="N126" s="558" t="str">
        <f>IF((L126+M126)&lt;&gt;F126,"?","")</f>
        <v/>
      </c>
      <c r="O126" s="1404"/>
      <c r="P126" s="1430"/>
      <c r="Q126" s="1406"/>
      <c r="R126" s="1404"/>
      <c r="S126" s="514"/>
      <c r="T126" s="1404"/>
      <c r="U126" s="1404"/>
      <c r="V126" s="1432">
        <f>SUM(T126:U127)</f>
        <v>0</v>
      </c>
      <c r="W126" s="1432">
        <f>F126-V126</f>
        <v>0</v>
      </c>
      <c r="X126" s="1404"/>
      <c r="Y126" s="1430"/>
      <c r="Z126" s="1406"/>
      <c r="AA126" s="1404"/>
      <c r="AB126" s="295"/>
      <c r="AC126" s="336"/>
      <c r="AD126" s="1410"/>
      <c r="AE126" s="1420"/>
      <c r="AF126" s="1408"/>
      <c r="AG126" s="1418">
        <f>SUM(AE126:AF127)</f>
        <v>0</v>
      </c>
      <c r="AH126" s="1410"/>
      <c r="AI126" s="1420"/>
      <c r="AJ126" s="1408"/>
      <c r="AK126" s="1418">
        <f>SUM(AI126:AJ127)</f>
        <v>0</v>
      </c>
      <c r="AL126" s="1412"/>
      <c r="AM126" s="1420"/>
      <c r="AN126" s="1408"/>
      <c r="AO126" s="1418">
        <f>SUM(AM126:AN127)</f>
        <v>0</v>
      </c>
      <c r="AP126" s="1428">
        <f>SUM(F126,AD126,AH126,AL126)</f>
        <v>0</v>
      </c>
      <c r="AQ126" s="1416">
        <f t="shared" si="105"/>
        <v>0</v>
      </c>
      <c r="AR126" s="1414">
        <f t="shared" si="106"/>
        <v>0</v>
      </c>
      <c r="AS126" s="310"/>
      <c r="AT126" s="310"/>
      <c r="AU126" s="393">
        <f ca="1">IF(AV127=TRUE,G126*0.8,G126)</f>
        <v>1727.5418107708422</v>
      </c>
      <c r="AV126" s="383"/>
      <c r="AW126" s="312">
        <f t="shared" ca="1" si="91"/>
        <v>2073.0501729250104</v>
      </c>
      <c r="AX126" s="312">
        <f t="shared" ca="1" si="92"/>
        <v>2245.8043540020949</v>
      </c>
      <c r="AY126" s="312"/>
      <c r="AZ126" s="312"/>
      <c r="BA126" s="312"/>
      <c r="BB126" s="196" t="s">
        <v>942</v>
      </c>
      <c r="BC126" s="196" t="s">
        <v>940</v>
      </c>
      <c r="BD126" s="313"/>
      <c r="BE126" s="313"/>
      <c r="BF126" s="313"/>
      <c r="BG126" s="313"/>
      <c r="BH126" s="313"/>
      <c r="BI126" s="313"/>
      <c r="BJ126" s="313"/>
      <c r="BK126" s="313"/>
      <c r="BL126" s="313"/>
      <c r="BM126" s="313"/>
      <c r="BN126" s="313"/>
      <c r="BO126" s="313"/>
      <c r="BP126" s="313"/>
      <c r="BQ126" s="313"/>
      <c r="BR126" s="313"/>
      <c r="BS126" s="313"/>
      <c r="BT126" s="313"/>
      <c r="BU126" s="313"/>
      <c r="BV126" s="313"/>
      <c r="BW126" s="313"/>
      <c r="BX126" s="313"/>
      <c r="BY126" s="313"/>
      <c r="BZ126" s="313"/>
      <c r="CA126" s="313"/>
      <c r="CB126" s="313"/>
      <c r="CC126" s="313"/>
      <c r="CD126" s="313"/>
      <c r="CE126" s="313"/>
    </row>
    <row r="127" spans="1:83" s="101" customFormat="1" ht="12.75" customHeight="1" x14ac:dyDescent="0.2">
      <c r="A127" s="1097"/>
      <c r="B127" s="1098" t="str">
        <f>IF(Stammblatt!$L$4=1,'Kalkulation Herstellungskosten'!BB127,'Kalkulation Herstellungskosten'!BC127)</f>
        <v xml:space="preserve">Wochenpauschale (§ 7 KV) </v>
      </c>
      <c r="C127" s="94">
        <v>0</v>
      </c>
      <c r="D127" s="386"/>
      <c r="E127" s="95"/>
      <c r="F127" s="1435"/>
      <c r="G127" s="96">
        <f ca="1">IF(AND(Stammblatt!$I$9=TRUE,GHSTK&lt;=1220000),Kollektivvertrag!$E$60,IF(AND(Stammblatt!$I$9=TRUE,GHSTK&lt;=1570000),Kollektivvertrag!E48/2,Kollektivvertrag!E48))</f>
        <v>2392.6454079176165</v>
      </c>
      <c r="H127" s="842" t="str">
        <f t="shared" ca="1" si="103"/>
        <v/>
      </c>
      <c r="I127" s="849" t="str">
        <f t="shared" si="104"/>
        <v/>
      </c>
      <c r="J127" s="747"/>
      <c r="K127" s="748"/>
      <c r="L127" s="359"/>
      <c r="M127" s="359"/>
      <c r="N127" s="334"/>
      <c r="O127" s="1405"/>
      <c r="P127" s="1431"/>
      <c r="Q127" s="1407"/>
      <c r="R127" s="1405"/>
      <c r="S127" s="514"/>
      <c r="T127" s="1405"/>
      <c r="U127" s="1405"/>
      <c r="V127" s="1433"/>
      <c r="W127" s="1433"/>
      <c r="X127" s="1405"/>
      <c r="Y127" s="1431"/>
      <c r="Z127" s="1407"/>
      <c r="AA127" s="1405"/>
      <c r="AB127" s="295"/>
      <c r="AC127" s="336"/>
      <c r="AD127" s="1411"/>
      <c r="AE127" s="1421"/>
      <c r="AF127" s="1409"/>
      <c r="AG127" s="1419"/>
      <c r="AH127" s="1411"/>
      <c r="AI127" s="1421"/>
      <c r="AJ127" s="1409"/>
      <c r="AK127" s="1419"/>
      <c r="AL127" s="1413"/>
      <c r="AM127" s="1421"/>
      <c r="AN127" s="1409"/>
      <c r="AO127" s="1419"/>
      <c r="AP127" s="1429"/>
      <c r="AQ127" s="1417">
        <f t="shared" si="105"/>
        <v>0</v>
      </c>
      <c r="AR127" s="1415">
        <f t="shared" si="106"/>
        <v>0</v>
      </c>
      <c r="AS127" s="310"/>
      <c r="AT127" s="310"/>
      <c r="AU127" s="393">
        <f ca="1">IF(AV127=TRUE,G127*0.8,G127)</f>
        <v>2392.6454079176165</v>
      </c>
      <c r="AV127" s="383" t="b">
        <v>0</v>
      </c>
      <c r="AW127" s="312">
        <f t="shared" ref="AW127:AW167" ca="1" si="109">G127*1.2</f>
        <v>2871.1744895011398</v>
      </c>
      <c r="AX127" s="312">
        <f t="shared" ref="AX127:AX167" ca="1" si="110">G127*1.3</f>
        <v>3110.4390302929014</v>
      </c>
      <c r="AY127" s="312"/>
      <c r="AZ127" s="312"/>
      <c r="BA127" s="315"/>
      <c r="BB127" s="196" t="s">
        <v>45</v>
      </c>
      <c r="BC127" s="196" t="s">
        <v>1024</v>
      </c>
      <c r="BD127" s="313"/>
      <c r="BE127" s="313"/>
      <c r="BF127" s="313"/>
      <c r="BG127" s="313"/>
      <c r="BH127" s="313"/>
      <c r="BI127" s="313"/>
      <c r="BJ127" s="313"/>
      <c r="BK127" s="313"/>
      <c r="BL127" s="313"/>
      <c r="BM127" s="313"/>
      <c r="BN127" s="313"/>
      <c r="BO127" s="313"/>
      <c r="BP127" s="313"/>
      <c r="BQ127" s="313"/>
      <c r="BR127" s="313"/>
      <c r="BS127" s="313"/>
      <c r="BT127" s="313"/>
      <c r="BU127" s="313"/>
      <c r="BV127" s="313"/>
      <c r="BW127" s="313"/>
      <c r="BX127" s="313"/>
      <c r="BY127" s="313"/>
      <c r="BZ127" s="313"/>
      <c r="CA127" s="313"/>
      <c r="CB127" s="313"/>
      <c r="CC127" s="313"/>
      <c r="CD127" s="313"/>
      <c r="CE127" s="313"/>
    </row>
    <row r="128" spans="1:83" s="101" customFormat="1" ht="12.75" customHeight="1" x14ac:dyDescent="0.2">
      <c r="A128" s="1099">
        <v>61</v>
      </c>
      <c r="B128" s="1096" t="str">
        <f>IF(Stammblatt!$L$4=1,'Kalkulation Herstellungskosten'!BB128,'Kalkulation Herstellungskosten'!BC128)</f>
        <v>Maskenbildner*in</v>
      </c>
      <c r="C128" s="99">
        <v>0</v>
      </c>
      <c r="D128" s="385"/>
      <c r="E128" s="103"/>
      <c r="F128" s="1434">
        <f>C128*E128+C129*E129</f>
        <v>0</v>
      </c>
      <c r="G128" s="100">
        <f ca="1">IF(AND(Stammblatt!$I$9=TRUE,GHSTK&lt;=1220000),Kollektivvertrag!$C$60,IF(AND(Stammblatt!$I$9=TRUE,GHSTK&lt;=1570000),Kollektivvertrag!C48/2,Kollektivvertrag!C48))</f>
        <v>1727.5418107708422</v>
      </c>
      <c r="H128" s="841" t="str">
        <f t="shared" ca="1" si="103"/>
        <v/>
      </c>
      <c r="I128" s="848" t="str">
        <f t="shared" si="104"/>
        <v/>
      </c>
      <c r="J128" s="751"/>
      <c r="K128" s="751"/>
      <c r="L128" s="556">
        <f>F128*J128</f>
        <v>0</v>
      </c>
      <c r="M128" s="557">
        <f>F128*K128</f>
        <v>0</v>
      </c>
      <c r="N128" s="558" t="str">
        <f>IF((L128+M128)&lt;&gt;F128,"?","")</f>
        <v/>
      </c>
      <c r="O128" s="1404"/>
      <c r="P128" s="1430"/>
      <c r="Q128" s="1406"/>
      <c r="R128" s="1404"/>
      <c r="S128" s="514"/>
      <c r="T128" s="1404"/>
      <c r="U128" s="1404"/>
      <c r="V128" s="1432">
        <f>SUM(T128:U129)</f>
        <v>0</v>
      </c>
      <c r="W128" s="1432">
        <f>F128-V128</f>
        <v>0</v>
      </c>
      <c r="X128" s="1404"/>
      <c r="Y128" s="1430"/>
      <c r="Z128" s="1406"/>
      <c r="AA128" s="1404"/>
      <c r="AB128" s="295"/>
      <c r="AC128" s="336"/>
      <c r="AD128" s="1410"/>
      <c r="AE128" s="1420"/>
      <c r="AF128" s="1408"/>
      <c r="AG128" s="1418">
        <f>SUM(AE128:AF129)</f>
        <v>0</v>
      </c>
      <c r="AH128" s="1410"/>
      <c r="AI128" s="1420"/>
      <c r="AJ128" s="1408"/>
      <c r="AK128" s="1418">
        <f>SUM(AI128:AJ129)</f>
        <v>0</v>
      </c>
      <c r="AL128" s="1412"/>
      <c r="AM128" s="1420"/>
      <c r="AN128" s="1408"/>
      <c r="AO128" s="1418">
        <f>SUM(AM128:AN129)</f>
        <v>0</v>
      </c>
      <c r="AP128" s="1428">
        <f>SUM(F128,AD128,AH128,AL128)</f>
        <v>0</v>
      </c>
      <c r="AQ128" s="1416">
        <f t="shared" si="105"/>
        <v>0</v>
      </c>
      <c r="AR128" s="1414">
        <f t="shared" si="106"/>
        <v>0</v>
      </c>
      <c r="AS128" s="310"/>
      <c r="AT128" s="310"/>
      <c r="AU128" s="393">
        <f ca="1">IF(AV129=TRUE,G128*0.8,G128)</f>
        <v>1727.5418107708422</v>
      </c>
      <c r="AV128" s="383"/>
      <c r="AW128" s="312">
        <f t="shared" ca="1" si="109"/>
        <v>2073.0501729250104</v>
      </c>
      <c r="AX128" s="312">
        <f t="shared" ca="1" si="110"/>
        <v>2245.8043540020949</v>
      </c>
      <c r="AY128" s="312"/>
      <c r="AZ128" s="312"/>
      <c r="BA128" s="312"/>
      <c r="BB128" s="196" t="s">
        <v>942</v>
      </c>
      <c r="BC128" s="196" t="s">
        <v>940</v>
      </c>
      <c r="BD128" s="313"/>
      <c r="BE128" s="313"/>
      <c r="BF128" s="313"/>
      <c r="BG128" s="313"/>
      <c r="BH128" s="313"/>
      <c r="BI128" s="313"/>
      <c r="BJ128" s="313"/>
      <c r="BK128" s="313"/>
      <c r="BL128" s="313"/>
      <c r="BM128" s="313"/>
      <c r="BN128" s="313"/>
      <c r="BO128" s="313"/>
      <c r="BP128" s="313"/>
      <c r="BQ128" s="313"/>
      <c r="BR128" s="313"/>
      <c r="BS128" s="313"/>
      <c r="BT128" s="313"/>
      <c r="BU128" s="313"/>
      <c r="BV128" s="313"/>
      <c r="BW128" s="313"/>
      <c r="BX128" s="313"/>
      <c r="BY128" s="313"/>
      <c r="BZ128" s="313"/>
      <c r="CA128" s="313"/>
      <c r="CB128" s="313"/>
      <c r="CC128" s="313"/>
      <c r="CD128" s="313"/>
      <c r="CE128" s="313"/>
    </row>
    <row r="129" spans="1:83" s="101" customFormat="1" ht="12.75" customHeight="1" x14ac:dyDescent="0.2">
      <c r="A129" s="1097"/>
      <c r="B129" s="1098" t="str">
        <f>IF(Stammblatt!$L$4=1,'Kalkulation Herstellungskosten'!BB129,'Kalkulation Herstellungskosten'!BC129)</f>
        <v xml:space="preserve">Wochenpauschale (§ 7 KV) </v>
      </c>
      <c r="C129" s="94">
        <v>0</v>
      </c>
      <c r="D129" s="386"/>
      <c r="E129" s="95"/>
      <c r="F129" s="1435"/>
      <c r="G129" s="96">
        <f ca="1">IF(AND(Stammblatt!$I$9=TRUE,GHSTK&lt;=1220000),Kollektivvertrag!$E$60,IF(AND(Stammblatt!$I$9=TRUE,GHSTK&lt;=1570000),Kollektivvertrag!E48/2,Kollektivvertrag!E48))</f>
        <v>2392.6454079176165</v>
      </c>
      <c r="H129" s="842" t="str">
        <f t="shared" ca="1" si="103"/>
        <v/>
      </c>
      <c r="I129" s="849" t="str">
        <f t="shared" si="104"/>
        <v/>
      </c>
      <c r="J129" s="747"/>
      <c r="K129" s="748"/>
      <c r="L129" s="359"/>
      <c r="M129" s="359"/>
      <c r="N129" s="334"/>
      <c r="O129" s="1405"/>
      <c r="P129" s="1431"/>
      <c r="Q129" s="1407"/>
      <c r="R129" s="1405"/>
      <c r="S129" s="514"/>
      <c r="T129" s="1405"/>
      <c r="U129" s="1405"/>
      <c r="V129" s="1433"/>
      <c r="W129" s="1433"/>
      <c r="X129" s="1405"/>
      <c r="Y129" s="1431"/>
      <c r="Z129" s="1407"/>
      <c r="AA129" s="1405"/>
      <c r="AB129" s="295"/>
      <c r="AC129" s="336"/>
      <c r="AD129" s="1411"/>
      <c r="AE129" s="1421"/>
      <c r="AF129" s="1409"/>
      <c r="AG129" s="1419"/>
      <c r="AH129" s="1411"/>
      <c r="AI129" s="1421"/>
      <c r="AJ129" s="1409"/>
      <c r="AK129" s="1419"/>
      <c r="AL129" s="1413"/>
      <c r="AM129" s="1421"/>
      <c r="AN129" s="1409"/>
      <c r="AO129" s="1419"/>
      <c r="AP129" s="1429"/>
      <c r="AQ129" s="1417">
        <f t="shared" si="105"/>
        <v>0</v>
      </c>
      <c r="AR129" s="1415">
        <f t="shared" si="106"/>
        <v>0</v>
      </c>
      <c r="AS129" s="310"/>
      <c r="AT129" s="310"/>
      <c r="AU129" s="393">
        <f ca="1">IF(AV129=TRUE,G129*0.8,G129)</f>
        <v>2392.6454079176165</v>
      </c>
      <c r="AV129" s="383" t="b">
        <v>0</v>
      </c>
      <c r="AW129" s="312">
        <f t="shared" ca="1" si="109"/>
        <v>2871.1744895011398</v>
      </c>
      <c r="AX129" s="312">
        <f t="shared" ca="1" si="110"/>
        <v>3110.4390302929014</v>
      </c>
      <c r="AY129" s="312"/>
      <c r="AZ129" s="312"/>
      <c r="BA129" s="315"/>
      <c r="BB129" s="196" t="s">
        <v>45</v>
      </c>
      <c r="BC129" s="196" t="s">
        <v>1024</v>
      </c>
      <c r="BD129" s="313"/>
      <c r="BE129" s="313"/>
      <c r="BF129" s="313"/>
      <c r="BG129" s="313"/>
      <c r="BH129" s="313"/>
      <c r="BI129" s="313"/>
      <c r="BJ129" s="313"/>
      <c r="BK129" s="313"/>
      <c r="BL129" s="313"/>
      <c r="BM129" s="313"/>
      <c r="BN129" s="313"/>
      <c r="BO129" s="313"/>
      <c r="BP129" s="313"/>
      <c r="BQ129" s="313"/>
      <c r="BR129" s="313"/>
      <c r="BS129" s="313"/>
      <c r="BT129" s="313"/>
      <c r="BU129" s="313"/>
      <c r="BV129" s="313"/>
      <c r="BW129" s="313"/>
      <c r="BX129" s="313"/>
      <c r="BY129" s="313"/>
      <c r="BZ129" s="313"/>
      <c r="CA129" s="313"/>
      <c r="CB129" s="313"/>
      <c r="CC129" s="313"/>
      <c r="CD129" s="313"/>
      <c r="CE129" s="313"/>
    </row>
    <row r="130" spans="1:83" s="101" customFormat="1" ht="12.75" customHeight="1" x14ac:dyDescent="0.2">
      <c r="A130" s="1100">
        <v>62</v>
      </c>
      <c r="B130" s="1096" t="str">
        <f>IF(Stammblatt!$L$4=1,'Kalkulation Herstellungskosten'!BB130,'Kalkulation Herstellungskosten'!BC130)</f>
        <v>Junior Maskenbild</v>
      </c>
      <c r="C130" s="99">
        <v>0</v>
      </c>
      <c r="D130" s="385"/>
      <c r="E130" s="103"/>
      <c r="F130" s="1434">
        <f>C130*E130+C131*E131</f>
        <v>0</v>
      </c>
      <c r="G130" s="100">
        <f>IF(Stammblatt!$I$9=TRUE,Kollektivvertrag!$C$60,Kollektivvertrag!C70)</f>
        <v>888.72192768254502</v>
      </c>
      <c r="H130" s="841" t="str">
        <f t="shared" si="103"/>
        <v/>
      </c>
      <c r="I130" s="848" t="str">
        <f t="shared" si="104"/>
        <v/>
      </c>
      <c r="J130" s="751"/>
      <c r="K130" s="751"/>
      <c r="L130" s="556">
        <f>F130*J130</f>
        <v>0</v>
      </c>
      <c r="M130" s="557">
        <f>F130*K130</f>
        <v>0</v>
      </c>
      <c r="N130" s="558" t="str">
        <f>IF((L130+M130)&lt;&gt;F130,"?","")</f>
        <v/>
      </c>
      <c r="O130" s="1404"/>
      <c r="P130" s="1430"/>
      <c r="Q130" s="1406"/>
      <c r="R130" s="1404"/>
      <c r="S130" s="514"/>
      <c r="T130" s="1404"/>
      <c r="U130" s="1404"/>
      <c r="V130" s="1432">
        <f>SUM(T130:U131)</f>
        <v>0</v>
      </c>
      <c r="W130" s="1432">
        <f>F130-V130</f>
        <v>0</v>
      </c>
      <c r="X130" s="1404"/>
      <c r="Y130" s="1430"/>
      <c r="Z130" s="1406"/>
      <c r="AA130" s="1404"/>
      <c r="AB130" s="295"/>
      <c r="AC130" s="336"/>
      <c r="AD130" s="1410"/>
      <c r="AE130" s="1420"/>
      <c r="AF130" s="1408"/>
      <c r="AG130" s="1418">
        <f>SUM(AE130:AF131)</f>
        <v>0</v>
      </c>
      <c r="AH130" s="1410"/>
      <c r="AI130" s="1420"/>
      <c r="AJ130" s="1408"/>
      <c r="AK130" s="1418">
        <f>SUM(AI130:AJ131)</f>
        <v>0</v>
      </c>
      <c r="AL130" s="1412"/>
      <c r="AM130" s="1420"/>
      <c r="AN130" s="1408"/>
      <c r="AO130" s="1418">
        <f>SUM(AM130:AN131)</f>
        <v>0</v>
      </c>
      <c r="AP130" s="1428">
        <f>SUM(F130,AD130,AH130,AL130)</f>
        <v>0</v>
      </c>
      <c r="AQ130" s="1416">
        <f t="shared" si="105"/>
        <v>0</v>
      </c>
      <c r="AR130" s="1414">
        <f t="shared" si="106"/>
        <v>0</v>
      </c>
      <c r="AS130" s="310"/>
      <c r="AT130" s="310"/>
      <c r="AU130" s="393">
        <f>IF(AV131=TRUE,G130*0.8,G130)</f>
        <v>888.72192768254502</v>
      </c>
      <c r="AV130" s="383"/>
      <c r="AW130" s="312">
        <f t="shared" ref="AW130:AW131" si="111">G130*1.2</f>
        <v>1066.466313219054</v>
      </c>
      <c r="AX130" s="312">
        <f t="shared" ref="AX130:AX131" si="112">G130*1.3</f>
        <v>1155.3385059873085</v>
      </c>
      <c r="AY130" s="312"/>
      <c r="AZ130" s="312"/>
      <c r="BA130" s="315"/>
      <c r="BB130" s="196" t="s">
        <v>921</v>
      </c>
      <c r="BC130" s="196" t="s">
        <v>1031</v>
      </c>
      <c r="BD130" s="313"/>
      <c r="BE130" s="313"/>
      <c r="BF130" s="313"/>
      <c r="BG130" s="313"/>
      <c r="BH130" s="313"/>
      <c r="BI130" s="313"/>
      <c r="BJ130" s="313"/>
      <c r="BK130" s="313"/>
      <c r="BL130" s="313"/>
      <c r="BM130" s="313"/>
      <c r="BN130" s="313"/>
      <c r="BO130" s="313"/>
      <c r="BP130" s="313"/>
      <c r="BQ130" s="313"/>
      <c r="BR130" s="313"/>
      <c r="BS130" s="313"/>
      <c r="BT130" s="313"/>
      <c r="BU130" s="313"/>
      <c r="BV130" s="313"/>
      <c r="BW130" s="313"/>
      <c r="BX130" s="313"/>
      <c r="BY130" s="313"/>
      <c r="BZ130" s="313"/>
      <c r="CA130" s="313"/>
      <c r="CB130" s="313"/>
      <c r="CC130" s="313"/>
      <c r="CD130" s="313"/>
      <c r="CE130" s="313"/>
    </row>
    <row r="131" spans="1:83" s="101" customFormat="1" ht="12.75" customHeight="1" x14ac:dyDescent="0.2">
      <c r="A131" s="1100"/>
      <c r="B131" s="1098" t="str">
        <f>IF(Stammblatt!$L$4=1,'Kalkulation Herstellungskosten'!BB131,'Kalkulation Herstellungskosten'!BC131)</f>
        <v xml:space="preserve">Wochenpauschale (§ 7 KV) </v>
      </c>
      <c r="C131" s="94">
        <v>0</v>
      </c>
      <c r="D131" s="386"/>
      <c r="E131" s="95"/>
      <c r="F131" s="1435"/>
      <c r="G131" s="96">
        <f>IF(Stammblatt!$I$9=TRUE,Kollektivvertrag!$E$60,Kollektivvertrag!E70)</f>
        <v>1230.8798698403248</v>
      </c>
      <c r="H131" s="842" t="str">
        <f t="shared" si="103"/>
        <v/>
      </c>
      <c r="I131" s="849" t="str">
        <f t="shared" si="104"/>
        <v/>
      </c>
      <c r="J131" s="747"/>
      <c r="K131" s="748"/>
      <c r="L131" s="359"/>
      <c r="M131" s="359"/>
      <c r="N131" s="334"/>
      <c r="O131" s="1405"/>
      <c r="P131" s="1431"/>
      <c r="Q131" s="1407"/>
      <c r="R131" s="1405"/>
      <c r="S131" s="514"/>
      <c r="T131" s="1405"/>
      <c r="U131" s="1405"/>
      <c r="V131" s="1433"/>
      <c r="W131" s="1433"/>
      <c r="X131" s="1405"/>
      <c r="Y131" s="1431"/>
      <c r="Z131" s="1407"/>
      <c r="AA131" s="1405"/>
      <c r="AB131" s="295"/>
      <c r="AC131" s="336"/>
      <c r="AD131" s="1411"/>
      <c r="AE131" s="1421"/>
      <c r="AF131" s="1409"/>
      <c r="AG131" s="1419"/>
      <c r="AH131" s="1411"/>
      <c r="AI131" s="1421"/>
      <c r="AJ131" s="1409"/>
      <c r="AK131" s="1419"/>
      <c r="AL131" s="1413"/>
      <c r="AM131" s="1421"/>
      <c r="AN131" s="1409"/>
      <c r="AO131" s="1419"/>
      <c r="AP131" s="1429"/>
      <c r="AQ131" s="1417">
        <f t="shared" si="105"/>
        <v>0</v>
      </c>
      <c r="AR131" s="1415">
        <f t="shared" si="106"/>
        <v>0</v>
      </c>
      <c r="AS131" s="310"/>
      <c r="AT131" s="310"/>
      <c r="AU131" s="393">
        <f>IF(AV131=TRUE,G131*0.8,G131)</f>
        <v>1230.8798698403248</v>
      </c>
      <c r="AV131" s="383" t="b">
        <v>0</v>
      </c>
      <c r="AW131" s="312">
        <f t="shared" si="111"/>
        <v>1477.0558438083897</v>
      </c>
      <c r="AX131" s="312">
        <f t="shared" si="112"/>
        <v>1600.1438307924222</v>
      </c>
      <c r="AY131" s="312"/>
      <c r="AZ131" s="312"/>
      <c r="BA131" s="315"/>
      <c r="BB131" s="196" t="s">
        <v>45</v>
      </c>
      <c r="BC131" s="196" t="s">
        <v>1024</v>
      </c>
      <c r="BD131" s="313"/>
      <c r="BE131" s="313"/>
      <c r="BF131" s="313"/>
      <c r="BG131" s="313"/>
      <c r="BH131" s="313"/>
      <c r="BI131" s="313"/>
      <c r="BJ131" s="313"/>
      <c r="BK131" s="313"/>
      <c r="BL131" s="313"/>
      <c r="BM131" s="313"/>
      <c r="BN131" s="313"/>
      <c r="BO131" s="313"/>
      <c r="BP131" s="313"/>
      <c r="BQ131" s="313"/>
      <c r="BR131" s="313"/>
      <c r="BS131" s="313"/>
      <c r="BT131" s="313"/>
      <c r="BU131" s="313"/>
      <c r="BV131" s="313"/>
      <c r="BW131" s="313"/>
      <c r="BX131" s="313"/>
      <c r="BY131" s="313"/>
      <c r="BZ131" s="313"/>
      <c r="CA131" s="313"/>
      <c r="CB131" s="313"/>
      <c r="CC131" s="313"/>
      <c r="CD131" s="313"/>
      <c r="CE131" s="313"/>
    </row>
    <row r="132" spans="1:83" s="101" customFormat="1" ht="12.75" customHeight="1" x14ac:dyDescent="0.2">
      <c r="A132" s="1099">
        <v>63</v>
      </c>
      <c r="B132" s="1096" t="str">
        <f>IF(Stammblatt!$L$4=1,'Kalkulation Herstellungskosten'!BB132,'Kalkulation Herstellungskosten'!BC132)</f>
        <v>Maskenbildhilfe</v>
      </c>
      <c r="C132" s="99">
        <v>0</v>
      </c>
      <c r="D132" s="385"/>
      <c r="E132" s="103"/>
      <c r="F132" s="1434">
        <f>C132*E132+C133*E133</f>
        <v>0</v>
      </c>
      <c r="G132" s="100">
        <f>IF(Stammblatt!$I$9=TRUE,Kollektivvertrag!$C$60,Kollektivvertrag!C49)</f>
        <v>877.31968972402183</v>
      </c>
      <c r="H132" s="841" t="str">
        <f t="shared" si="103"/>
        <v/>
      </c>
      <c r="I132" s="848" t="str">
        <f t="shared" si="104"/>
        <v/>
      </c>
      <c r="J132" s="751"/>
      <c r="K132" s="751"/>
      <c r="L132" s="556">
        <f>F132*J132</f>
        <v>0</v>
      </c>
      <c r="M132" s="557">
        <f>F132*K132</f>
        <v>0</v>
      </c>
      <c r="N132" s="558" t="str">
        <f>IF((L132+M132)&lt;&gt;F132,"?","")</f>
        <v/>
      </c>
      <c r="O132" s="1404"/>
      <c r="P132" s="1430"/>
      <c r="Q132" s="1406"/>
      <c r="R132" s="1404"/>
      <c r="S132" s="514"/>
      <c r="T132" s="1404"/>
      <c r="U132" s="1404"/>
      <c r="V132" s="1432">
        <f>SUM(T132:U133)</f>
        <v>0</v>
      </c>
      <c r="W132" s="1432">
        <f>F132-V132</f>
        <v>0</v>
      </c>
      <c r="X132" s="1404"/>
      <c r="Y132" s="1430"/>
      <c r="Z132" s="1406"/>
      <c r="AA132" s="1404"/>
      <c r="AB132" s="295"/>
      <c r="AC132" s="336"/>
      <c r="AD132" s="1410"/>
      <c r="AE132" s="1420"/>
      <c r="AF132" s="1408"/>
      <c r="AG132" s="1418">
        <f>SUM(AE132:AF133)</f>
        <v>0</v>
      </c>
      <c r="AH132" s="1410"/>
      <c r="AI132" s="1420"/>
      <c r="AJ132" s="1408"/>
      <c r="AK132" s="1418">
        <f>SUM(AI132:AJ133)</f>
        <v>0</v>
      </c>
      <c r="AL132" s="1412"/>
      <c r="AM132" s="1420"/>
      <c r="AN132" s="1408"/>
      <c r="AO132" s="1418">
        <f>SUM(AM132:AN133)</f>
        <v>0</v>
      </c>
      <c r="AP132" s="1428">
        <f>SUM(F132,AD132,AH132,AL132)</f>
        <v>0</v>
      </c>
      <c r="AQ132" s="1416">
        <f t="shared" si="105"/>
        <v>0</v>
      </c>
      <c r="AR132" s="1414">
        <f t="shared" si="106"/>
        <v>0</v>
      </c>
      <c r="AS132" s="310"/>
      <c r="AT132" s="310"/>
      <c r="AU132" s="393">
        <f>IF(AV133=TRUE,G132*0.8,G132)</f>
        <v>877.31968972402183</v>
      </c>
      <c r="AV132" s="383"/>
      <c r="AW132" s="312">
        <f t="shared" si="109"/>
        <v>1052.7836276688261</v>
      </c>
      <c r="AX132" s="312">
        <f t="shared" si="110"/>
        <v>1140.5155966412285</v>
      </c>
      <c r="AY132" s="312"/>
      <c r="AZ132" s="312"/>
      <c r="BA132" s="312"/>
      <c r="BB132" s="196" t="s">
        <v>613</v>
      </c>
      <c r="BC132" s="196" t="s">
        <v>941</v>
      </c>
      <c r="BD132" s="313"/>
      <c r="BE132" s="313"/>
      <c r="BF132" s="313"/>
      <c r="BG132" s="313"/>
      <c r="BH132" s="313"/>
      <c r="BI132" s="313"/>
      <c r="BJ132" s="313"/>
      <c r="BK132" s="313"/>
      <c r="BL132" s="313"/>
      <c r="BM132" s="313"/>
      <c r="BN132" s="313"/>
      <c r="BO132" s="313"/>
      <c r="BP132" s="313"/>
      <c r="BQ132" s="313"/>
      <c r="BR132" s="313"/>
      <c r="BS132" s="313"/>
      <c r="BT132" s="313"/>
      <c r="BU132" s="313"/>
      <c r="BV132" s="313"/>
      <c r="BW132" s="313"/>
      <c r="BX132" s="313"/>
      <c r="BY132" s="313"/>
      <c r="BZ132" s="313"/>
      <c r="CA132" s="313"/>
      <c r="CB132" s="313"/>
      <c r="CC132" s="313"/>
      <c r="CD132" s="313"/>
      <c r="CE132" s="313"/>
    </row>
    <row r="133" spans="1:83" s="101" customFormat="1" ht="12.75" customHeight="1" x14ac:dyDescent="0.2">
      <c r="A133" s="1097"/>
      <c r="B133" s="1098" t="str">
        <f>IF(Stammblatt!$L$4=1,'Kalkulation Herstellungskosten'!BB133,'Kalkulation Herstellungskosten'!BC133)</f>
        <v xml:space="preserve">Wochenpauschale (§ 7 KV) </v>
      </c>
      <c r="C133" s="94">
        <v>0</v>
      </c>
      <c r="D133" s="386"/>
      <c r="E133" s="95"/>
      <c r="F133" s="1435"/>
      <c r="G133" s="96">
        <f>IF(Stammblatt!$I$9=TRUE,Kollektivvertrag!$E$60,Kollektivvertrag!E49)</f>
        <v>1215.0877702677701</v>
      </c>
      <c r="H133" s="842" t="str">
        <f t="shared" si="103"/>
        <v/>
      </c>
      <c r="I133" s="849" t="str">
        <f t="shared" si="104"/>
        <v/>
      </c>
      <c r="J133" s="747"/>
      <c r="K133" s="748"/>
      <c r="L133" s="359"/>
      <c r="M133" s="359"/>
      <c r="N133" s="334"/>
      <c r="O133" s="1405"/>
      <c r="P133" s="1431"/>
      <c r="Q133" s="1407"/>
      <c r="R133" s="1405"/>
      <c r="S133" s="514"/>
      <c r="T133" s="1405"/>
      <c r="U133" s="1405"/>
      <c r="V133" s="1433"/>
      <c r="W133" s="1433"/>
      <c r="X133" s="1405"/>
      <c r="Y133" s="1431"/>
      <c r="Z133" s="1407"/>
      <c r="AA133" s="1405"/>
      <c r="AB133" s="295"/>
      <c r="AC133" s="336"/>
      <c r="AD133" s="1411"/>
      <c r="AE133" s="1421"/>
      <c r="AF133" s="1409"/>
      <c r="AG133" s="1419"/>
      <c r="AH133" s="1411"/>
      <c r="AI133" s="1421"/>
      <c r="AJ133" s="1409"/>
      <c r="AK133" s="1419"/>
      <c r="AL133" s="1413"/>
      <c r="AM133" s="1421"/>
      <c r="AN133" s="1409"/>
      <c r="AO133" s="1419"/>
      <c r="AP133" s="1429"/>
      <c r="AQ133" s="1417">
        <f t="shared" si="105"/>
        <v>0</v>
      </c>
      <c r="AR133" s="1415">
        <f t="shared" si="106"/>
        <v>0</v>
      </c>
      <c r="AS133" s="310"/>
      <c r="AT133" s="310"/>
      <c r="AU133" s="393">
        <f>IF(AV133=TRUE,G133*0.8,G133)</f>
        <v>1215.0877702677701</v>
      </c>
      <c r="AV133" s="383" t="b">
        <v>0</v>
      </c>
      <c r="AW133" s="312">
        <f t="shared" si="109"/>
        <v>1458.1053243213241</v>
      </c>
      <c r="AX133" s="312">
        <f t="shared" si="110"/>
        <v>1579.6141013481013</v>
      </c>
      <c r="AY133" s="312"/>
      <c r="AZ133" s="312"/>
      <c r="BA133" s="315"/>
      <c r="BB133" s="196" t="s">
        <v>45</v>
      </c>
      <c r="BC133" s="196" t="s">
        <v>1024</v>
      </c>
      <c r="BD133" s="313"/>
      <c r="BE133" s="313"/>
      <c r="BF133" s="313"/>
      <c r="BG133" s="313"/>
      <c r="BH133" s="313"/>
      <c r="BI133" s="313"/>
      <c r="BJ133" s="313"/>
      <c r="BK133" s="313"/>
      <c r="BL133" s="313"/>
      <c r="BM133" s="313"/>
      <c r="BN133" s="313"/>
      <c r="BO133" s="313"/>
      <c r="BP133" s="313"/>
      <c r="BQ133" s="313"/>
      <c r="BR133" s="313"/>
      <c r="BS133" s="313"/>
      <c r="BT133" s="313"/>
      <c r="BU133" s="313"/>
      <c r="BV133" s="313"/>
      <c r="BW133" s="313"/>
      <c r="BX133" s="313"/>
      <c r="BY133" s="313"/>
      <c r="BZ133" s="313"/>
      <c r="CA133" s="313"/>
      <c r="CB133" s="313"/>
      <c r="CC133" s="313"/>
      <c r="CD133" s="313"/>
      <c r="CE133" s="313"/>
    </row>
    <row r="134" spans="1:83" s="101" customFormat="1" ht="12.75" customHeight="1" x14ac:dyDescent="0.2">
      <c r="A134" s="1099">
        <v>64</v>
      </c>
      <c r="B134" s="1096" t="str">
        <f>IF(Stammblatt!$L$4=1,'Kalkulation Herstellungskosten'!BB134,'Kalkulation Herstellungskosten'!BC134)</f>
        <v>Frisur</v>
      </c>
      <c r="C134" s="99">
        <v>0</v>
      </c>
      <c r="D134" s="385"/>
      <c r="E134" s="103"/>
      <c r="F134" s="1434">
        <f>C134*E134+C135*E135</f>
        <v>0</v>
      </c>
      <c r="G134" s="100">
        <f ca="1">IF(AND(Stammblatt!$I$9=TRUE,GHSTK&lt;=1220000),Kollektivvertrag!$C$60,IF(AND(Stammblatt!$I$9=TRUE,GHSTK&lt;=1570000),Kollektivvertrag!C48/2,Kollektivvertrag!C48))</f>
        <v>1727.5418107708422</v>
      </c>
      <c r="H134" s="841" t="str">
        <f t="shared" ca="1" si="103"/>
        <v/>
      </c>
      <c r="I134" s="848" t="str">
        <f t="shared" si="104"/>
        <v/>
      </c>
      <c r="J134" s="751"/>
      <c r="K134" s="751"/>
      <c r="L134" s="556">
        <f>F134*J134</f>
        <v>0</v>
      </c>
      <c r="M134" s="557">
        <f>F134*K134</f>
        <v>0</v>
      </c>
      <c r="N134" s="558" t="str">
        <f>IF((L134+M134)&lt;&gt;F134,"?","")</f>
        <v/>
      </c>
      <c r="O134" s="1404"/>
      <c r="P134" s="1430"/>
      <c r="Q134" s="1406"/>
      <c r="R134" s="1404"/>
      <c r="S134" s="514"/>
      <c r="T134" s="1404"/>
      <c r="U134" s="1404"/>
      <c r="V134" s="1432">
        <f>SUM(T134:U135)</f>
        <v>0</v>
      </c>
      <c r="W134" s="1432">
        <f>F134-V134</f>
        <v>0</v>
      </c>
      <c r="X134" s="1404"/>
      <c r="Y134" s="1430"/>
      <c r="Z134" s="1406"/>
      <c r="AA134" s="1404"/>
      <c r="AB134" s="295"/>
      <c r="AC134" s="336"/>
      <c r="AD134" s="1410"/>
      <c r="AE134" s="1420"/>
      <c r="AF134" s="1408"/>
      <c r="AG134" s="1418">
        <f>SUM(AE134:AF135)</f>
        <v>0</v>
      </c>
      <c r="AH134" s="1410"/>
      <c r="AI134" s="1420"/>
      <c r="AJ134" s="1408"/>
      <c r="AK134" s="1418">
        <f>SUM(AI134:AJ135)</f>
        <v>0</v>
      </c>
      <c r="AL134" s="1412"/>
      <c r="AM134" s="1420"/>
      <c r="AN134" s="1408"/>
      <c r="AO134" s="1418">
        <f>SUM(AM134:AN135)</f>
        <v>0</v>
      </c>
      <c r="AP134" s="1428">
        <f>SUM(F134,AD134,AH134,AL134)</f>
        <v>0</v>
      </c>
      <c r="AQ134" s="1416">
        <f t="shared" si="105"/>
        <v>0</v>
      </c>
      <c r="AR134" s="1414">
        <f t="shared" si="106"/>
        <v>0</v>
      </c>
      <c r="AS134" s="310"/>
      <c r="AT134" s="310"/>
      <c r="AU134" s="393">
        <f ca="1">IF(AV135=TRUE,G134*0.8,G134)</f>
        <v>1727.5418107708422</v>
      </c>
      <c r="AV134" s="383"/>
      <c r="AW134" s="312">
        <f t="shared" ca="1" si="109"/>
        <v>2073.0501729250104</v>
      </c>
      <c r="AX134" s="312">
        <f t="shared" ca="1" si="110"/>
        <v>2245.8043540020949</v>
      </c>
      <c r="AY134" s="312"/>
      <c r="AZ134" s="312"/>
      <c r="BA134" s="312"/>
      <c r="BB134" s="196" t="s">
        <v>614</v>
      </c>
      <c r="BC134" s="196" t="s">
        <v>345</v>
      </c>
      <c r="BD134" s="313"/>
      <c r="BE134" s="313"/>
      <c r="BF134" s="313"/>
      <c r="BG134" s="313"/>
      <c r="BH134" s="313"/>
      <c r="BI134" s="313"/>
      <c r="BJ134" s="313"/>
      <c r="BK134" s="313"/>
      <c r="BL134" s="313"/>
      <c r="BM134" s="313"/>
      <c r="BN134" s="313"/>
      <c r="BO134" s="313"/>
      <c r="BP134" s="313"/>
      <c r="BQ134" s="313"/>
      <c r="BR134" s="313"/>
      <c r="BS134" s="313"/>
      <c r="BT134" s="313"/>
      <c r="BU134" s="313"/>
      <c r="BV134" s="313"/>
      <c r="BW134" s="313"/>
      <c r="BX134" s="313"/>
      <c r="BY134" s="313"/>
      <c r="BZ134" s="313"/>
      <c r="CA134" s="313"/>
      <c r="CB134" s="313"/>
      <c r="CC134" s="313"/>
      <c r="CD134" s="313"/>
      <c r="CE134" s="313"/>
    </row>
    <row r="135" spans="1:83" s="101" customFormat="1" ht="12.75" customHeight="1" x14ac:dyDescent="0.2">
      <c r="A135" s="1097"/>
      <c r="B135" s="1098" t="str">
        <f>IF(Stammblatt!$L$4=1,'Kalkulation Herstellungskosten'!BB135,'Kalkulation Herstellungskosten'!BC135)</f>
        <v xml:space="preserve">Wochenpauschale (§ 7 KV) </v>
      </c>
      <c r="C135" s="94">
        <v>0</v>
      </c>
      <c r="D135" s="386"/>
      <c r="E135" s="95"/>
      <c r="F135" s="1435"/>
      <c r="G135" s="96">
        <f ca="1">IF(AND(Stammblatt!$I$9=TRUE,GHSTK&lt;=1220000),Kollektivvertrag!$E$60,IF(AND(Stammblatt!$I$9=TRUE,GHSTK&lt;=1570000),Kollektivvertrag!E48/2,Kollektivvertrag!E48))</f>
        <v>2392.6454079176165</v>
      </c>
      <c r="H135" s="842" t="str">
        <f t="shared" ca="1" si="103"/>
        <v/>
      </c>
      <c r="I135" s="849" t="str">
        <f t="shared" si="104"/>
        <v/>
      </c>
      <c r="J135" s="747"/>
      <c r="K135" s="748"/>
      <c r="L135" s="359"/>
      <c r="M135" s="359"/>
      <c r="N135" s="334"/>
      <c r="O135" s="1405"/>
      <c r="P135" s="1431"/>
      <c r="Q135" s="1407"/>
      <c r="R135" s="1405"/>
      <c r="S135" s="514"/>
      <c r="T135" s="1405"/>
      <c r="U135" s="1405"/>
      <c r="V135" s="1433"/>
      <c r="W135" s="1433"/>
      <c r="X135" s="1405"/>
      <c r="Y135" s="1431"/>
      <c r="Z135" s="1407"/>
      <c r="AA135" s="1405"/>
      <c r="AB135" s="295"/>
      <c r="AC135" s="336"/>
      <c r="AD135" s="1411"/>
      <c r="AE135" s="1421"/>
      <c r="AF135" s="1409"/>
      <c r="AG135" s="1419"/>
      <c r="AH135" s="1411"/>
      <c r="AI135" s="1421"/>
      <c r="AJ135" s="1409"/>
      <c r="AK135" s="1419"/>
      <c r="AL135" s="1413"/>
      <c r="AM135" s="1421"/>
      <c r="AN135" s="1409"/>
      <c r="AO135" s="1419"/>
      <c r="AP135" s="1429"/>
      <c r="AQ135" s="1417">
        <f t="shared" si="105"/>
        <v>0</v>
      </c>
      <c r="AR135" s="1415">
        <f t="shared" si="106"/>
        <v>0</v>
      </c>
      <c r="AS135" s="310"/>
      <c r="AT135" s="310"/>
      <c r="AU135" s="393">
        <f ca="1">IF(AV135=TRUE,G135*0.8,G135)</f>
        <v>2392.6454079176165</v>
      </c>
      <c r="AV135" s="383" t="b">
        <v>0</v>
      </c>
      <c r="AW135" s="312">
        <f t="shared" ca="1" si="109"/>
        <v>2871.1744895011398</v>
      </c>
      <c r="AX135" s="312">
        <f t="shared" ca="1" si="110"/>
        <v>3110.4390302929014</v>
      </c>
      <c r="AY135" s="312"/>
      <c r="AZ135" s="312"/>
      <c r="BA135" s="315"/>
      <c r="BB135" s="196" t="s">
        <v>45</v>
      </c>
      <c r="BC135" s="196" t="s">
        <v>1024</v>
      </c>
      <c r="BD135" s="313"/>
      <c r="BE135" s="313"/>
      <c r="BF135" s="313"/>
      <c r="BG135" s="313"/>
      <c r="BH135" s="313"/>
      <c r="BI135" s="313"/>
      <c r="BJ135" s="313"/>
      <c r="BK135" s="313"/>
      <c r="BL135" s="313"/>
      <c r="BM135" s="313"/>
      <c r="BN135" s="313"/>
      <c r="BO135" s="313"/>
      <c r="BP135" s="313"/>
      <c r="BQ135" s="313"/>
      <c r="BR135" s="313"/>
      <c r="BS135" s="313"/>
      <c r="BT135" s="313"/>
      <c r="BU135" s="313"/>
      <c r="BV135" s="313"/>
      <c r="BW135" s="313"/>
      <c r="BX135" s="313"/>
      <c r="BY135" s="313"/>
      <c r="BZ135" s="313"/>
      <c r="CA135" s="313"/>
      <c r="CB135" s="313"/>
      <c r="CC135" s="313"/>
      <c r="CD135" s="313"/>
      <c r="CE135" s="313"/>
    </row>
    <row r="136" spans="1:83" s="101" customFormat="1" ht="12.75" customHeight="1" x14ac:dyDescent="0.2">
      <c r="A136" s="1099">
        <v>65</v>
      </c>
      <c r="B136" s="1096" t="str">
        <f>IF(Stammblatt!$L$4=1,'Kalkulation Herstellungskosten'!BB136,'Kalkulation Herstellungskosten'!BC136)</f>
        <v>Produktionsfahrer*in</v>
      </c>
      <c r="C136" s="99">
        <v>0</v>
      </c>
      <c r="D136" s="385"/>
      <c r="E136" s="103"/>
      <c r="F136" s="1434">
        <f>C136*E136+C137*E137</f>
        <v>0</v>
      </c>
      <c r="G136" s="100">
        <f>IF(Stammblatt!$I$9=TRUE,Kollektivvertrag!$C$60,Kollektivvertrag!C57)</f>
        <v>761.88415910296237</v>
      </c>
      <c r="H136" s="841" t="str">
        <f t="shared" si="103"/>
        <v/>
      </c>
      <c r="I136" s="848" t="str">
        <f t="shared" si="104"/>
        <v/>
      </c>
      <c r="J136" s="751"/>
      <c r="K136" s="751"/>
      <c r="L136" s="556">
        <f>F136*J136</f>
        <v>0</v>
      </c>
      <c r="M136" s="557">
        <f>F136*K136</f>
        <v>0</v>
      </c>
      <c r="N136" s="558" t="str">
        <f>IF((L136+M136)&lt;&gt;F136,"?","")</f>
        <v/>
      </c>
      <c r="O136" s="1404"/>
      <c r="P136" s="1430"/>
      <c r="Q136" s="1406"/>
      <c r="R136" s="1404"/>
      <c r="S136" s="514"/>
      <c r="T136" s="1404"/>
      <c r="U136" s="1404"/>
      <c r="V136" s="1432">
        <f>SUM(T136:U137)</f>
        <v>0</v>
      </c>
      <c r="W136" s="1432">
        <f>F136-V136</f>
        <v>0</v>
      </c>
      <c r="X136" s="1404"/>
      <c r="Y136" s="1430"/>
      <c r="Z136" s="1406"/>
      <c r="AA136" s="1404"/>
      <c r="AB136" s="295"/>
      <c r="AC136" s="336"/>
      <c r="AD136" s="1410"/>
      <c r="AE136" s="1420"/>
      <c r="AF136" s="1408"/>
      <c r="AG136" s="1418">
        <f>SUM(AE136:AF137)</f>
        <v>0</v>
      </c>
      <c r="AH136" s="1410"/>
      <c r="AI136" s="1420"/>
      <c r="AJ136" s="1408"/>
      <c r="AK136" s="1418">
        <f>SUM(AI136:AJ137)</f>
        <v>0</v>
      </c>
      <c r="AL136" s="1412"/>
      <c r="AM136" s="1420"/>
      <c r="AN136" s="1408"/>
      <c r="AO136" s="1418">
        <f>SUM(AM136:AN137)</f>
        <v>0</v>
      </c>
      <c r="AP136" s="1428">
        <f>SUM(F136,AD136,AH136,AL136)</f>
        <v>0</v>
      </c>
      <c r="AQ136" s="1416">
        <f t="shared" si="105"/>
        <v>0</v>
      </c>
      <c r="AR136" s="1414">
        <f t="shared" si="106"/>
        <v>0</v>
      </c>
      <c r="AS136" s="310"/>
      <c r="AT136" s="310"/>
      <c r="AU136" s="393">
        <f>IF(AV137=TRUE,G136*0.8,G136)</f>
        <v>761.88415910296237</v>
      </c>
      <c r="AV136" s="383"/>
      <c r="AW136" s="312">
        <f t="shared" si="109"/>
        <v>914.2609909235548</v>
      </c>
      <c r="AX136" s="312">
        <f t="shared" si="110"/>
        <v>990.44940683385107</v>
      </c>
      <c r="AY136" s="312"/>
      <c r="AZ136" s="312"/>
      <c r="BA136" s="312"/>
      <c r="BB136" s="196" t="s">
        <v>791</v>
      </c>
      <c r="BC136" s="196" t="s">
        <v>839</v>
      </c>
      <c r="BD136" s="313"/>
      <c r="BE136" s="313"/>
      <c r="BF136" s="313"/>
      <c r="BG136" s="313"/>
      <c r="BH136" s="313"/>
      <c r="BI136" s="313"/>
      <c r="BJ136" s="313"/>
      <c r="BK136" s="313"/>
      <c r="BL136" s="313"/>
      <c r="BM136" s="313"/>
      <c r="BN136" s="313"/>
      <c r="BO136" s="313"/>
      <c r="BP136" s="313"/>
      <c r="BQ136" s="313"/>
      <c r="BR136" s="313"/>
      <c r="BS136" s="313"/>
      <c r="BT136" s="313"/>
      <c r="BU136" s="313"/>
      <c r="BV136" s="313"/>
      <c r="BW136" s="313"/>
      <c r="BX136" s="313"/>
      <c r="BY136" s="313"/>
      <c r="BZ136" s="313"/>
      <c r="CA136" s="313"/>
      <c r="CB136" s="313"/>
      <c r="CC136" s="313"/>
      <c r="CD136" s="313"/>
      <c r="CE136" s="313"/>
    </row>
    <row r="137" spans="1:83" s="101" customFormat="1" ht="12.75" customHeight="1" x14ac:dyDescent="0.2">
      <c r="A137" s="1097"/>
      <c r="B137" s="1098" t="str">
        <f>IF(Stammblatt!$L$4=1,'Kalkulation Herstellungskosten'!BB137,'Kalkulation Herstellungskosten'!BC137)</f>
        <v xml:space="preserve">Wochenpauschale (§ 7 KV) </v>
      </c>
      <c r="C137" s="94">
        <v>0</v>
      </c>
      <c r="D137" s="386"/>
      <c r="E137" s="95"/>
      <c r="F137" s="1435"/>
      <c r="G137" s="96">
        <f>IF(Stammblatt!$I$9=TRUE,Kollektivvertrag!$E$60,Kollektivvertrag!E57)</f>
        <v>1055.2095603576029</v>
      </c>
      <c r="H137" s="842" t="str">
        <f t="shared" si="103"/>
        <v/>
      </c>
      <c r="I137" s="849" t="str">
        <f t="shared" si="104"/>
        <v/>
      </c>
      <c r="J137" s="747"/>
      <c r="K137" s="748"/>
      <c r="L137" s="359"/>
      <c r="M137" s="359"/>
      <c r="N137" s="334"/>
      <c r="O137" s="1405"/>
      <c r="P137" s="1431"/>
      <c r="Q137" s="1407"/>
      <c r="R137" s="1405"/>
      <c r="S137" s="514"/>
      <c r="T137" s="1405"/>
      <c r="U137" s="1405"/>
      <c r="V137" s="1433"/>
      <c r="W137" s="1433"/>
      <c r="X137" s="1405"/>
      <c r="Y137" s="1431"/>
      <c r="Z137" s="1407"/>
      <c r="AA137" s="1405"/>
      <c r="AB137" s="295"/>
      <c r="AC137" s="336"/>
      <c r="AD137" s="1411"/>
      <c r="AE137" s="1421"/>
      <c r="AF137" s="1409"/>
      <c r="AG137" s="1419"/>
      <c r="AH137" s="1411"/>
      <c r="AI137" s="1421"/>
      <c r="AJ137" s="1409"/>
      <c r="AK137" s="1419"/>
      <c r="AL137" s="1413"/>
      <c r="AM137" s="1421"/>
      <c r="AN137" s="1409"/>
      <c r="AO137" s="1419"/>
      <c r="AP137" s="1429"/>
      <c r="AQ137" s="1417">
        <f t="shared" si="105"/>
        <v>0</v>
      </c>
      <c r="AR137" s="1415">
        <f t="shared" si="106"/>
        <v>0</v>
      </c>
      <c r="AS137" s="310"/>
      <c r="AT137" s="310"/>
      <c r="AU137" s="393">
        <f>IF(AV137=TRUE,G137*0.8,G137)</f>
        <v>1055.2095603576029</v>
      </c>
      <c r="AV137" s="383" t="b">
        <v>0</v>
      </c>
      <c r="AW137" s="312">
        <f t="shared" si="109"/>
        <v>1266.2514724291234</v>
      </c>
      <c r="AX137" s="312">
        <f t="shared" si="110"/>
        <v>1371.7724284648839</v>
      </c>
      <c r="AY137" s="312"/>
      <c r="AZ137" s="312"/>
      <c r="BA137" s="315"/>
      <c r="BB137" s="196" t="s">
        <v>45</v>
      </c>
      <c r="BC137" s="196" t="s">
        <v>1024</v>
      </c>
      <c r="BD137" s="313"/>
      <c r="BE137" s="313"/>
      <c r="BF137" s="313"/>
      <c r="BG137" s="313"/>
      <c r="BH137" s="313"/>
      <c r="BI137" s="313"/>
      <c r="BJ137" s="313"/>
      <c r="BK137" s="313"/>
      <c r="BL137" s="313"/>
      <c r="BM137" s="313"/>
      <c r="BN137" s="313"/>
      <c r="BO137" s="313"/>
      <c r="BP137" s="313"/>
      <c r="BQ137" s="313"/>
      <c r="BR137" s="313"/>
      <c r="BS137" s="313"/>
      <c r="BT137" s="313"/>
      <c r="BU137" s="313"/>
      <c r="BV137" s="313"/>
      <c r="BW137" s="313"/>
      <c r="BX137" s="313"/>
      <c r="BY137" s="313"/>
      <c r="BZ137" s="313"/>
      <c r="CA137" s="313"/>
      <c r="CB137" s="313"/>
      <c r="CC137" s="313"/>
      <c r="CD137" s="313"/>
      <c r="CE137" s="313"/>
    </row>
    <row r="138" spans="1:83" s="101" customFormat="1" ht="12.75" customHeight="1" x14ac:dyDescent="0.2">
      <c r="A138" s="1099">
        <v>66</v>
      </c>
      <c r="B138" s="1096" t="str">
        <f>IF(Stammblatt!$L$4=1,'Kalkulation Herstellungskosten'!BB138,'Kalkulation Herstellungskosten'!BC138)</f>
        <v>Produktionsfahrer*in</v>
      </c>
      <c r="C138" s="99">
        <v>0</v>
      </c>
      <c r="D138" s="385"/>
      <c r="E138" s="103"/>
      <c r="F138" s="1434">
        <f>C138*E138+C139*E139</f>
        <v>0</v>
      </c>
      <c r="G138" s="100">
        <f>IF(Stammblatt!$I$9=TRUE,Kollektivvertrag!$C$60,Kollektivvertrag!C57)</f>
        <v>761.88415910296237</v>
      </c>
      <c r="H138" s="841" t="str">
        <f t="shared" si="103"/>
        <v/>
      </c>
      <c r="I138" s="848" t="str">
        <f t="shared" si="104"/>
        <v/>
      </c>
      <c r="J138" s="751"/>
      <c r="K138" s="751"/>
      <c r="L138" s="556">
        <f>F138*J138</f>
        <v>0</v>
      </c>
      <c r="M138" s="557">
        <f>F138*K138</f>
        <v>0</v>
      </c>
      <c r="N138" s="558" t="str">
        <f>IF((L138+M138)&lt;&gt;F138,"?","")</f>
        <v/>
      </c>
      <c r="O138" s="1404"/>
      <c r="P138" s="1430"/>
      <c r="Q138" s="1406"/>
      <c r="R138" s="1404"/>
      <c r="S138" s="514"/>
      <c r="T138" s="1404"/>
      <c r="U138" s="1404"/>
      <c r="V138" s="1432">
        <f>SUM(T138:U139)</f>
        <v>0</v>
      </c>
      <c r="W138" s="1432">
        <f>F138-V138</f>
        <v>0</v>
      </c>
      <c r="X138" s="1404"/>
      <c r="Y138" s="1430"/>
      <c r="Z138" s="1406"/>
      <c r="AA138" s="1404"/>
      <c r="AB138" s="295"/>
      <c r="AC138" s="336"/>
      <c r="AD138" s="1410"/>
      <c r="AE138" s="1420"/>
      <c r="AF138" s="1408"/>
      <c r="AG138" s="1418">
        <f>SUM(AE138:AF139)</f>
        <v>0</v>
      </c>
      <c r="AH138" s="1410"/>
      <c r="AI138" s="1420"/>
      <c r="AJ138" s="1408"/>
      <c r="AK138" s="1418">
        <f>SUM(AI138:AJ139)</f>
        <v>0</v>
      </c>
      <c r="AL138" s="1412"/>
      <c r="AM138" s="1420"/>
      <c r="AN138" s="1408"/>
      <c r="AO138" s="1418">
        <f>SUM(AM138:AN139)</f>
        <v>0</v>
      </c>
      <c r="AP138" s="1428">
        <f>SUM(F138,AD138,AH138,AL138)</f>
        <v>0</v>
      </c>
      <c r="AQ138" s="1416">
        <f t="shared" si="105"/>
        <v>0</v>
      </c>
      <c r="AR138" s="1414">
        <f t="shared" si="106"/>
        <v>0</v>
      </c>
      <c r="AS138" s="310"/>
      <c r="AT138" s="310"/>
      <c r="AU138" s="393">
        <f>IF(AV139=TRUE,G138*0.8,G138)</f>
        <v>761.88415910296237</v>
      </c>
      <c r="AV138" s="383"/>
      <c r="AW138" s="312">
        <f t="shared" si="109"/>
        <v>914.2609909235548</v>
      </c>
      <c r="AX138" s="312">
        <f t="shared" si="110"/>
        <v>990.44940683385107</v>
      </c>
      <c r="AY138" s="312"/>
      <c r="AZ138" s="312"/>
      <c r="BA138" s="312"/>
      <c r="BB138" s="196" t="s">
        <v>791</v>
      </c>
      <c r="BC138" s="196" t="s">
        <v>839</v>
      </c>
      <c r="BD138" s="313"/>
      <c r="BE138" s="313"/>
      <c r="BF138" s="313"/>
      <c r="BG138" s="313"/>
      <c r="BH138" s="313"/>
      <c r="BI138" s="313"/>
      <c r="BJ138" s="313"/>
      <c r="BK138" s="313"/>
      <c r="BL138" s="313"/>
      <c r="BM138" s="313"/>
      <c r="BN138" s="313"/>
      <c r="BO138" s="313"/>
      <c r="BP138" s="313"/>
      <c r="BQ138" s="313"/>
      <c r="BR138" s="313"/>
      <c r="BS138" s="313"/>
      <c r="BT138" s="313"/>
      <c r="BU138" s="313"/>
      <c r="BV138" s="313"/>
      <c r="BW138" s="313"/>
      <c r="BX138" s="313"/>
      <c r="BY138" s="313"/>
      <c r="BZ138" s="313"/>
      <c r="CA138" s="313"/>
      <c r="CB138" s="313"/>
      <c r="CC138" s="313"/>
      <c r="CD138" s="313"/>
      <c r="CE138" s="313"/>
    </row>
    <row r="139" spans="1:83" s="101" customFormat="1" ht="12.75" customHeight="1" x14ac:dyDescent="0.2">
      <c r="A139" s="1097"/>
      <c r="B139" s="1098" t="str">
        <f>IF(Stammblatt!$L$4=1,'Kalkulation Herstellungskosten'!BB139,'Kalkulation Herstellungskosten'!BC139)</f>
        <v xml:space="preserve">Wochenpauschale (§ 7 KV) </v>
      </c>
      <c r="C139" s="94">
        <v>0</v>
      </c>
      <c r="D139" s="386"/>
      <c r="E139" s="95"/>
      <c r="F139" s="1435"/>
      <c r="G139" s="96">
        <f>IF(Stammblatt!$I$9=TRUE,Kollektivvertrag!$E$60,Kollektivvertrag!E57)</f>
        <v>1055.2095603576029</v>
      </c>
      <c r="H139" s="842" t="str">
        <f t="shared" si="103"/>
        <v/>
      </c>
      <c r="I139" s="849" t="str">
        <f t="shared" si="104"/>
        <v/>
      </c>
      <c r="J139" s="747"/>
      <c r="K139" s="748"/>
      <c r="L139" s="359"/>
      <c r="M139" s="359"/>
      <c r="N139" s="334"/>
      <c r="O139" s="1405"/>
      <c r="P139" s="1431"/>
      <c r="Q139" s="1407"/>
      <c r="R139" s="1405"/>
      <c r="S139" s="514"/>
      <c r="T139" s="1405"/>
      <c r="U139" s="1405"/>
      <c r="V139" s="1433"/>
      <c r="W139" s="1433"/>
      <c r="X139" s="1405"/>
      <c r="Y139" s="1431"/>
      <c r="Z139" s="1407"/>
      <c r="AA139" s="1405"/>
      <c r="AB139" s="295"/>
      <c r="AC139" s="336"/>
      <c r="AD139" s="1411"/>
      <c r="AE139" s="1421"/>
      <c r="AF139" s="1409"/>
      <c r="AG139" s="1419"/>
      <c r="AH139" s="1411"/>
      <c r="AI139" s="1421"/>
      <c r="AJ139" s="1409"/>
      <c r="AK139" s="1419"/>
      <c r="AL139" s="1413"/>
      <c r="AM139" s="1421"/>
      <c r="AN139" s="1409"/>
      <c r="AO139" s="1419"/>
      <c r="AP139" s="1429"/>
      <c r="AQ139" s="1417">
        <f t="shared" si="105"/>
        <v>0</v>
      </c>
      <c r="AR139" s="1415">
        <f t="shared" si="106"/>
        <v>0</v>
      </c>
      <c r="AS139" s="310"/>
      <c r="AT139" s="310"/>
      <c r="AU139" s="393">
        <f>IF(AV139=TRUE,G139*0.8,G139)</f>
        <v>1055.2095603576029</v>
      </c>
      <c r="AV139" s="383" t="b">
        <v>0</v>
      </c>
      <c r="AW139" s="312">
        <f t="shared" si="109"/>
        <v>1266.2514724291234</v>
      </c>
      <c r="AX139" s="312">
        <f t="shared" si="110"/>
        <v>1371.7724284648839</v>
      </c>
      <c r="AY139" s="312"/>
      <c r="AZ139" s="312"/>
      <c r="BA139" s="315"/>
      <c r="BB139" s="196" t="s">
        <v>45</v>
      </c>
      <c r="BC139" s="196" t="s">
        <v>1024</v>
      </c>
      <c r="BD139" s="313"/>
      <c r="BE139" s="313"/>
      <c r="BF139" s="313"/>
      <c r="BG139" s="313"/>
      <c r="BH139" s="313"/>
      <c r="BI139" s="313"/>
      <c r="BJ139" s="313"/>
      <c r="BK139" s="313"/>
      <c r="BL139" s="313"/>
      <c r="BM139" s="313"/>
      <c r="BN139" s="313"/>
      <c r="BO139" s="313"/>
      <c r="BP139" s="313"/>
      <c r="BQ139" s="313"/>
      <c r="BR139" s="313"/>
      <c r="BS139" s="313"/>
      <c r="BT139" s="313"/>
      <c r="BU139" s="313"/>
      <c r="BV139" s="313"/>
      <c r="BW139" s="313"/>
      <c r="BX139" s="313"/>
      <c r="BY139" s="313"/>
      <c r="BZ139" s="313"/>
      <c r="CA139" s="313"/>
      <c r="CB139" s="313"/>
      <c r="CC139" s="313"/>
      <c r="CD139" s="313"/>
      <c r="CE139" s="313"/>
    </row>
    <row r="140" spans="1:83" s="101" customFormat="1" ht="12.75" customHeight="1" x14ac:dyDescent="0.2">
      <c r="A140" s="1099">
        <v>67</v>
      </c>
      <c r="B140" s="1096" t="str">
        <f>IF(Stammblatt!$L$4=1,'Kalkulation Herstellungskosten'!BB140,'Kalkulation Herstellungskosten'!BC140)</f>
        <v>Produktionsfahrer*in</v>
      </c>
      <c r="C140" s="99">
        <v>0</v>
      </c>
      <c r="D140" s="385"/>
      <c r="E140" s="103"/>
      <c r="F140" s="1434">
        <f>C140*E140+C141*E141</f>
        <v>0</v>
      </c>
      <c r="G140" s="100">
        <f>IF(Stammblatt!$I$9=TRUE,Kollektivvertrag!$C$60,Kollektivvertrag!C57)</f>
        <v>761.88415910296237</v>
      </c>
      <c r="H140" s="841" t="str">
        <f t="shared" si="103"/>
        <v/>
      </c>
      <c r="I140" s="848" t="str">
        <f t="shared" si="104"/>
        <v/>
      </c>
      <c r="J140" s="751"/>
      <c r="K140" s="751"/>
      <c r="L140" s="556">
        <f>F140*J140</f>
        <v>0</v>
      </c>
      <c r="M140" s="557">
        <f>F140*K140</f>
        <v>0</v>
      </c>
      <c r="N140" s="558" t="str">
        <f>IF((L140+M140)&lt;&gt;F140,"?","")</f>
        <v/>
      </c>
      <c r="O140" s="1404"/>
      <c r="P140" s="1430"/>
      <c r="Q140" s="1406"/>
      <c r="R140" s="1404"/>
      <c r="S140" s="514"/>
      <c r="T140" s="1404"/>
      <c r="U140" s="1404"/>
      <c r="V140" s="1432">
        <f>SUM(T140:U141)</f>
        <v>0</v>
      </c>
      <c r="W140" s="1432">
        <f>F140-V140</f>
        <v>0</v>
      </c>
      <c r="X140" s="1404"/>
      <c r="Y140" s="1430"/>
      <c r="Z140" s="1406"/>
      <c r="AA140" s="1404"/>
      <c r="AB140" s="295"/>
      <c r="AC140" s="336"/>
      <c r="AD140" s="1410"/>
      <c r="AE140" s="1420"/>
      <c r="AF140" s="1408"/>
      <c r="AG140" s="1418">
        <f>SUM(AE140:AF141)</f>
        <v>0</v>
      </c>
      <c r="AH140" s="1410"/>
      <c r="AI140" s="1420"/>
      <c r="AJ140" s="1408"/>
      <c r="AK140" s="1418">
        <f>SUM(AI140:AJ141)</f>
        <v>0</v>
      </c>
      <c r="AL140" s="1412"/>
      <c r="AM140" s="1420"/>
      <c r="AN140" s="1408"/>
      <c r="AO140" s="1418">
        <f>SUM(AM140:AN141)</f>
        <v>0</v>
      </c>
      <c r="AP140" s="1428">
        <f>SUM(F140,AD140,AH140,AL140)</f>
        <v>0</v>
      </c>
      <c r="AQ140" s="1416">
        <f t="shared" si="105"/>
        <v>0</v>
      </c>
      <c r="AR140" s="1414">
        <f t="shared" si="106"/>
        <v>0</v>
      </c>
      <c r="AS140" s="310"/>
      <c r="AT140" s="310"/>
      <c r="AU140" s="393">
        <f>IF(AV141=TRUE,G140*0.8,G140)</f>
        <v>761.88415910296237</v>
      </c>
      <c r="AV140" s="383"/>
      <c r="AW140" s="312">
        <f t="shared" si="109"/>
        <v>914.2609909235548</v>
      </c>
      <c r="AX140" s="312">
        <f t="shared" si="110"/>
        <v>990.44940683385107</v>
      </c>
      <c r="AY140" s="312"/>
      <c r="AZ140" s="312"/>
      <c r="BA140" s="312"/>
      <c r="BB140" s="196" t="s">
        <v>791</v>
      </c>
      <c r="BC140" s="196" t="s">
        <v>839</v>
      </c>
      <c r="BD140" s="313"/>
      <c r="BE140" s="313"/>
      <c r="BF140" s="313"/>
      <c r="BG140" s="313"/>
      <c r="BH140" s="313"/>
      <c r="BI140" s="313"/>
      <c r="BJ140" s="313"/>
      <c r="BK140" s="313"/>
      <c r="BL140" s="313"/>
      <c r="BM140" s="313"/>
      <c r="BN140" s="313"/>
      <c r="BO140" s="313"/>
      <c r="BP140" s="313"/>
      <c r="BQ140" s="313"/>
      <c r="BR140" s="313"/>
      <c r="BS140" s="313"/>
      <c r="BT140" s="313"/>
      <c r="BU140" s="313"/>
      <c r="BV140" s="313"/>
      <c r="BW140" s="313"/>
      <c r="BX140" s="313"/>
      <c r="BY140" s="313"/>
      <c r="BZ140" s="313"/>
      <c r="CA140" s="313"/>
      <c r="CB140" s="313"/>
      <c r="CC140" s="313"/>
      <c r="CD140" s="313"/>
      <c r="CE140" s="313"/>
    </row>
    <row r="141" spans="1:83" s="101" customFormat="1" ht="12.75" customHeight="1" x14ac:dyDescent="0.2">
      <c r="A141" s="1097"/>
      <c r="B141" s="1098" t="str">
        <f>IF(Stammblatt!$L$4=1,'Kalkulation Herstellungskosten'!BB141,'Kalkulation Herstellungskosten'!BC141)</f>
        <v xml:space="preserve">Wochenpauschale (§ 7 KV) </v>
      </c>
      <c r="C141" s="94">
        <v>0</v>
      </c>
      <c r="D141" s="386"/>
      <c r="E141" s="95"/>
      <c r="F141" s="1435"/>
      <c r="G141" s="96">
        <f>IF(Stammblatt!$I$9=TRUE,Kollektivvertrag!$E$60,Kollektivvertrag!E57)</f>
        <v>1055.2095603576029</v>
      </c>
      <c r="H141" s="842" t="str">
        <f t="shared" si="103"/>
        <v/>
      </c>
      <c r="I141" s="849" t="str">
        <f t="shared" si="104"/>
        <v/>
      </c>
      <c r="J141" s="747"/>
      <c r="K141" s="748"/>
      <c r="L141" s="359"/>
      <c r="M141" s="359"/>
      <c r="N141" s="334"/>
      <c r="O141" s="1405"/>
      <c r="P141" s="1431"/>
      <c r="Q141" s="1407"/>
      <c r="R141" s="1405"/>
      <c r="S141" s="514"/>
      <c r="T141" s="1405"/>
      <c r="U141" s="1405"/>
      <c r="V141" s="1433"/>
      <c r="W141" s="1433"/>
      <c r="X141" s="1405"/>
      <c r="Y141" s="1431"/>
      <c r="Z141" s="1407"/>
      <c r="AA141" s="1405"/>
      <c r="AB141" s="295"/>
      <c r="AC141" s="336"/>
      <c r="AD141" s="1411"/>
      <c r="AE141" s="1421"/>
      <c r="AF141" s="1409"/>
      <c r="AG141" s="1419"/>
      <c r="AH141" s="1411"/>
      <c r="AI141" s="1421"/>
      <c r="AJ141" s="1409"/>
      <c r="AK141" s="1419"/>
      <c r="AL141" s="1413"/>
      <c r="AM141" s="1421"/>
      <c r="AN141" s="1409"/>
      <c r="AO141" s="1419"/>
      <c r="AP141" s="1429"/>
      <c r="AQ141" s="1417">
        <f t="shared" si="105"/>
        <v>0</v>
      </c>
      <c r="AR141" s="1415">
        <f t="shared" si="106"/>
        <v>0</v>
      </c>
      <c r="AS141" s="310"/>
      <c r="AT141" s="310"/>
      <c r="AU141" s="393">
        <f>IF(AV141=TRUE,G141*0.8,G141)</f>
        <v>1055.2095603576029</v>
      </c>
      <c r="AV141" s="383" t="b">
        <v>0</v>
      </c>
      <c r="AW141" s="312">
        <f t="shared" si="109"/>
        <v>1266.2514724291234</v>
      </c>
      <c r="AX141" s="312">
        <f t="shared" si="110"/>
        <v>1371.7724284648839</v>
      </c>
      <c r="AY141" s="312"/>
      <c r="AZ141" s="312"/>
      <c r="BA141" s="315"/>
      <c r="BB141" s="196" t="s">
        <v>45</v>
      </c>
      <c r="BC141" s="196" t="s">
        <v>1024</v>
      </c>
      <c r="BD141" s="313"/>
      <c r="BE141" s="313"/>
      <c r="BF141" s="313"/>
      <c r="BG141" s="313"/>
      <c r="BH141" s="313"/>
      <c r="BI141" s="313"/>
      <c r="BJ141" s="313"/>
      <c r="BK141" s="313"/>
      <c r="BL141" s="313"/>
      <c r="BM141" s="313"/>
      <c r="BN141" s="313"/>
      <c r="BO141" s="313"/>
      <c r="BP141" s="313"/>
      <c r="BQ141" s="313"/>
      <c r="BR141" s="313"/>
      <c r="BS141" s="313"/>
      <c r="BT141" s="313"/>
      <c r="BU141" s="313"/>
      <c r="BV141" s="313"/>
      <c r="BW141" s="313"/>
      <c r="BX141" s="313"/>
      <c r="BY141" s="313"/>
      <c r="BZ141" s="313"/>
      <c r="CA141" s="313"/>
      <c r="CB141" s="313"/>
      <c r="CC141" s="313"/>
      <c r="CD141" s="313"/>
      <c r="CE141" s="313"/>
    </row>
    <row r="142" spans="1:83" s="101" customFormat="1" ht="12.75" customHeight="1" x14ac:dyDescent="0.2">
      <c r="A142" s="1100">
        <v>68</v>
      </c>
      <c r="B142" s="1096" t="str">
        <f>IF(Stammblatt!$L$4=1,'Kalkulation Herstellungskosten'!BB142,'Kalkulation Herstellungskosten'!BC142)</f>
        <v>Requisitenfahrer*in</v>
      </c>
      <c r="C142" s="99">
        <v>0</v>
      </c>
      <c r="D142" s="385"/>
      <c r="E142" s="103"/>
      <c r="F142" s="1434">
        <f>C142*E142+C143*E143</f>
        <v>0</v>
      </c>
      <c r="G142" s="100">
        <f>IF(Stammblatt!$I$9=TRUE,Kollektivvertrag!$C$60,Kollektivvertrag!C67)</f>
        <v>888.72192768254502</v>
      </c>
      <c r="H142" s="841" t="str">
        <f t="shared" si="103"/>
        <v/>
      </c>
      <c r="I142" s="848" t="str">
        <f t="shared" si="104"/>
        <v/>
      </c>
      <c r="J142" s="751"/>
      <c r="K142" s="751"/>
      <c r="L142" s="556">
        <f>F142*J142</f>
        <v>0</v>
      </c>
      <c r="M142" s="557">
        <f>F142*K142</f>
        <v>0</v>
      </c>
      <c r="N142" s="558" t="str">
        <f>IF((L142+M142)&lt;&gt;F142,"?","")</f>
        <v/>
      </c>
      <c r="O142" s="1404"/>
      <c r="P142" s="1430"/>
      <c r="Q142" s="1406"/>
      <c r="R142" s="1404"/>
      <c r="S142" s="514"/>
      <c r="T142" s="1404"/>
      <c r="U142" s="1404"/>
      <c r="V142" s="1432">
        <f>SUM(T142:U143)</f>
        <v>0</v>
      </c>
      <c r="W142" s="1432">
        <f>F142-V142</f>
        <v>0</v>
      </c>
      <c r="X142" s="1404"/>
      <c r="Y142" s="1430"/>
      <c r="Z142" s="1406"/>
      <c r="AA142" s="1404"/>
      <c r="AB142" s="295"/>
      <c r="AC142" s="336"/>
      <c r="AD142" s="1410"/>
      <c r="AE142" s="1420"/>
      <c r="AF142" s="1408"/>
      <c r="AG142" s="1418">
        <f>SUM(AE142:AF143)</f>
        <v>0</v>
      </c>
      <c r="AH142" s="1410"/>
      <c r="AI142" s="1420"/>
      <c r="AJ142" s="1408"/>
      <c r="AK142" s="1418">
        <f>SUM(AI142:AJ143)</f>
        <v>0</v>
      </c>
      <c r="AL142" s="1412"/>
      <c r="AM142" s="1420"/>
      <c r="AN142" s="1408"/>
      <c r="AO142" s="1418">
        <f>SUM(AM142:AN143)</f>
        <v>0</v>
      </c>
      <c r="AP142" s="1428">
        <f>SUM(F142,AD142,AH142,AL142)</f>
        <v>0</v>
      </c>
      <c r="AQ142" s="1416">
        <f t="shared" si="105"/>
        <v>0</v>
      </c>
      <c r="AR142" s="1414">
        <f t="shared" si="106"/>
        <v>0</v>
      </c>
      <c r="AS142" s="310"/>
      <c r="AT142" s="310"/>
      <c r="AU142" s="393">
        <f>IF(AV143=TRUE,G142*0.8,G142)</f>
        <v>888.72192768254502</v>
      </c>
      <c r="AV142" s="383"/>
      <c r="AW142" s="312">
        <f t="shared" ref="AW142:AW143" si="113">G142*1.2</f>
        <v>1066.466313219054</v>
      </c>
      <c r="AX142" s="312">
        <f t="shared" ref="AX142:AX143" si="114">G142*1.3</f>
        <v>1155.3385059873085</v>
      </c>
      <c r="AY142" s="312"/>
      <c r="AZ142" s="312"/>
      <c r="BA142" s="315"/>
      <c r="BB142" s="196" t="s">
        <v>946</v>
      </c>
      <c r="BC142" s="196" t="s">
        <v>344</v>
      </c>
      <c r="BD142" s="313"/>
      <c r="BE142" s="313"/>
      <c r="BF142" s="313"/>
      <c r="BG142" s="313"/>
      <c r="BH142" s="313"/>
      <c r="BI142" s="313"/>
      <c r="BJ142" s="313"/>
      <c r="BK142" s="313"/>
      <c r="BL142" s="313"/>
      <c r="BM142" s="313"/>
      <c r="BN142" s="313"/>
      <c r="BO142" s="313"/>
      <c r="BP142" s="313"/>
      <c r="BQ142" s="313"/>
      <c r="BR142" s="313"/>
      <c r="BS142" s="313"/>
      <c r="BT142" s="313"/>
      <c r="BU142" s="313"/>
      <c r="BV142" s="313"/>
      <c r="BW142" s="313"/>
      <c r="BX142" s="313"/>
      <c r="BY142" s="313"/>
      <c r="BZ142" s="313"/>
      <c r="CA142" s="313"/>
      <c r="CB142" s="313"/>
      <c r="CC142" s="313"/>
      <c r="CD142" s="313"/>
      <c r="CE142" s="313"/>
    </row>
    <row r="143" spans="1:83" s="101" customFormat="1" ht="12.75" customHeight="1" x14ac:dyDescent="0.2">
      <c r="A143" s="1100"/>
      <c r="B143" s="1098" t="str">
        <f>IF(Stammblatt!$L$4=1,'Kalkulation Herstellungskosten'!BB143,'Kalkulation Herstellungskosten'!BC143)</f>
        <v xml:space="preserve">Wochenpauschale (§ 7 KV) </v>
      </c>
      <c r="C143" s="94">
        <v>0</v>
      </c>
      <c r="D143" s="386"/>
      <c r="E143" s="95"/>
      <c r="F143" s="1435"/>
      <c r="G143" s="96">
        <f>IF(Stammblatt!$I$9=TRUE,Kollektivvertrag!$E$60,Kollektivvertrag!E67)</f>
        <v>1230.8798698403248</v>
      </c>
      <c r="H143" s="842" t="str">
        <f t="shared" si="103"/>
        <v/>
      </c>
      <c r="I143" s="849" t="str">
        <f t="shared" si="104"/>
        <v/>
      </c>
      <c r="J143" s="747"/>
      <c r="K143" s="748"/>
      <c r="L143" s="359"/>
      <c r="M143" s="359"/>
      <c r="N143" s="334"/>
      <c r="O143" s="1405"/>
      <c r="P143" s="1431"/>
      <c r="Q143" s="1407"/>
      <c r="R143" s="1405"/>
      <c r="S143" s="514"/>
      <c r="T143" s="1405"/>
      <c r="U143" s="1405"/>
      <c r="V143" s="1433"/>
      <c r="W143" s="1433"/>
      <c r="X143" s="1405"/>
      <c r="Y143" s="1431"/>
      <c r="Z143" s="1407"/>
      <c r="AA143" s="1405"/>
      <c r="AB143" s="295"/>
      <c r="AC143" s="336"/>
      <c r="AD143" s="1411"/>
      <c r="AE143" s="1421"/>
      <c r="AF143" s="1409"/>
      <c r="AG143" s="1419"/>
      <c r="AH143" s="1411"/>
      <c r="AI143" s="1421"/>
      <c r="AJ143" s="1409"/>
      <c r="AK143" s="1419"/>
      <c r="AL143" s="1413"/>
      <c r="AM143" s="1421"/>
      <c r="AN143" s="1409"/>
      <c r="AO143" s="1419"/>
      <c r="AP143" s="1429"/>
      <c r="AQ143" s="1417">
        <f t="shared" si="105"/>
        <v>0</v>
      </c>
      <c r="AR143" s="1415">
        <f t="shared" si="106"/>
        <v>0</v>
      </c>
      <c r="AS143" s="310"/>
      <c r="AT143" s="310"/>
      <c r="AU143" s="393">
        <f>IF(AV143=TRUE,G143*0.8,G143)</f>
        <v>1230.8798698403248</v>
      </c>
      <c r="AV143" s="383" t="b">
        <v>0</v>
      </c>
      <c r="AW143" s="312">
        <f t="shared" si="113"/>
        <v>1477.0558438083897</v>
      </c>
      <c r="AX143" s="312">
        <f t="shared" si="114"/>
        <v>1600.1438307924222</v>
      </c>
      <c r="AY143" s="312"/>
      <c r="AZ143" s="312"/>
      <c r="BA143" s="315"/>
      <c r="BB143" s="196" t="s">
        <v>45</v>
      </c>
      <c r="BC143" s="196" t="s">
        <v>1024</v>
      </c>
      <c r="BD143" s="313"/>
      <c r="BE143" s="313"/>
      <c r="BF143" s="313"/>
      <c r="BG143" s="313"/>
      <c r="BH143" s="313"/>
      <c r="BI143" s="313"/>
      <c r="BJ143" s="313"/>
      <c r="BK143" s="313"/>
      <c r="BL143" s="313"/>
      <c r="BM143" s="313"/>
      <c r="BN143" s="313"/>
      <c r="BO143" s="313"/>
      <c r="BP143" s="313"/>
      <c r="BQ143" s="313"/>
      <c r="BR143" s="313"/>
      <c r="BS143" s="313"/>
      <c r="BT143" s="313"/>
      <c r="BU143" s="313"/>
      <c r="BV143" s="313"/>
      <c r="BW143" s="313"/>
      <c r="BX143" s="313"/>
      <c r="BY143" s="313"/>
      <c r="BZ143" s="313"/>
      <c r="CA143" s="313"/>
      <c r="CB143" s="313"/>
      <c r="CC143" s="313"/>
      <c r="CD143" s="313"/>
      <c r="CE143" s="313"/>
    </row>
    <row r="144" spans="1:83" s="101" customFormat="1" ht="12.75" customHeight="1" x14ac:dyDescent="0.2">
      <c r="A144" s="1099">
        <v>69</v>
      </c>
      <c r="B144" s="1096" t="str">
        <f>IF(Stammblatt!$L$4=1,'Kalkulation Herstellungskosten'!BB144,'Kalkulation Herstellungskosten'!BC144)</f>
        <v>Oberbeleuchter*in</v>
      </c>
      <c r="C144" s="99">
        <v>0</v>
      </c>
      <c r="D144" s="385"/>
      <c r="E144" s="103"/>
      <c r="F144" s="1434">
        <f>C144*E144+C145*E145</f>
        <v>0</v>
      </c>
      <c r="G144" s="100">
        <f ca="1">IF(AND(Stammblatt!$I$9=TRUE,GHSTK&lt;=1220000),Kollektivvertrag!$C$60,IF(AND(Stammblatt!$I$9=TRUE,GHSTK&lt;=1570000),Kollektivvertrag!C55/2,Kollektivvertrag!C55))</f>
        <v>1541.5438781676044</v>
      </c>
      <c r="H144" s="841" t="str">
        <f t="shared" ca="1" si="103"/>
        <v/>
      </c>
      <c r="I144" s="848" t="str">
        <f t="shared" si="104"/>
        <v/>
      </c>
      <c r="J144" s="751"/>
      <c r="K144" s="751"/>
      <c r="L144" s="556">
        <f>F144*J144</f>
        <v>0</v>
      </c>
      <c r="M144" s="557">
        <f>F144*K144</f>
        <v>0</v>
      </c>
      <c r="N144" s="558" t="str">
        <f>IF((L144+M144)&lt;&gt;F144,"?","")</f>
        <v/>
      </c>
      <c r="O144" s="1404"/>
      <c r="P144" s="1430"/>
      <c r="Q144" s="1406"/>
      <c r="R144" s="1404"/>
      <c r="S144" s="514"/>
      <c r="T144" s="1404"/>
      <c r="U144" s="1404"/>
      <c r="V144" s="1432">
        <f>SUM(T144:U145)</f>
        <v>0</v>
      </c>
      <c r="W144" s="1432">
        <f>F144-V144</f>
        <v>0</v>
      </c>
      <c r="X144" s="1404"/>
      <c r="Y144" s="1430"/>
      <c r="Z144" s="1406"/>
      <c r="AA144" s="1404"/>
      <c r="AB144" s="295"/>
      <c r="AC144" s="336"/>
      <c r="AD144" s="1410"/>
      <c r="AE144" s="1420"/>
      <c r="AF144" s="1408"/>
      <c r="AG144" s="1418">
        <f>SUM(AE144:AF145)</f>
        <v>0</v>
      </c>
      <c r="AH144" s="1410"/>
      <c r="AI144" s="1420"/>
      <c r="AJ144" s="1408"/>
      <c r="AK144" s="1418">
        <f>SUM(AI144:AJ145)</f>
        <v>0</v>
      </c>
      <c r="AL144" s="1412"/>
      <c r="AM144" s="1420"/>
      <c r="AN144" s="1408"/>
      <c r="AO144" s="1418">
        <f>SUM(AM144:AN145)</f>
        <v>0</v>
      </c>
      <c r="AP144" s="1428">
        <f>SUM(F144,AD144,AH144,AL144)</f>
        <v>0</v>
      </c>
      <c r="AQ144" s="1416">
        <f t="shared" si="105"/>
        <v>0</v>
      </c>
      <c r="AR144" s="1414">
        <f t="shared" si="106"/>
        <v>0</v>
      </c>
      <c r="AS144" s="310"/>
      <c r="AT144" s="310"/>
      <c r="AU144" s="393">
        <f ca="1">IF(AV145=TRUE,G144*0.8,G144)</f>
        <v>1541.5438781676044</v>
      </c>
      <c r="AV144" s="383"/>
      <c r="AW144" s="312">
        <f t="shared" ca="1" si="109"/>
        <v>1849.8526538011251</v>
      </c>
      <c r="AX144" s="312">
        <f t="shared" ca="1" si="110"/>
        <v>2004.0070416178858</v>
      </c>
      <c r="AY144" s="312"/>
      <c r="AZ144" s="312"/>
      <c r="BA144" s="312"/>
      <c r="BB144" s="196" t="s">
        <v>792</v>
      </c>
      <c r="BC144" s="196" t="s">
        <v>325</v>
      </c>
      <c r="BD144" s="313"/>
      <c r="BE144" s="313"/>
      <c r="BF144" s="313"/>
      <c r="BG144" s="313"/>
      <c r="BH144" s="313"/>
      <c r="BI144" s="313"/>
      <c r="BJ144" s="313"/>
      <c r="BK144" s="313"/>
      <c r="BL144" s="313"/>
      <c r="BM144" s="313"/>
      <c r="BN144" s="313"/>
      <c r="BO144" s="313"/>
      <c r="BP144" s="313"/>
      <c r="BQ144" s="313"/>
      <c r="BR144" s="313"/>
      <c r="BS144" s="313"/>
      <c r="BT144" s="313"/>
      <c r="BU144" s="313"/>
      <c r="BV144" s="313"/>
      <c r="BW144" s="313"/>
      <c r="BX144" s="313"/>
      <c r="BY144" s="313"/>
      <c r="BZ144" s="313"/>
      <c r="CA144" s="313"/>
      <c r="CB144" s="313"/>
      <c r="CC144" s="313"/>
      <c r="CD144" s="313"/>
      <c r="CE144" s="313"/>
    </row>
    <row r="145" spans="1:83" s="101" customFormat="1" ht="12.75" customHeight="1" x14ac:dyDescent="0.2">
      <c r="A145" s="1097"/>
      <c r="B145" s="1098" t="str">
        <f>IF(Stammblatt!$L$4=1,'Kalkulation Herstellungskosten'!BB145,'Kalkulation Herstellungskosten'!BC145)</f>
        <v xml:space="preserve">Wochenpauschale (§ 7 KV) </v>
      </c>
      <c r="C145" s="94">
        <v>0</v>
      </c>
      <c r="D145" s="386"/>
      <c r="E145" s="95"/>
      <c r="F145" s="1435"/>
      <c r="G145" s="96">
        <f ca="1">IF(AND(Stammblatt!$I$9=TRUE,GHSTK&lt;=1220000),Kollektivvertrag!$E$60,IF(AND(Stammblatt!$I$9=TRUE,GHSTK&lt;=1570000),Kollektivvertrag!E55/2,Kollektivvertrag!E55))</f>
        <v>2135.0382712621322</v>
      </c>
      <c r="H145" s="842" t="str">
        <f t="shared" ca="1" si="103"/>
        <v/>
      </c>
      <c r="I145" s="849" t="str">
        <f t="shared" si="104"/>
        <v/>
      </c>
      <c r="J145" s="747"/>
      <c r="K145" s="748"/>
      <c r="L145" s="359"/>
      <c r="M145" s="359"/>
      <c r="N145" s="334"/>
      <c r="O145" s="1405"/>
      <c r="P145" s="1431"/>
      <c r="Q145" s="1407"/>
      <c r="R145" s="1405"/>
      <c r="S145" s="514"/>
      <c r="T145" s="1405"/>
      <c r="U145" s="1405"/>
      <c r="V145" s="1433"/>
      <c r="W145" s="1433"/>
      <c r="X145" s="1405"/>
      <c r="Y145" s="1431"/>
      <c r="Z145" s="1407"/>
      <c r="AA145" s="1405"/>
      <c r="AB145" s="295"/>
      <c r="AC145" s="336"/>
      <c r="AD145" s="1411"/>
      <c r="AE145" s="1421"/>
      <c r="AF145" s="1409"/>
      <c r="AG145" s="1419"/>
      <c r="AH145" s="1411"/>
      <c r="AI145" s="1421"/>
      <c r="AJ145" s="1409"/>
      <c r="AK145" s="1419"/>
      <c r="AL145" s="1413"/>
      <c r="AM145" s="1421"/>
      <c r="AN145" s="1409"/>
      <c r="AO145" s="1419"/>
      <c r="AP145" s="1429"/>
      <c r="AQ145" s="1417">
        <f t="shared" si="105"/>
        <v>0</v>
      </c>
      <c r="AR145" s="1415">
        <f t="shared" si="106"/>
        <v>0</v>
      </c>
      <c r="AS145" s="310"/>
      <c r="AT145" s="310"/>
      <c r="AU145" s="393">
        <f ca="1">IF(AV145=TRUE,G145*0.8,G145)</f>
        <v>2135.0382712621322</v>
      </c>
      <c r="AV145" s="383" t="b">
        <v>0</v>
      </c>
      <c r="AW145" s="312">
        <f t="shared" ca="1" si="109"/>
        <v>2562.0459255145583</v>
      </c>
      <c r="AX145" s="312">
        <f t="shared" ca="1" si="110"/>
        <v>2775.5497526407721</v>
      </c>
      <c r="AY145" s="312"/>
      <c r="AZ145" s="312"/>
      <c r="BA145" s="315"/>
      <c r="BB145" s="196" t="s">
        <v>45</v>
      </c>
      <c r="BC145" s="196" t="s">
        <v>1024</v>
      </c>
      <c r="BD145" s="313"/>
      <c r="BE145" s="313"/>
      <c r="BF145" s="313"/>
      <c r="BG145" s="313"/>
      <c r="BH145" s="313"/>
      <c r="BI145" s="313"/>
      <c r="BJ145" s="313"/>
      <c r="BK145" s="313"/>
      <c r="BL145" s="313"/>
      <c r="BM145" s="313"/>
      <c r="BN145" s="313"/>
      <c r="BO145" s="313"/>
      <c r="BP145" s="313"/>
      <c r="BQ145" s="313"/>
      <c r="BR145" s="313"/>
      <c r="BS145" s="313"/>
      <c r="BT145" s="313"/>
      <c r="BU145" s="313"/>
      <c r="BV145" s="313"/>
      <c r="BW145" s="313"/>
      <c r="BX145" s="313"/>
      <c r="BY145" s="313"/>
      <c r="BZ145" s="313"/>
      <c r="CA145" s="313"/>
      <c r="CB145" s="313"/>
      <c r="CC145" s="313"/>
      <c r="CD145" s="313"/>
      <c r="CE145" s="313"/>
    </row>
    <row r="146" spans="1:83" s="101" customFormat="1" ht="12.75" customHeight="1" x14ac:dyDescent="0.2">
      <c r="A146" s="1100">
        <v>70</v>
      </c>
      <c r="B146" s="1096" t="s">
        <v>922</v>
      </c>
      <c r="C146" s="690">
        <v>0</v>
      </c>
      <c r="D146" s="391"/>
      <c r="E146" s="103"/>
      <c r="F146" s="1434">
        <f>C146*E146+C147*E147</f>
        <v>0</v>
      </c>
      <c r="G146" s="100">
        <f>IF(Stammblatt!$I$9=TRUE,Kollektivvertrag!$C$60,Kollektivvertrag!C71)</f>
        <v>1343.3765728904034</v>
      </c>
      <c r="H146" s="841" t="str">
        <f t="shared" si="103"/>
        <v/>
      </c>
      <c r="I146" s="848" t="str">
        <f t="shared" si="104"/>
        <v/>
      </c>
      <c r="J146" s="751"/>
      <c r="K146" s="751"/>
      <c r="L146" s="556">
        <f>F146*J146</f>
        <v>0</v>
      </c>
      <c r="M146" s="557">
        <f>F146*K146</f>
        <v>0</v>
      </c>
      <c r="N146" s="558" t="str">
        <f>IF((L146+M146)&lt;&gt;F146,"?","")</f>
        <v/>
      </c>
      <c r="O146" s="1404"/>
      <c r="P146" s="1430"/>
      <c r="Q146" s="686"/>
      <c r="R146" s="685"/>
      <c r="S146" s="514"/>
      <c r="T146" s="1404"/>
      <c r="U146" s="1404"/>
      <c r="V146" s="1432">
        <f>SUM(T146:U147)</f>
        <v>0</v>
      </c>
      <c r="W146" s="1432">
        <f>F146-V146</f>
        <v>0</v>
      </c>
      <c r="X146" s="1404"/>
      <c r="Y146" s="1430"/>
      <c r="Z146" s="1406"/>
      <c r="AA146" s="1404"/>
      <c r="AB146" s="295"/>
      <c r="AC146" s="336"/>
      <c r="AD146" s="1410"/>
      <c r="AE146" s="1420"/>
      <c r="AF146" s="1408"/>
      <c r="AG146" s="1418">
        <f>SUM(AE146:AF147)</f>
        <v>0</v>
      </c>
      <c r="AH146" s="1410"/>
      <c r="AI146" s="1420"/>
      <c r="AJ146" s="1408"/>
      <c r="AK146" s="1418">
        <f>SUM(AI146:AJ147)</f>
        <v>0</v>
      </c>
      <c r="AL146" s="1412"/>
      <c r="AM146" s="1420"/>
      <c r="AN146" s="1408"/>
      <c r="AO146" s="1418">
        <f>SUM(AM146:AN147)</f>
        <v>0</v>
      </c>
      <c r="AP146" s="1428">
        <f>SUM(F146,AD146,AH146,AL146)</f>
        <v>0</v>
      </c>
      <c r="AQ146" s="1416">
        <f t="shared" si="105"/>
        <v>0</v>
      </c>
      <c r="AR146" s="1414">
        <f t="shared" si="106"/>
        <v>0</v>
      </c>
      <c r="AS146" s="310"/>
      <c r="AT146" s="310"/>
      <c r="AU146" s="393">
        <f>IF(AV147=TRUE,G146*0.8,G146)</f>
        <v>1343.3765728904034</v>
      </c>
      <c r="AV146" s="383"/>
      <c r="AW146" s="312">
        <f t="shared" ref="AW146:AW147" si="115">G146*1.2</f>
        <v>1612.051887468484</v>
      </c>
      <c r="AX146" s="312">
        <f t="shared" ref="AX146:AX147" si="116">G146*1.3</f>
        <v>1746.3895447575244</v>
      </c>
      <c r="AY146" s="312"/>
      <c r="AZ146" s="312"/>
      <c r="BA146" s="315"/>
      <c r="BB146" s="196"/>
      <c r="BC146" s="196"/>
      <c r="BD146" s="313"/>
      <c r="BE146" s="313"/>
      <c r="BF146" s="313"/>
      <c r="BG146" s="313"/>
      <c r="BH146" s="313"/>
      <c r="BI146" s="313"/>
      <c r="BJ146" s="313"/>
      <c r="BK146" s="313"/>
      <c r="BL146" s="313"/>
      <c r="BM146" s="313"/>
      <c r="BN146" s="313"/>
      <c r="BO146" s="313"/>
      <c r="BP146" s="313"/>
      <c r="BQ146" s="313"/>
      <c r="BR146" s="313"/>
      <c r="BS146" s="313"/>
      <c r="BT146" s="313"/>
      <c r="BU146" s="313"/>
      <c r="BV146" s="313"/>
      <c r="BW146" s="313"/>
      <c r="BX146" s="313"/>
      <c r="BY146" s="313"/>
      <c r="BZ146" s="313"/>
      <c r="CA146" s="313"/>
      <c r="CB146" s="313"/>
      <c r="CC146" s="313"/>
      <c r="CD146" s="313"/>
      <c r="CE146" s="313"/>
    </row>
    <row r="147" spans="1:83" s="101" customFormat="1" ht="12.75" customHeight="1" x14ac:dyDescent="0.2">
      <c r="A147" s="1100"/>
      <c r="B147" s="1098" t="str">
        <f>IF(Stammblatt!$L$4=1,'Kalkulation Herstellungskosten'!BB147,'Kalkulation Herstellungskosten'!BC147)</f>
        <v xml:space="preserve">Wochenpauschale (§ 7 KV) </v>
      </c>
      <c r="C147" s="690">
        <v>0</v>
      </c>
      <c r="D147" s="391"/>
      <c r="E147" s="95"/>
      <c r="F147" s="1435"/>
      <c r="G147" s="96">
        <f>IF(Stammblatt!$I$9=TRUE,Kollektivvertrag!$E$60,Kollektivvertrag!E71)</f>
        <v>1860.5765534532086</v>
      </c>
      <c r="H147" s="842" t="str">
        <f t="shared" si="103"/>
        <v/>
      </c>
      <c r="I147" s="849" t="str">
        <f t="shared" si="104"/>
        <v/>
      </c>
      <c r="J147" s="747"/>
      <c r="K147" s="748"/>
      <c r="L147" s="359"/>
      <c r="M147" s="359"/>
      <c r="N147" s="334"/>
      <c r="O147" s="1405"/>
      <c r="P147" s="1431"/>
      <c r="Q147" s="686"/>
      <c r="R147" s="685"/>
      <c r="S147" s="514"/>
      <c r="T147" s="1405"/>
      <c r="U147" s="1405"/>
      <c r="V147" s="1433"/>
      <c r="W147" s="1433"/>
      <c r="X147" s="1405"/>
      <c r="Y147" s="1431"/>
      <c r="Z147" s="1407"/>
      <c r="AA147" s="1405"/>
      <c r="AB147" s="295"/>
      <c r="AC147" s="336"/>
      <c r="AD147" s="1411"/>
      <c r="AE147" s="1421"/>
      <c r="AF147" s="1409"/>
      <c r="AG147" s="1419"/>
      <c r="AH147" s="1411"/>
      <c r="AI147" s="1421"/>
      <c r="AJ147" s="1409"/>
      <c r="AK147" s="1419"/>
      <c r="AL147" s="1413"/>
      <c r="AM147" s="1421"/>
      <c r="AN147" s="1409"/>
      <c r="AO147" s="1419"/>
      <c r="AP147" s="1429"/>
      <c r="AQ147" s="1417">
        <f t="shared" si="105"/>
        <v>0</v>
      </c>
      <c r="AR147" s="1415">
        <f t="shared" si="106"/>
        <v>0</v>
      </c>
      <c r="AS147" s="310"/>
      <c r="AT147" s="310"/>
      <c r="AU147" s="393">
        <f>IF(AV147=TRUE,G147*0.8,G147)</f>
        <v>1860.5765534532086</v>
      </c>
      <c r="AV147" s="383" t="b">
        <v>0</v>
      </c>
      <c r="AW147" s="312">
        <f t="shared" si="115"/>
        <v>2232.6918641438501</v>
      </c>
      <c r="AX147" s="312">
        <f t="shared" si="116"/>
        <v>2418.7495194891712</v>
      </c>
      <c r="AY147" s="312"/>
      <c r="AZ147" s="312"/>
      <c r="BA147" s="315"/>
      <c r="BB147" s="196" t="s">
        <v>45</v>
      </c>
      <c r="BC147" s="196" t="s">
        <v>1024</v>
      </c>
      <c r="BD147" s="313"/>
      <c r="BE147" s="313"/>
      <c r="BF147" s="313"/>
      <c r="BG147" s="313"/>
      <c r="BH147" s="313"/>
      <c r="BI147" s="313"/>
      <c r="BJ147" s="313"/>
      <c r="BK147" s="313"/>
      <c r="BL147" s="313"/>
      <c r="BM147" s="313"/>
      <c r="BN147" s="313"/>
      <c r="BO147" s="313"/>
      <c r="BP147" s="313"/>
      <c r="BQ147" s="313"/>
      <c r="BR147" s="313"/>
      <c r="BS147" s="313"/>
      <c r="BT147" s="313"/>
      <c r="BU147" s="313"/>
      <c r="BV147" s="313"/>
      <c r="BW147" s="313"/>
      <c r="BX147" s="313"/>
      <c r="BY147" s="313"/>
      <c r="BZ147" s="313"/>
      <c r="CA147" s="313"/>
      <c r="CB147" s="313"/>
      <c r="CC147" s="313"/>
      <c r="CD147" s="313"/>
      <c r="CE147" s="313"/>
    </row>
    <row r="148" spans="1:83" s="101" customFormat="1" ht="12.75" customHeight="1" x14ac:dyDescent="0.2">
      <c r="A148" s="1099">
        <v>71</v>
      </c>
      <c r="B148" s="1096" t="str">
        <f>IF(Stammblatt!$L$4=1,'Kalkulation Herstellungskosten'!BB148,'Kalkulation Herstellungskosten'!BC148)</f>
        <v>Beleuchter*in</v>
      </c>
      <c r="C148" s="99">
        <v>0</v>
      </c>
      <c r="D148" s="385"/>
      <c r="E148" s="103"/>
      <c r="F148" s="1434">
        <f>C148*E148+C149*E149</f>
        <v>0</v>
      </c>
      <c r="G148" s="100">
        <f>IF(Stammblatt!$I$9=TRUE,Kollektivvertrag!$C$60,Kollektivvertrag!C56)</f>
        <v>1166.5728030051839</v>
      </c>
      <c r="H148" s="841" t="str">
        <f t="shared" si="103"/>
        <v/>
      </c>
      <c r="I148" s="848" t="str">
        <f t="shared" si="104"/>
        <v/>
      </c>
      <c r="J148" s="751"/>
      <c r="K148" s="751"/>
      <c r="L148" s="556">
        <f>F148*J148</f>
        <v>0</v>
      </c>
      <c r="M148" s="557">
        <f>F148*K148</f>
        <v>0</v>
      </c>
      <c r="N148" s="558" t="str">
        <f>IF((L148+M148)&lt;&gt;F148,"?","")</f>
        <v/>
      </c>
      <c r="O148" s="1404"/>
      <c r="P148" s="1430"/>
      <c r="Q148" s="1406"/>
      <c r="R148" s="1404"/>
      <c r="S148" s="514"/>
      <c r="T148" s="1404"/>
      <c r="U148" s="1404"/>
      <c r="V148" s="1432">
        <f>SUM(T148:U149)</f>
        <v>0</v>
      </c>
      <c r="W148" s="1432">
        <f>F148-V148</f>
        <v>0</v>
      </c>
      <c r="X148" s="1404"/>
      <c r="Y148" s="1430"/>
      <c r="Z148" s="1406"/>
      <c r="AA148" s="1404"/>
      <c r="AB148" s="295"/>
      <c r="AC148" s="336"/>
      <c r="AD148" s="1410"/>
      <c r="AE148" s="1420"/>
      <c r="AF148" s="1408"/>
      <c r="AG148" s="1418">
        <f>SUM(AE148:AF149)</f>
        <v>0</v>
      </c>
      <c r="AH148" s="1410"/>
      <c r="AI148" s="1420"/>
      <c r="AJ148" s="1408"/>
      <c r="AK148" s="1418">
        <f>SUM(AI148:AJ149)</f>
        <v>0</v>
      </c>
      <c r="AL148" s="1412"/>
      <c r="AM148" s="1420"/>
      <c r="AN148" s="1408"/>
      <c r="AO148" s="1418">
        <f>SUM(AM148:AN149)</f>
        <v>0</v>
      </c>
      <c r="AP148" s="1428">
        <f>SUM(F148,AD148,AH148,AL148)</f>
        <v>0</v>
      </c>
      <c r="AQ148" s="1416">
        <f t="shared" si="105"/>
        <v>0</v>
      </c>
      <c r="AR148" s="1414">
        <f t="shared" si="106"/>
        <v>0</v>
      </c>
      <c r="AS148" s="310"/>
      <c r="AT148" s="310"/>
      <c r="AU148" s="393">
        <f>IF(AV149=TRUE,G148*0.8,G148)</f>
        <v>1166.5728030051839</v>
      </c>
      <c r="AV148" s="383"/>
      <c r="AW148" s="312">
        <f t="shared" si="109"/>
        <v>1399.8873636062206</v>
      </c>
      <c r="AX148" s="312">
        <f t="shared" si="110"/>
        <v>1516.5446439067391</v>
      </c>
      <c r="AY148" s="312"/>
      <c r="AZ148" s="312"/>
      <c r="BA148" s="312"/>
      <c r="BB148" s="196" t="s">
        <v>841</v>
      </c>
      <c r="BC148" s="196" t="s">
        <v>1045</v>
      </c>
      <c r="BD148" s="313"/>
      <c r="BE148" s="313"/>
      <c r="BF148" s="313"/>
      <c r="BG148" s="313"/>
      <c r="BH148" s="313"/>
      <c r="BI148" s="313"/>
      <c r="BJ148" s="313"/>
      <c r="BK148" s="313"/>
      <c r="BL148" s="313"/>
      <c r="BM148" s="313"/>
      <c r="BN148" s="313"/>
      <c r="BO148" s="313"/>
      <c r="BP148" s="313"/>
      <c r="BQ148" s="313"/>
      <c r="BR148" s="313"/>
      <c r="BS148" s="313"/>
      <c r="BT148" s="313"/>
      <c r="BU148" s="313"/>
      <c r="BV148" s="313"/>
      <c r="BW148" s="313"/>
      <c r="BX148" s="313"/>
      <c r="BY148" s="313"/>
      <c r="BZ148" s="313"/>
      <c r="CA148" s="313"/>
      <c r="CB148" s="313"/>
      <c r="CC148" s="313"/>
      <c r="CD148" s="313"/>
      <c r="CE148" s="313"/>
    </row>
    <row r="149" spans="1:83" s="101" customFormat="1" ht="12.75" customHeight="1" x14ac:dyDescent="0.2">
      <c r="A149" s="1097"/>
      <c r="B149" s="1098" t="str">
        <f>IF(Stammblatt!$L$4=1,'Kalkulation Herstellungskosten'!BB149,'Kalkulation Herstellungskosten'!BC149)</f>
        <v xml:space="preserve">Wochenpauschale (§ 7 KV) </v>
      </c>
      <c r="C149" s="94">
        <v>0</v>
      </c>
      <c r="D149" s="386"/>
      <c r="E149" s="95"/>
      <c r="F149" s="1435"/>
      <c r="G149" s="96">
        <f>IF(Stammblatt!$I$9=TRUE,Kollektivvertrag!$E$60,Kollektivvertrag!E56)</f>
        <v>1615.7033321621798</v>
      </c>
      <c r="H149" s="842" t="str">
        <f t="shared" si="103"/>
        <v/>
      </c>
      <c r="I149" s="849" t="str">
        <f t="shared" si="104"/>
        <v/>
      </c>
      <c r="J149" s="747"/>
      <c r="K149" s="748"/>
      <c r="L149" s="359"/>
      <c r="M149" s="359"/>
      <c r="N149" s="334"/>
      <c r="O149" s="1405"/>
      <c r="P149" s="1431"/>
      <c r="Q149" s="1407"/>
      <c r="R149" s="1405"/>
      <c r="S149" s="514"/>
      <c r="T149" s="1405"/>
      <c r="U149" s="1405"/>
      <c r="V149" s="1433"/>
      <c r="W149" s="1433"/>
      <c r="X149" s="1405"/>
      <c r="Y149" s="1431"/>
      <c r="Z149" s="1407"/>
      <c r="AA149" s="1405"/>
      <c r="AB149" s="295"/>
      <c r="AC149" s="336"/>
      <c r="AD149" s="1411"/>
      <c r="AE149" s="1421"/>
      <c r="AF149" s="1409"/>
      <c r="AG149" s="1419"/>
      <c r="AH149" s="1411"/>
      <c r="AI149" s="1421"/>
      <c r="AJ149" s="1409"/>
      <c r="AK149" s="1419"/>
      <c r="AL149" s="1413"/>
      <c r="AM149" s="1421"/>
      <c r="AN149" s="1409"/>
      <c r="AO149" s="1419"/>
      <c r="AP149" s="1429"/>
      <c r="AQ149" s="1417">
        <f t="shared" si="105"/>
        <v>0</v>
      </c>
      <c r="AR149" s="1415">
        <f t="shared" si="106"/>
        <v>0</v>
      </c>
      <c r="AS149" s="310"/>
      <c r="AT149" s="310"/>
      <c r="AU149" s="393">
        <f>IF(AV149=TRUE,G149*0.8,G149)</f>
        <v>1615.7033321621798</v>
      </c>
      <c r="AV149" s="383" t="b">
        <v>0</v>
      </c>
      <c r="AW149" s="312">
        <f t="shared" si="109"/>
        <v>1938.8439985946156</v>
      </c>
      <c r="AX149" s="312">
        <f t="shared" si="110"/>
        <v>2100.4143318108336</v>
      </c>
      <c r="AY149" s="312"/>
      <c r="AZ149" s="312"/>
      <c r="BA149" s="315"/>
      <c r="BB149" s="196" t="s">
        <v>45</v>
      </c>
      <c r="BC149" s="196" t="s">
        <v>1024</v>
      </c>
      <c r="BD149" s="313"/>
      <c r="BE149" s="313"/>
      <c r="BF149" s="313"/>
      <c r="BG149" s="313"/>
      <c r="BH149" s="313"/>
      <c r="BI149" s="313"/>
      <c r="BJ149" s="313"/>
      <c r="BK149" s="313"/>
      <c r="BL149" s="313"/>
      <c r="BM149" s="313"/>
      <c r="BN149" s="313"/>
      <c r="BO149" s="313"/>
      <c r="BP149" s="313"/>
      <c r="BQ149" s="313"/>
      <c r="BR149" s="313"/>
      <c r="BS149" s="313"/>
      <c r="BT149" s="313"/>
      <c r="BU149" s="313"/>
      <c r="BV149" s="313"/>
      <c r="BW149" s="313"/>
      <c r="BX149" s="313"/>
      <c r="BY149" s="313"/>
      <c r="BZ149" s="313"/>
      <c r="CA149" s="313"/>
      <c r="CB149" s="313"/>
      <c r="CC149" s="313"/>
      <c r="CD149" s="313"/>
      <c r="CE149" s="313"/>
    </row>
    <row r="150" spans="1:83" s="101" customFormat="1" ht="12.75" customHeight="1" x14ac:dyDescent="0.2">
      <c r="A150" s="1099">
        <v>72</v>
      </c>
      <c r="B150" s="1096" t="str">
        <f>IF(Stammblatt!$L$4=1,'Kalkulation Herstellungskosten'!BB150,'Kalkulation Herstellungskosten'!BC150)</f>
        <v>Beleuchter*in</v>
      </c>
      <c r="C150" s="99">
        <v>0</v>
      </c>
      <c r="D150" s="385"/>
      <c r="E150" s="103"/>
      <c r="F150" s="1434">
        <f>C150*E150+C151*E151</f>
        <v>0</v>
      </c>
      <c r="G150" s="100">
        <f>IF(Stammblatt!$I$9=TRUE,Kollektivvertrag!$C$60,Kollektivvertrag!C56)</f>
        <v>1166.5728030051839</v>
      </c>
      <c r="H150" s="841" t="str">
        <f t="shared" si="103"/>
        <v/>
      </c>
      <c r="I150" s="848" t="str">
        <f t="shared" si="104"/>
        <v/>
      </c>
      <c r="J150" s="751"/>
      <c r="K150" s="751"/>
      <c r="L150" s="556">
        <f>F150*J150</f>
        <v>0</v>
      </c>
      <c r="M150" s="557">
        <f>F150*K150</f>
        <v>0</v>
      </c>
      <c r="N150" s="558" t="str">
        <f>IF((L150+M150)&lt;&gt;F150,"?","")</f>
        <v/>
      </c>
      <c r="O150" s="1404"/>
      <c r="P150" s="1430"/>
      <c r="Q150" s="1406"/>
      <c r="R150" s="1404"/>
      <c r="S150" s="514"/>
      <c r="T150" s="1404"/>
      <c r="U150" s="1404"/>
      <c r="V150" s="1432">
        <f>SUM(T150:U151)</f>
        <v>0</v>
      </c>
      <c r="W150" s="1432">
        <f>F150-V150</f>
        <v>0</v>
      </c>
      <c r="X150" s="1404"/>
      <c r="Y150" s="1430"/>
      <c r="Z150" s="1406"/>
      <c r="AA150" s="1404"/>
      <c r="AB150" s="295"/>
      <c r="AC150" s="336"/>
      <c r="AD150" s="1410"/>
      <c r="AE150" s="1420"/>
      <c r="AF150" s="1408"/>
      <c r="AG150" s="1418">
        <f>SUM(AE150:AF151)</f>
        <v>0</v>
      </c>
      <c r="AH150" s="1410"/>
      <c r="AI150" s="1420"/>
      <c r="AJ150" s="1408"/>
      <c r="AK150" s="1418">
        <f>SUM(AI150:AJ151)</f>
        <v>0</v>
      </c>
      <c r="AL150" s="1412"/>
      <c r="AM150" s="1420"/>
      <c r="AN150" s="1408"/>
      <c r="AO150" s="1418">
        <f>SUM(AM150:AN151)</f>
        <v>0</v>
      </c>
      <c r="AP150" s="1428">
        <f>SUM(F150,AD150,AH150,AL150)</f>
        <v>0</v>
      </c>
      <c r="AQ150" s="1416">
        <f t="shared" si="105"/>
        <v>0</v>
      </c>
      <c r="AR150" s="1414">
        <f t="shared" si="106"/>
        <v>0</v>
      </c>
      <c r="AS150" s="310"/>
      <c r="AT150" s="310"/>
      <c r="AU150" s="393">
        <f>IF(AV151=TRUE,G150*0.8,G150)</f>
        <v>1166.5728030051839</v>
      </c>
      <c r="AV150" s="383"/>
      <c r="AW150" s="312">
        <f t="shared" si="109"/>
        <v>1399.8873636062206</v>
      </c>
      <c r="AX150" s="312">
        <f t="shared" si="110"/>
        <v>1516.5446439067391</v>
      </c>
      <c r="AY150" s="312"/>
      <c r="AZ150" s="312"/>
      <c r="BA150" s="312"/>
      <c r="BB150" s="196" t="s">
        <v>841</v>
      </c>
      <c r="BC150" s="196" t="s">
        <v>1045</v>
      </c>
      <c r="BD150" s="313"/>
      <c r="BE150" s="313"/>
      <c r="BF150" s="313"/>
      <c r="BG150" s="313"/>
      <c r="BH150" s="313"/>
      <c r="BI150" s="313"/>
      <c r="BJ150" s="313"/>
      <c r="BK150" s="313"/>
      <c r="BL150" s="313"/>
      <c r="BM150" s="313"/>
      <c r="BN150" s="313"/>
      <c r="BO150" s="313"/>
      <c r="BP150" s="313"/>
      <c r="BQ150" s="313"/>
      <c r="BR150" s="313"/>
      <c r="BS150" s="313"/>
      <c r="BT150" s="313"/>
      <c r="BU150" s="313"/>
      <c r="BV150" s="313"/>
      <c r="BW150" s="313"/>
      <c r="BX150" s="313"/>
      <c r="BY150" s="313"/>
      <c r="BZ150" s="313"/>
      <c r="CA150" s="313"/>
      <c r="CB150" s="313"/>
      <c r="CC150" s="313"/>
      <c r="CD150" s="313"/>
      <c r="CE150" s="313"/>
    </row>
    <row r="151" spans="1:83" s="101" customFormat="1" ht="12.75" customHeight="1" x14ac:dyDescent="0.2">
      <c r="A151" s="1097"/>
      <c r="B151" s="1098" t="str">
        <f>IF(Stammblatt!$L$4=1,'Kalkulation Herstellungskosten'!BB151,'Kalkulation Herstellungskosten'!BC151)</f>
        <v xml:space="preserve">Wochenpauschale (§ 7 KV) </v>
      </c>
      <c r="C151" s="94">
        <v>0</v>
      </c>
      <c r="D151" s="386"/>
      <c r="E151" s="95"/>
      <c r="F151" s="1435"/>
      <c r="G151" s="96">
        <f>IF(Stammblatt!$I$9=TRUE,Kollektivvertrag!$E$60,Kollektivvertrag!E56)</f>
        <v>1615.7033321621798</v>
      </c>
      <c r="H151" s="842" t="str">
        <f t="shared" si="103"/>
        <v/>
      </c>
      <c r="I151" s="849" t="str">
        <f t="shared" si="104"/>
        <v/>
      </c>
      <c r="J151" s="747"/>
      <c r="K151" s="748"/>
      <c r="L151" s="359"/>
      <c r="M151" s="359"/>
      <c r="N151" s="334"/>
      <c r="O151" s="1405"/>
      <c r="P151" s="1431"/>
      <c r="Q151" s="1407"/>
      <c r="R151" s="1405"/>
      <c r="S151" s="514"/>
      <c r="T151" s="1405"/>
      <c r="U151" s="1405"/>
      <c r="V151" s="1433"/>
      <c r="W151" s="1433"/>
      <c r="X151" s="1405"/>
      <c r="Y151" s="1431"/>
      <c r="Z151" s="1407"/>
      <c r="AA151" s="1405"/>
      <c r="AB151" s="295"/>
      <c r="AC151" s="336"/>
      <c r="AD151" s="1411"/>
      <c r="AE151" s="1421"/>
      <c r="AF151" s="1409"/>
      <c r="AG151" s="1419"/>
      <c r="AH151" s="1411"/>
      <c r="AI151" s="1421"/>
      <c r="AJ151" s="1409"/>
      <c r="AK151" s="1419"/>
      <c r="AL151" s="1413"/>
      <c r="AM151" s="1421"/>
      <c r="AN151" s="1409"/>
      <c r="AO151" s="1419"/>
      <c r="AP151" s="1429"/>
      <c r="AQ151" s="1417">
        <f t="shared" si="105"/>
        <v>0</v>
      </c>
      <c r="AR151" s="1415">
        <f t="shared" si="106"/>
        <v>0</v>
      </c>
      <c r="AS151" s="310"/>
      <c r="AT151" s="310"/>
      <c r="AU151" s="393">
        <f>IF(AV151=TRUE,G151*0.8,G151)</f>
        <v>1615.7033321621798</v>
      </c>
      <c r="AV151" s="383" t="b">
        <v>0</v>
      </c>
      <c r="AW151" s="312">
        <f t="shared" si="109"/>
        <v>1938.8439985946156</v>
      </c>
      <c r="AX151" s="312">
        <f t="shared" si="110"/>
        <v>2100.4143318108336</v>
      </c>
      <c r="AY151" s="312"/>
      <c r="AZ151" s="312"/>
      <c r="BA151" s="315"/>
      <c r="BB151" s="196" t="s">
        <v>45</v>
      </c>
      <c r="BC151" s="196" t="s">
        <v>1024</v>
      </c>
      <c r="BD151" s="313"/>
      <c r="BE151" s="313"/>
      <c r="BF151" s="313"/>
      <c r="BG151" s="313"/>
      <c r="BH151" s="313"/>
      <c r="BI151" s="313"/>
      <c r="BJ151" s="313"/>
      <c r="BK151" s="313"/>
      <c r="BL151" s="313"/>
      <c r="BM151" s="313"/>
      <c r="BN151" s="313"/>
      <c r="BO151" s="313"/>
      <c r="BP151" s="313"/>
      <c r="BQ151" s="313"/>
      <c r="BR151" s="313"/>
      <c r="BS151" s="313"/>
      <c r="BT151" s="313"/>
      <c r="BU151" s="313"/>
      <c r="BV151" s="313"/>
      <c r="BW151" s="313"/>
      <c r="BX151" s="313"/>
      <c r="BY151" s="313"/>
      <c r="BZ151" s="313"/>
      <c r="CA151" s="313"/>
      <c r="CB151" s="313"/>
      <c r="CC151" s="313"/>
      <c r="CD151" s="313"/>
      <c r="CE151" s="313"/>
    </row>
    <row r="152" spans="1:83" s="101" customFormat="1" ht="12.75" customHeight="1" x14ac:dyDescent="0.2">
      <c r="A152" s="1099">
        <v>73</v>
      </c>
      <c r="B152" s="1096" t="str">
        <f>IF(Stammblatt!$L$4=1,'Kalkulation Herstellungskosten'!BB152,'Kalkulation Herstellungskosten'!BC152)</f>
        <v>Beleuchter*in</v>
      </c>
      <c r="C152" s="99">
        <v>0</v>
      </c>
      <c r="D152" s="385"/>
      <c r="E152" s="103"/>
      <c r="F152" s="1434">
        <f>C152*E152+C153*E153</f>
        <v>0</v>
      </c>
      <c r="G152" s="100">
        <f>IF(Stammblatt!$I$9=TRUE,Kollektivvertrag!$C$60,Kollektivvertrag!C56)</f>
        <v>1166.5728030051839</v>
      </c>
      <c r="H152" s="841" t="str">
        <f t="shared" ref="H152:H167" si="117">IF(E152&gt;G152*1.1,C152*(E152-G152*1.1),"")</f>
        <v/>
      </c>
      <c r="I152" s="848" t="str">
        <f t="shared" ref="I152:I167" si="118">IF(E152=0,"",E152/G152-1)</f>
        <v/>
      </c>
      <c r="J152" s="751"/>
      <c r="K152" s="751"/>
      <c r="L152" s="556">
        <f>F152*J152</f>
        <v>0</v>
      </c>
      <c r="M152" s="557">
        <f>F152*K152</f>
        <v>0</v>
      </c>
      <c r="N152" s="558" t="str">
        <f>IF((L152+M152)&lt;&gt;F152,"?","")</f>
        <v/>
      </c>
      <c r="O152" s="1404"/>
      <c r="P152" s="1430"/>
      <c r="Q152" s="1406"/>
      <c r="R152" s="1404"/>
      <c r="S152" s="514"/>
      <c r="T152" s="1404"/>
      <c r="U152" s="1404"/>
      <c r="V152" s="1432">
        <f>SUM(T152:U153)</f>
        <v>0</v>
      </c>
      <c r="W152" s="1432">
        <f>F152-V152</f>
        <v>0</v>
      </c>
      <c r="X152" s="1404"/>
      <c r="Y152" s="1430"/>
      <c r="Z152" s="1406"/>
      <c r="AA152" s="1404"/>
      <c r="AB152" s="295"/>
      <c r="AC152" s="336"/>
      <c r="AD152" s="1410"/>
      <c r="AE152" s="1420"/>
      <c r="AF152" s="1408"/>
      <c r="AG152" s="1418">
        <f>SUM(AE152:AF153)</f>
        <v>0</v>
      </c>
      <c r="AH152" s="1410"/>
      <c r="AI152" s="1420"/>
      <c r="AJ152" s="1408"/>
      <c r="AK152" s="1418">
        <f>SUM(AI152:AJ153)</f>
        <v>0</v>
      </c>
      <c r="AL152" s="1412"/>
      <c r="AM152" s="1420"/>
      <c r="AN152" s="1408"/>
      <c r="AO152" s="1418">
        <f>SUM(AM152:AN153)</f>
        <v>0</v>
      </c>
      <c r="AP152" s="1428">
        <f>SUM(F152,AD152,AH152,AL152)</f>
        <v>0</v>
      </c>
      <c r="AQ152" s="1416">
        <f t="shared" si="105"/>
        <v>0</v>
      </c>
      <c r="AR152" s="1414">
        <f t="shared" si="106"/>
        <v>0</v>
      </c>
      <c r="AS152" s="310"/>
      <c r="AT152" s="310"/>
      <c r="AU152" s="393">
        <f>IF(AV153=TRUE,G152*0.8,G152)</f>
        <v>1166.5728030051839</v>
      </c>
      <c r="AV152" s="383"/>
      <c r="AW152" s="312">
        <f t="shared" si="109"/>
        <v>1399.8873636062206</v>
      </c>
      <c r="AX152" s="312">
        <f t="shared" si="110"/>
        <v>1516.5446439067391</v>
      </c>
      <c r="AY152" s="312"/>
      <c r="AZ152" s="312"/>
      <c r="BA152" s="312"/>
      <c r="BB152" s="196" t="s">
        <v>841</v>
      </c>
      <c r="BC152" s="196" t="s">
        <v>1045</v>
      </c>
      <c r="BD152" s="313"/>
      <c r="BE152" s="313"/>
      <c r="BF152" s="313"/>
      <c r="BG152" s="313"/>
      <c r="BH152" s="313"/>
      <c r="BI152" s="313"/>
      <c r="BJ152" s="313"/>
      <c r="BK152" s="313"/>
      <c r="BL152" s="313"/>
      <c r="BM152" s="313"/>
      <c r="BN152" s="313"/>
      <c r="BO152" s="313"/>
      <c r="BP152" s="313"/>
      <c r="BQ152" s="313"/>
      <c r="BR152" s="313"/>
      <c r="BS152" s="313"/>
      <c r="BT152" s="313"/>
      <c r="BU152" s="313"/>
      <c r="BV152" s="313"/>
      <c r="BW152" s="313"/>
      <c r="BX152" s="313"/>
      <c r="BY152" s="313"/>
      <c r="BZ152" s="313"/>
      <c r="CA152" s="313"/>
      <c r="CB152" s="313"/>
      <c r="CC152" s="313"/>
      <c r="CD152" s="313"/>
      <c r="CE152" s="313"/>
    </row>
    <row r="153" spans="1:83" s="101" customFormat="1" ht="12.75" customHeight="1" x14ac:dyDescent="0.2">
      <c r="A153" s="1097"/>
      <c r="B153" s="1098" t="str">
        <f>IF(Stammblatt!$L$4=1,'Kalkulation Herstellungskosten'!BB153,'Kalkulation Herstellungskosten'!BC153)</f>
        <v xml:space="preserve">Wochenpauschale (§ 7 KV) </v>
      </c>
      <c r="C153" s="94">
        <v>0</v>
      </c>
      <c r="D153" s="386"/>
      <c r="E153" s="95"/>
      <c r="F153" s="1435"/>
      <c r="G153" s="96">
        <f>IF(Stammblatt!$I$9=TRUE,Kollektivvertrag!$E$60,Kollektivvertrag!E56)</f>
        <v>1615.7033321621798</v>
      </c>
      <c r="H153" s="842" t="str">
        <f t="shared" si="117"/>
        <v/>
      </c>
      <c r="I153" s="849" t="str">
        <f t="shared" si="118"/>
        <v/>
      </c>
      <c r="J153" s="747"/>
      <c r="K153" s="748"/>
      <c r="L153" s="359"/>
      <c r="M153" s="359"/>
      <c r="N153" s="334"/>
      <c r="O153" s="1405"/>
      <c r="P153" s="1431"/>
      <c r="Q153" s="1407"/>
      <c r="R153" s="1405"/>
      <c r="S153" s="514"/>
      <c r="T153" s="1405"/>
      <c r="U153" s="1405"/>
      <c r="V153" s="1433"/>
      <c r="W153" s="1433"/>
      <c r="X153" s="1405"/>
      <c r="Y153" s="1431"/>
      <c r="Z153" s="1407"/>
      <c r="AA153" s="1405"/>
      <c r="AB153" s="295"/>
      <c r="AC153" s="336"/>
      <c r="AD153" s="1411"/>
      <c r="AE153" s="1421"/>
      <c r="AF153" s="1409"/>
      <c r="AG153" s="1419"/>
      <c r="AH153" s="1411"/>
      <c r="AI153" s="1421"/>
      <c r="AJ153" s="1409"/>
      <c r="AK153" s="1419"/>
      <c r="AL153" s="1413"/>
      <c r="AM153" s="1421"/>
      <c r="AN153" s="1409"/>
      <c r="AO153" s="1419"/>
      <c r="AP153" s="1429"/>
      <c r="AQ153" s="1417">
        <f t="shared" si="105"/>
        <v>0</v>
      </c>
      <c r="AR153" s="1415">
        <f t="shared" si="106"/>
        <v>0</v>
      </c>
      <c r="AS153" s="310"/>
      <c r="AT153" s="310"/>
      <c r="AU153" s="393">
        <f>IF(AV153=TRUE,G153*0.8,G153)</f>
        <v>1615.7033321621798</v>
      </c>
      <c r="AV153" s="383" t="b">
        <v>0</v>
      </c>
      <c r="AW153" s="312">
        <f t="shared" si="109"/>
        <v>1938.8439985946156</v>
      </c>
      <c r="AX153" s="312">
        <f t="shared" si="110"/>
        <v>2100.4143318108336</v>
      </c>
      <c r="AY153" s="312"/>
      <c r="AZ153" s="312"/>
      <c r="BA153" s="315"/>
      <c r="BB153" s="196" t="s">
        <v>45</v>
      </c>
      <c r="BC153" s="196" t="s">
        <v>1024</v>
      </c>
      <c r="BD153" s="313"/>
      <c r="BE153" s="313"/>
      <c r="BF153" s="313"/>
      <c r="BG153" s="313"/>
      <c r="BH153" s="313"/>
      <c r="BI153" s="313"/>
      <c r="BJ153" s="313"/>
      <c r="BK153" s="313"/>
      <c r="BL153" s="313"/>
      <c r="BM153" s="313"/>
      <c r="BN153" s="313"/>
      <c r="BO153" s="313"/>
      <c r="BP153" s="313"/>
      <c r="BQ153" s="313"/>
      <c r="BR153" s="313"/>
      <c r="BS153" s="313"/>
      <c r="BT153" s="313"/>
      <c r="BU153" s="313"/>
      <c r="BV153" s="313"/>
      <c r="BW153" s="313"/>
      <c r="BX153" s="313"/>
      <c r="BY153" s="313"/>
      <c r="BZ153" s="313"/>
      <c r="CA153" s="313"/>
      <c r="CB153" s="313"/>
      <c r="CC153" s="313"/>
      <c r="CD153" s="313"/>
      <c r="CE153" s="313"/>
    </row>
    <row r="154" spans="1:83" s="101" customFormat="1" ht="12.75" customHeight="1" x14ac:dyDescent="0.2">
      <c r="A154" s="1100">
        <v>74</v>
      </c>
      <c r="B154" s="1096" t="str">
        <f>IF(Stammblatt!$L$4=1,'Kalkulation Herstellungskosten'!BB154,'Kalkulation Herstellungskosten'!BC154)</f>
        <v>Jungbeleuchter*in</v>
      </c>
      <c r="C154" s="99">
        <v>0</v>
      </c>
      <c r="D154" s="385"/>
      <c r="E154" s="103"/>
      <c r="F154" s="1434">
        <f>C154*E154+C155*E155</f>
        <v>0</v>
      </c>
      <c r="G154" s="100">
        <f>IF(Stammblatt!$I$9=TRUE,Kollektivvertrag!$C$60,Kollektivvertrag!C72)</f>
        <v>888.72192768254502</v>
      </c>
      <c r="H154" s="841" t="str">
        <f t="shared" si="117"/>
        <v/>
      </c>
      <c r="I154" s="848" t="str">
        <f t="shared" si="118"/>
        <v/>
      </c>
      <c r="J154" s="751"/>
      <c r="K154" s="751"/>
      <c r="L154" s="556">
        <f>F154*J154</f>
        <v>0</v>
      </c>
      <c r="M154" s="557">
        <f>F154*K154</f>
        <v>0</v>
      </c>
      <c r="N154" s="558" t="str">
        <f>IF((L154+M154)&lt;&gt;F154,"?","")</f>
        <v/>
      </c>
      <c r="O154" s="1404"/>
      <c r="P154" s="1430"/>
      <c r="Q154" s="1406"/>
      <c r="R154" s="1404"/>
      <c r="S154" s="514"/>
      <c r="T154" s="1404"/>
      <c r="U154" s="1404"/>
      <c r="V154" s="1432">
        <f>SUM(T154:U155)</f>
        <v>0</v>
      </c>
      <c r="W154" s="1432">
        <f>F154-V154</f>
        <v>0</v>
      </c>
      <c r="X154" s="1404"/>
      <c r="Y154" s="1430"/>
      <c r="Z154" s="1406"/>
      <c r="AA154" s="1404"/>
      <c r="AB154" s="295"/>
      <c r="AC154" s="336"/>
      <c r="AD154" s="1410"/>
      <c r="AE154" s="1420"/>
      <c r="AF154" s="1408"/>
      <c r="AG154" s="1418">
        <f>SUM(AE154:AF155)</f>
        <v>0</v>
      </c>
      <c r="AH154" s="1410"/>
      <c r="AI154" s="1420"/>
      <c r="AJ154" s="1408"/>
      <c r="AK154" s="1418">
        <f>SUM(AI154:AJ155)</f>
        <v>0</v>
      </c>
      <c r="AL154" s="1412"/>
      <c r="AM154" s="1420"/>
      <c r="AN154" s="1408"/>
      <c r="AO154" s="1418">
        <f>SUM(AM154:AN155)</f>
        <v>0</v>
      </c>
      <c r="AP154" s="1428">
        <f>SUM(F154,AD154,AH154,AL154)</f>
        <v>0</v>
      </c>
      <c r="AQ154" s="1416">
        <f t="shared" si="105"/>
        <v>0</v>
      </c>
      <c r="AR154" s="1414">
        <f t="shared" si="106"/>
        <v>0</v>
      </c>
      <c r="AS154" s="310"/>
      <c r="AT154" s="310"/>
      <c r="AU154" s="393">
        <f>IF(AV155=TRUE,G154*0.8,G154)</f>
        <v>888.72192768254502</v>
      </c>
      <c r="AV154" s="383"/>
      <c r="AW154" s="312">
        <f t="shared" ref="AW154:AW155" si="119">G154*1.2</f>
        <v>1066.466313219054</v>
      </c>
      <c r="AX154" s="312">
        <f t="shared" ref="AX154:AX155" si="120">G154*1.3</f>
        <v>1155.3385059873085</v>
      </c>
      <c r="AY154" s="312"/>
      <c r="AZ154" s="312"/>
      <c r="BA154" s="315"/>
      <c r="BB154" s="196" t="s">
        <v>948</v>
      </c>
      <c r="BC154" s="196" t="s">
        <v>1046</v>
      </c>
      <c r="BD154" s="313"/>
      <c r="BE154" s="313"/>
      <c r="BF154" s="313"/>
      <c r="BG154" s="313"/>
      <c r="BH154" s="313"/>
      <c r="BI154" s="313"/>
      <c r="BJ154" s="313"/>
      <c r="BK154" s="313"/>
      <c r="BL154" s="313"/>
      <c r="BM154" s="313"/>
      <c r="BN154" s="313"/>
      <c r="BO154" s="313"/>
      <c r="BP154" s="313"/>
      <c r="BQ154" s="313"/>
      <c r="BR154" s="313"/>
      <c r="BS154" s="313"/>
      <c r="BT154" s="313"/>
      <c r="BU154" s="313"/>
      <c r="BV154" s="313"/>
      <c r="BW154" s="313"/>
      <c r="BX154" s="313"/>
      <c r="BY154" s="313"/>
      <c r="BZ154" s="313"/>
      <c r="CA154" s="313"/>
      <c r="CB154" s="313"/>
      <c r="CC154" s="313"/>
      <c r="CD154" s="313"/>
      <c r="CE154" s="313"/>
    </row>
    <row r="155" spans="1:83" s="101" customFormat="1" ht="12.75" customHeight="1" x14ac:dyDescent="0.2">
      <c r="A155" s="1100"/>
      <c r="B155" s="1098" t="str">
        <f>IF(Stammblatt!$L$4=1,'Kalkulation Herstellungskosten'!BB155,'Kalkulation Herstellungskosten'!BC155)</f>
        <v xml:space="preserve">Wochenpauschale (§ 7 KV) </v>
      </c>
      <c r="C155" s="94">
        <v>0</v>
      </c>
      <c r="D155" s="386"/>
      <c r="E155" s="95"/>
      <c r="F155" s="1435"/>
      <c r="G155" s="96">
        <f>IF(Stammblatt!$I$9=TRUE,Kollektivvertrag!$E$60,Kollektivvertrag!E72)</f>
        <v>1230.8798698403248</v>
      </c>
      <c r="H155" s="842" t="str">
        <f t="shared" si="117"/>
        <v/>
      </c>
      <c r="I155" s="849" t="str">
        <f t="shared" si="118"/>
        <v/>
      </c>
      <c r="J155" s="747"/>
      <c r="K155" s="748"/>
      <c r="L155" s="359"/>
      <c r="M155" s="359"/>
      <c r="N155" s="334"/>
      <c r="O155" s="1405"/>
      <c r="P155" s="1431"/>
      <c r="Q155" s="1407"/>
      <c r="R155" s="1405"/>
      <c r="S155" s="514"/>
      <c r="T155" s="1405"/>
      <c r="U155" s="1405"/>
      <c r="V155" s="1433"/>
      <c r="W155" s="1433"/>
      <c r="X155" s="1405"/>
      <c r="Y155" s="1431"/>
      <c r="Z155" s="1407"/>
      <c r="AA155" s="1405"/>
      <c r="AB155" s="295"/>
      <c r="AC155" s="336"/>
      <c r="AD155" s="1411"/>
      <c r="AE155" s="1421"/>
      <c r="AF155" s="1409"/>
      <c r="AG155" s="1419"/>
      <c r="AH155" s="1411"/>
      <c r="AI155" s="1421"/>
      <c r="AJ155" s="1409"/>
      <c r="AK155" s="1419"/>
      <c r="AL155" s="1413"/>
      <c r="AM155" s="1421"/>
      <c r="AN155" s="1409"/>
      <c r="AO155" s="1419"/>
      <c r="AP155" s="1429"/>
      <c r="AQ155" s="1417">
        <f t="shared" si="105"/>
        <v>0</v>
      </c>
      <c r="AR155" s="1415">
        <f t="shared" si="106"/>
        <v>0</v>
      </c>
      <c r="AS155" s="310"/>
      <c r="AT155" s="310"/>
      <c r="AU155" s="393">
        <f>IF(AV155=TRUE,G155*0.8,G155)</f>
        <v>1230.8798698403248</v>
      </c>
      <c r="AV155" s="383" t="b">
        <v>0</v>
      </c>
      <c r="AW155" s="312">
        <f t="shared" si="119"/>
        <v>1477.0558438083897</v>
      </c>
      <c r="AX155" s="312">
        <f t="shared" si="120"/>
        <v>1600.1438307924222</v>
      </c>
      <c r="AY155" s="312"/>
      <c r="AZ155" s="312"/>
      <c r="BA155" s="315"/>
      <c r="BB155" s="196" t="s">
        <v>45</v>
      </c>
      <c r="BC155" s="196" t="s">
        <v>1024</v>
      </c>
      <c r="BD155" s="313"/>
      <c r="BE155" s="313"/>
      <c r="BF155" s="313"/>
      <c r="BG155" s="313"/>
      <c r="BH155" s="313"/>
      <c r="BI155" s="313"/>
      <c r="BJ155" s="313"/>
      <c r="BK155" s="313"/>
      <c r="BL155" s="313"/>
      <c r="BM155" s="313"/>
      <c r="BN155" s="313"/>
      <c r="BO155" s="313"/>
      <c r="BP155" s="313"/>
      <c r="BQ155" s="313"/>
      <c r="BR155" s="313"/>
      <c r="BS155" s="313"/>
      <c r="BT155" s="313"/>
      <c r="BU155" s="313"/>
      <c r="BV155" s="313"/>
      <c r="BW155" s="313"/>
      <c r="BX155" s="313"/>
      <c r="BY155" s="313"/>
      <c r="BZ155" s="313"/>
      <c r="CA155" s="313"/>
      <c r="CB155" s="313"/>
      <c r="CC155" s="313"/>
      <c r="CD155" s="313"/>
      <c r="CE155" s="313"/>
    </row>
    <row r="156" spans="1:83" s="101" customFormat="1" ht="12.75" customHeight="1" x14ac:dyDescent="0.2">
      <c r="A156" s="1099">
        <v>75</v>
      </c>
      <c r="B156" s="1096" t="str">
        <f>IF(Stammblatt!$L$4=1,'Kalkulation Herstellungskosten'!BB156,'Kalkulation Herstellungskosten'!BC156)</f>
        <v>Bühnenmeister*in</v>
      </c>
      <c r="C156" s="99">
        <v>0</v>
      </c>
      <c r="D156" s="385"/>
      <c r="E156" s="103"/>
      <c r="F156" s="1434">
        <f>C156*E156+C157*E157</f>
        <v>0</v>
      </c>
      <c r="G156" s="100">
        <f ca="1">IF(AND(Stammblatt!$I$9=TRUE,GHSTK&lt;=1220000),Kollektivvertrag!$C$60,IF(AND(Stammblatt!$I$9=TRUE,GHSTK&lt;=1570000),Kollektivvertrag!C55/2,Kollektivvertrag!C55))</f>
        <v>1541.5438781676044</v>
      </c>
      <c r="H156" s="841" t="str">
        <f t="shared" ca="1" si="117"/>
        <v/>
      </c>
      <c r="I156" s="848" t="str">
        <f t="shared" si="118"/>
        <v/>
      </c>
      <c r="J156" s="751"/>
      <c r="K156" s="751"/>
      <c r="L156" s="556">
        <f>F156*J156</f>
        <v>0</v>
      </c>
      <c r="M156" s="557">
        <f>F156*K156</f>
        <v>0</v>
      </c>
      <c r="N156" s="558" t="str">
        <f>IF((L156+M156)&lt;&gt;F156,"?","")</f>
        <v/>
      </c>
      <c r="O156" s="1404"/>
      <c r="P156" s="1430"/>
      <c r="Q156" s="1406"/>
      <c r="R156" s="1404"/>
      <c r="S156" s="514"/>
      <c r="T156" s="1404"/>
      <c r="U156" s="1404"/>
      <c r="V156" s="1432">
        <f>SUM(T156:U157)</f>
        <v>0</v>
      </c>
      <c r="W156" s="1432">
        <f>F156-V156</f>
        <v>0</v>
      </c>
      <c r="X156" s="1404"/>
      <c r="Y156" s="1430"/>
      <c r="Z156" s="1406"/>
      <c r="AA156" s="1404"/>
      <c r="AB156" s="295"/>
      <c r="AC156" s="336"/>
      <c r="AD156" s="1410"/>
      <c r="AE156" s="1420"/>
      <c r="AF156" s="1408"/>
      <c r="AG156" s="1418">
        <f>SUM(AE156:AF157)</f>
        <v>0</v>
      </c>
      <c r="AH156" s="1410"/>
      <c r="AI156" s="1420"/>
      <c r="AJ156" s="1408"/>
      <c r="AK156" s="1418">
        <f>SUM(AI156:AJ157)</f>
        <v>0</v>
      </c>
      <c r="AL156" s="1412"/>
      <c r="AM156" s="1420"/>
      <c r="AN156" s="1408"/>
      <c r="AO156" s="1418">
        <f>SUM(AM156:AN157)</f>
        <v>0</v>
      </c>
      <c r="AP156" s="1428">
        <f>SUM(F156,AD156,AH156,AL156)</f>
        <v>0</v>
      </c>
      <c r="AQ156" s="1416">
        <f t="shared" si="105"/>
        <v>0</v>
      </c>
      <c r="AR156" s="1414">
        <f t="shared" si="106"/>
        <v>0</v>
      </c>
      <c r="AS156" s="310"/>
      <c r="AT156" s="310"/>
      <c r="AU156" s="393">
        <f ca="1">IF(AV157=TRUE,G156*0.8,G156)</f>
        <v>1541.5438781676044</v>
      </c>
      <c r="AV156" s="383"/>
      <c r="AW156" s="312">
        <f t="shared" ca="1" si="109"/>
        <v>1849.8526538011251</v>
      </c>
      <c r="AX156" s="312">
        <f t="shared" ca="1" si="110"/>
        <v>2004.0070416178858</v>
      </c>
      <c r="AY156" s="312"/>
      <c r="AZ156" s="312"/>
      <c r="BA156" s="312"/>
      <c r="BB156" s="196" t="s">
        <v>790</v>
      </c>
      <c r="BC156" s="196" t="s">
        <v>370</v>
      </c>
      <c r="BD156" s="313"/>
      <c r="BE156" s="313"/>
      <c r="BF156" s="313"/>
      <c r="BG156" s="313"/>
      <c r="BH156" s="313"/>
      <c r="BI156" s="313"/>
      <c r="BJ156" s="313"/>
      <c r="BK156" s="313"/>
      <c r="BL156" s="313"/>
      <c r="BM156" s="313"/>
      <c r="BN156" s="313"/>
      <c r="BO156" s="313"/>
      <c r="BP156" s="313"/>
      <c r="BQ156" s="313"/>
      <c r="BR156" s="313"/>
      <c r="BS156" s="313"/>
      <c r="BT156" s="313"/>
      <c r="BU156" s="313"/>
      <c r="BV156" s="313"/>
      <c r="BW156" s="313"/>
      <c r="BX156" s="313"/>
      <c r="BY156" s="313"/>
      <c r="BZ156" s="313"/>
      <c r="CA156" s="313"/>
      <c r="CB156" s="313"/>
      <c r="CC156" s="313"/>
      <c r="CD156" s="313"/>
      <c r="CE156" s="313"/>
    </row>
    <row r="157" spans="1:83" s="101" customFormat="1" ht="12.75" customHeight="1" x14ac:dyDescent="0.2">
      <c r="A157" s="1097"/>
      <c r="B157" s="1098" t="str">
        <f>IF(Stammblatt!$L$4=1,'Kalkulation Herstellungskosten'!BB157,'Kalkulation Herstellungskosten'!BC157)</f>
        <v xml:space="preserve">Wochenpauschale (§ 7 KV) </v>
      </c>
      <c r="C157" s="94">
        <v>0</v>
      </c>
      <c r="D157" s="386"/>
      <c r="E157" s="95"/>
      <c r="F157" s="1435"/>
      <c r="G157" s="96">
        <f ca="1">IF(AND(Stammblatt!$I$9=TRUE,GHSTK&lt;=1220000),Kollektivvertrag!$E$60,IF(AND(Stammblatt!$I$9=TRUE,GHSTK&lt;=1570000),Kollektivvertrag!E55/2,Kollektivvertrag!E55))</f>
        <v>2135.0382712621322</v>
      </c>
      <c r="H157" s="842" t="str">
        <f t="shared" ca="1" si="117"/>
        <v/>
      </c>
      <c r="I157" s="849" t="str">
        <f t="shared" si="118"/>
        <v/>
      </c>
      <c r="J157" s="747"/>
      <c r="K157" s="748"/>
      <c r="L157" s="359"/>
      <c r="M157" s="359"/>
      <c r="N157" s="334"/>
      <c r="O157" s="1405"/>
      <c r="P157" s="1431"/>
      <c r="Q157" s="1407"/>
      <c r="R157" s="1405"/>
      <c r="S157" s="514"/>
      <c r="T157" s="1405"/>
      <c r="U157" s="1405"/>
      <c r="V157" s="1433"/>
      <c r="W157" s="1433"/>
      <c r="X157" s="1405"/>
      <c r="Y157" s="1431"/>
      <c r="Z157" s="1407"/>
      <c r="AA157" s="1405"/>
      <c r="AB157" s="295"/>
      <c r="AC157" s="336"/>
      <c r="AD157" s="1411"/>
      <c r="AE157" s="1421"/>
      <c r="AF157" s="1409"/>
      <c r="AG157" s="1419"/>
      <c r="AH157" s="1411"/>
      <c r="AI157" s="1421"/>
      <c r="AJ157" s="1409"/>
      <c r="AK157" s="1419"/>
      <c r="AL157" s="1413"/>
      <c r="AM157" s="1421"/>
      <c r="AN157" s="1409"/>
      <c r="AO157" s="1419"/>
      <c r="AP157" s="1429"/>
      <c r="AQ157" s="1417">
        <f t="shared" si="105"/>
        <v>0</v>
      </c>
      <c r="AR157" s="1415">
        <f t="shared" si="106"/>
        <v>0</v>
      </c>
      <c r="AS157" s="310"/>
      <c r="AT157" s="310"/>
      <c r="AU157" s="393">
        <f ca="1">IF(AV157=TRUE,G157*0.8,G157)</f>
        <v>2135.0382712621322</v>
      </c>
      <c r="AV157" s="383" t="b">
        <v>0</v>
      </c>
      <c r="AW157" s="312">
        <f t="shared" ca="1" si="109"/>
        <v>2562.0459255145583</v>
      </c>
      <c r="AX157" s="312">
        <f t="shared" ca="1" si="110"/>
        <v>2775.5497526407721</v>
      </c>
      <c r="AY157" s="312"/>
      <c r="AZ157" s="312"/>
      <c r="BA157" s="315"/>
      <c r="BB157" s="196" t="s">
        <v>45</v>
      </c>
      <c r="BC157" s="196" t="s">
        <v>1024</v>
      </c>
      <c r="BD157" s="313"/>
      <c r="BE157" s="313"/>
      <c r="BF157" s="313"/>
      <c r="BG157" s="313"/>
      <c r="BH157" s="313"/>
      <c r="BI157" s="313"/>
      <c r="BJ157" s="313"/>
      <c r="BK157" s="313"/>
      <c r="BL157" s="313"/>
      <c r="BM157" s="313"/>
      <c r="BN157" s="313"/>
      <c r="BO157" s="313"/>
      <c r="BP157" s="313"/>
      <c r="BQ157" s="313"/>
      <c r="BR157" s="313"/>
      <c r="BS157" s="313"/>
      <c r="BT157" s="313"/>
      <c r="BU157" s="313"/>
      <c r="BV157" s="313"/>
      <c r="BW157" s="313"/>
      <c r="BX157" s="313"/>
      <c r="BY157" s="313"/>
      <c r="BZ157" s="313"/>
      <c r="CA157" s="313"/>
      <c r="CB157" s="313"/>
      <c r="CC157" s="313"/>
      <c r="CD157" s="313"/>
      <c r="CE157" s="313"/>
    </row>
    <row r="158" spans="1:83" s="101" customFormat="1" ht="12.75" customHeight="1" x14ac:dyDescent="0.2">
      <c r="A158" s="1099">
        <v>76</v>
      </c>
      <c r="B158" s="1096" t="str">
        <f>IF(Stammblatt!$L$4=1,'Kalkulation Herstellungskosten'!BB158,'Kalkulation Herstellungskosten'!BC158)</f>
        <v>Bühne</v>
      </c>
      <c r="C158" s="99">
        <v>0</v>
      </c>
      <c r="D158" s="385"/>
      <c r="E158" s="103"/>
      <c r="F158" s="1434">
        <f>C158*E158+C159*E159</f>
        <v>0</v>
      </c>
      <c r="G158" s="100">
        <f>IF(Stammblatt!$I$9=TRUE,Kollektivvertrag!$C$60,Kollektivvertrag!C56)</f>
        <v>1166.5728030051839</v>
      </c>
      <c r="H158" s="841" t="str">
        <f t="shared" si="117"/>
        <v/>
      </c>
      <c r="I158" s="848" t="str">
        <f t="shared" si="118"/>
        <v/>
      </c>
      <c r="J158" s="751"/>
      <c r="K158" s="751"/>
      <c r="L158" s="556">
        <f>F158*J158</f>
        <v>0</v>
      </c>
      <c r="M158" s="557">
        <f>F158*K158</f>
        <v>0</v>
      </c>
      <c r="N158" s="558" t="str">
        <f>IF((L158+M158)&lt;&gt;F158,"?","")</f>
        <v/>
      </c>
      <c r="O158" s="1404"/>
      <c r="P158" s="1430"/>
      <c r="Q158" s="1406"/>
      <c r="R158" s="1404"/>
      <c r="S158" s="514"/>
      <c r="T158" s="1404"/>
      <c r="U158" s="1404"/>
      <c r="V158" s="1432">
        <f>SUM(T158:U159)</f>
        <v>0</v>
      </c>
      <c r="W158" s="1432">
        <f>F158-V158</f>
        <v>0</v>
      </c>
      <c r="X158" s="1404"/>
      <c r="Y158" s="1430"/>
      <c r="Z158" s="1406"/>
      <c r="AA158" s="1404"/>
      <c r="AB158" s="295"/>
      <c r="AC158" s="336"/>
      <c r="AD158" s="1410"/>
      <c r="AE158" s="1420"/>
      <c r="AF158" s="1408"/>
      <c r="AG158" s="1418">
        <f>SUM(AE158:AF159)</f>
        <v>0</v>
      </c>
      <c r="AH158" s="1410"/>
      <c r="AI158" s="1420"/>
      <c r="AJ158" s="1408"/>
      <c r="AK158" s="1418">
        <f>SUM(AI158:AJ159)</f>
        <v>0</v>
      </c>
      <c r="AL158" s="1412"/>
      <c r="AM158" s="1420"/>
      <c r="AN158" s="1408"/>
      <c r="AO158" s="1418">
        <f>SUM(AM158:AN159)</f>
        <v>0</v>
      </c>
      <c r="AP158" s="1428">
        <f>SUM(F158,AD158,AH158,AL158)</f>
        <v>0</v>
      </c>
      <c r="AQ158" s="1416">
        <f t="shared" si="105"/>
        <v>0</v>
      </c>
      <c r="AR158" s="1414">
        <f t="shared" si="106"/>
        <v>0</v>
      </c>
      <c r="AS158" s="310"/>
      <c r="AT158" s="310"/>
      <c r="AU158" s="393">
        <f>IF(AV159=TRUE,G158*0.8,G158)</f>
        <v>1166.5728030051839</v>
      </c>
      <c r="AV158" s="383"/>
      <c r="AW158" s="312">
        <f t="shared" si="109"/>
        <v>1399.8873636062206</v>
      </c>
      <c r="AX158" s="312">
        <f t="shared" si="110"/>
        <v>1516.5446439067391</v>
      </c>
      <c r="AY158" s="312"/>
      <c r="AZ158" s="312"/>
      <c r="BA158" s="312"/>
      <c r="BB158" s="196" t="s">
        <v>119</v>
      </c>
      <c r="BC158" s="196" t="s">
        <v>1044</v>
      </c>
      <c r="BD158" s="313"/>
      <c r="BE158" s="313"/>
      <c r="BF158" s="313"/>
      <c r="BG158" s="313"/>
      <c r="BH158" s="313"/>
      <c r="BI158" s="313"/>
      <c r="BJ158" s="313"/>
      <c r="BK158" s="313"/>
      <c r="BL158" s="313"/>
      <c r="BM158" s="313"/>
      <c r="BN158" s="313"/>
      <c r="BO158" s="313"/>
      <c r="BP158" s="313"/>
      <c r="BQ158" s="313"/>
      <c r="BR158" s="313"/>
      <c r="BS158" s="313"/>
      <c r="BT158" s="313"/>
      <c r="BU158" s="313"/>
      <c r="BV158" s="313"/>
      <c r="BW158" s="313"/>
      <c r="BX158" s="313"/>
      <c r="BY158" s="313"/>
      <c r="BZ158" s="313"/>
      <c r="CA158" s="313"/>
      <c r="CB158" s="313"/>
      <c r="CC158" s="313"/>
      <c r="CD158" s="313"/>
      <c r="CE158" s="313"/>
    </row>
    <row r="159" spans="1:83" s="101" customFormat="1" ht="12.75" customHeight="1" x14ac:dyDescent="0.2">
      <c r="A159" s="1097"/>
      <c r="B159" s="1098" t="str">
        <f>IF(Stammblatt!$L$4=1,'Kalkulation Herstellungskosten'!BB159,'Kalkulation Herstellungskosten'!BC159)</f>
        <v xml:space="preserve">Wochenpauschale (§ 7 KV) </v>
      </c>
      <c r="C159" s="94">
        <v>0</v>
      </c>
      <c r="D159" s="386"/>
      <c r="E159" s="95"/>
      <c r="F159" s="1435"/>
      <c r="G159" s="96">
        <f>IF(Stammblatt!$I$9=TRUE,Kollektivvertrag!$E$60,Kollektivvertrag!E56)</f>
        <v>1615.7033321621798</v>
      </c>
      <c r="H159" s="842" t="str">
        <f t="shared" si="117"/>
        <v/>
      </c>
      <c r="I159" s="849" t="str">
        <f t="shared" si="118"/>
        <v/>
      </c>
      <c r="J159" s="747"/>
      <c r="K159" s="748"/>
      <c r="L159" s="359"/>
      <c r="M159" s="359"/>
      <c r="N159" s="334"/>
      <c r="O159" s="1405"/>
      <c r="P159" s="1431"/>
      <c r="Q159" s="1407"/>
      <c r="R159" s="1405"/>
      <c r="S159" s="514"/>
      <c r="T159" s="1405"/>
      <c r="U159" s="1405"/>
      <c r="V159" s="1433"/>
      <c r="W159" s="1433"/>
      <c r="X159" s="1405"/>
      <c r="Y159" s="1431"/>
      <c r="Z159" s="1407"/>
      <c r="AA159" s="1405"/>
      <c r="AB159" s="295"/>
      <c r="AC159" s="336"/>
      <c r="AD159" s="1411"/>
      <c r="AE159" s="1421"/>
      <c r="AF159" s="1409"/>
      <c r="AG159" s="1419"/>
      <c r="AH159" s="1411"/>
      <c r="AI159" s="1421"/>
      <c r="AJ159" s="1409"/>
      <c r="AK159" s="1419"/>
      <c r="AL159" s="1413"/>
      <c r="AM159" s="1421"/>
      <c r="AN159" s="1409"/>
      <c r="AO159" s="1419"/>
      <c r="AP159" s="1429"/>
      <c r="AQ159" s="1417">
        <f t="shared" si="105"/>
        <v>0</v>
      </c>
      <c r="AR159" s="1415">
        <f t="shared" si="106"/>
        <v>0</v>
      </c>
      <c r="AS159" s="310"/>
      <c r="AT159" s="310"/>
      <c r="AU159" s="393">
        <f>IF(AV159=TRUE,G159*0.8,G159)</f>
        <v>1615.7033321621798</v>
      </c>
      <c r="AV159" s="383" t="b">
        <v>0</v>
      </c>
      <c r="AW159" s="312">
        <f t="shared" si="109"/>
        <v>1938.8439985946156</v>
      </c>
      <c r="AX159" s="312">
        <f t="shared" si="110"/>
        <v>2100.4143318108336</v>
      </c>
      <c r="AY159" s="312"/>
      <c r="AZ159" s="312"/>
      <c r="BA159" s="315"/>
      <c r="BB159" s="196" t="s">
        <v>45</v>
      </c>
      <c r="BC159" s="196" t="s">
        <v>1024</v>
      </c>
      <c r="BD159" s="313"/>
      <c r="BE159" s="313"/>
      <c r="BF159" s="313"/>
      <c r="BG159" s="313"/>
      <c r="BH159" s="313"/>
      <c r="BI159" s="313"/>
      <c r="BJ159" s="313"/>
      <c r="BK159" s="313"/>
      <c r="BL159" s="313"/>
      <c r="BM159" s="313"/>
      <c r="BN159" s="313"/>
      <c r="BO159" s="313"/>
      <c r="BP159" s="313"/>
      <c r="BQ159" s="313"/>
      <c r="BR159" s="313"/>
      <c r="BS159" s="313"/>
      <c r="BT159" s="313"/>
      <c r="BU159" s="313"/>
      <c r="BV159" s="313"/>
      <c r="BW159" s="313"/>
      <c r="BX159" s="313"/>
      <c r="BY159" s="313"/>
      <c r="BZ159" s="313"/>
      <c r="CA159" s="313"/>
      <c r="CB159" s="313"/>
      <c r="CC159" s="313"/>
      <c r="CD159" s="313"/>
      <c r="CE159" s="313"/>
    </row>
    <row r="160" spans="1:83" s="101" customFormat="1" ht="12.75" customHeight="1" x14ac:dyDescent="0.2">
      <c r="A160" s="1099">
        <v>77</v>
      </c>
      <c r="B160" s="1096" t="str">
        <f>IF(Stammblatt!$L$4=1,'Kalkulation Herstellungskosten'!BB160,'Kalkulation Herstellungskosten'!BC160)</f>
        <v>Bühne</v>
      </c>
      <c r="C160" s="99">
        <v>0</v>
      </c>
      <c r="D160" s="385"/>
      <c r="E160" s="103"/>
      <c r="F160" s="1434">
        <f>C160*E160+C161*E161</f>
        <v>0</v>
      </c>
      <c r="G160" s="100">
        <f>IF(Stammblatt!$I$9=TRUE,Kollektivvertrag!$C$60,Kollektivvertrag!C56)</f>
        <v>1166.5728030051839</v>
      </c>
      <c r="H160" s="841" t="str">
        <f t="shared" si="117"/>
        <v/>
      </c>
      <c r="I160" s="848" t="str">
        <f t="shared" si="118"/>
        <v/>
      </c>
      <c r="J160" s="751"/>
      <c r="K160" s="751"/>
      <c r="L160" s="556">
        <f>F160*J160</f>
        <v>0</v>
      </c>
      <c r="M160" s="557">
        <f>F160*K160</f>
        <v>0</v>
      </c>
      <c r="N160" s="558" t="str">
        <f>IF((L160+M160)&lt;&gt;F160,"?","")</f>
        <v/>
      </c>
      <c r="O160" s="1404"/>
      <c r="P160" s="1430"/>
      <c r="Q160" s="1406"/>
      <c r="R160" s="1404"/>
      <c r="S160" s="514"/>
      <c r="T160" s="1404"/>
      <c r="U160" s="1404"/>
      <c r="V160" s="1432">
        <f>SUM(T160:U161)</f>
        <v>0</v>
      </c>
      <c r="W160" s="1432">
        <f>F160-V160</f>
        <v>0</v>
      </c>
      <c r="X160" s="1404"/>
      <c r="Y160" s="1430"/>
      <c r="Z160" s="1406"/>
      <c r="AA160" s="1404"/>
      <c r="AB160" s="295"/>
      <c r="AC160" s="336"/>
      <c r="AD160" s="1410"/>
      <c r="AE160" s="1420"/>
      <c r="AF160" s="1408"/>
      <c r="AG160" s="1418">
        <f>SUM(AE160:AF161)</f>
        <v>0</v>
      </c>
      <c r="AH160" s="1410"/>
      <c r="AI160" s="1420"/>
      <c r="AJ160" s="1408"/>
      <c r="AK160" s="1418">
        <f>SUM(AI160:AJ161)</f>
        <v>0</v>
      </c>
      <c r="AL160" s="1412"/>
      <c r="AM160" s="1420"/>
      <c r="AN160" s="1408"/>
      <c r="AO160" s="1418">
        <f>SUM(AM160:AN161)</f>
        <v>0</v>
      </c>
      <c r="AP160" s="1428">
        <f>SUM(F160,AD160,AH160,AL160)</f>
        <v>0</v>
      </c>
      <c r="AQ160" s="1416">
        <f t="shared" si="105"/>
        <v>0</v>
      </c>
      <c r="AR160" s="1414">
        <f t="shared" si="106"/>
        <v>0</v>
      </c>
      <c r="AS160" s="310"/>
      <c r="AT160" s="310"/>
      <c r="AU160" s="393">
        <f>IF(AV161=TRUE,G160*0.8,G160)</f>
        <v>1166.5728030051839</v>
      </c>
      <c r="AV160" s="383"/>
      <c r="AW160" s="312">
        <f t="shared" si="109"/>
        <v>1399.8873636062206</v>
      </c>
      <c r="AX160" s="312">
        <f t="shared" si="110"/>
        <v>1516.5446439067391</v>
      </c>
      <c r="AY160" s="312"/>
      <c r="AZ160" s="312"/>
      <c r="BA160" s="312"/>
      <c r="BB160" s="196" t="s">
        <v>119</v>
      </c>
      <c r="BC160" s="196" t="s">
        <v>1044</v>
      </c>
      <c r="BD160" s="313"/>
      <c r="BE160" s="313"/>
      <c r="BF160" s="313"/>
      <c r="BG160" s="313"/>
      <c r="BH160" s="313"/>
      <c r="BI160" s="313"/>
      <c r="BJ160" s="313"/>
      <c r="BK160" s="313"/>
      <c r="BL160" s="313"/>
      <c r="BM160" s="313"/>
      <c r="BN160" s="313"/>
      <c r="BO160" s="313"/>
      <c r="BP160" s="313"/>
      <c r="BQ160" s="313"/>
      <c r="BR160" s="313"/>
      <c r="BS160" s="313"/>
      <c r="BT160" s="313"/>
      <c r="BU160" s="313"/>
      <c r="BV160" s="313"/>
      <c r="BW160" s="313"/>
      <c r="BX160" s="313"/>
      <c r="BY160" s="313"/>
      <c r="BZ160" s="313"/>
      <c r="CA160" s="313"/>
      <c r="CB160" s="313"/>
      <c r="CC160" s="313"/>
      <c r="CD160" s="313"/>
      <c r="CE160" s="313"/>
    </row>
    <row r="161" spans="1:83" s="101" customFormat="1" ht="12.75" customHeight="1" x14ac:dyDescent="0.2">
      <c r="A161" s="1097"/>
      <c r="B161" s="1098" t="str">
        <f>IF(Stammblatt!$L$4=1,'Kalkulation Herstellungskosten'!BB161,'Kalkulation Herstellungskosten'!BC161)</f>
        <v xml:space="preserve">Wochenpauschale (§ 7 KV) </v>
      </c>
      <c r="C161" s="94">
        <v>0</v>
      </c>
      <c r="D161" s="386"/>
      <c r="E161" s="95"/>
      <c r="F161" s="1435"/>
      <c r="G161" s="96">
        <f>IF(Stammblatt!$I$9=TRUE,Kollektivvertrag!$E$60,Kollektivvertrag!E56)</f>
        <v>1615.7033321621798</v>
      </c>
      <c r="H161" s="842" t="str">
        <f t="shared" si="117"/>
        <v/>
      </c>
      <c r="I161" s="849" t="str">
        <f t="shared" si="118"/>
        <v/>
      </c>
      <c r="J161" s="747"/>
      <c r="K161" s="748"/>
      <c r="L161" s="359"/>
      <c r="M161" s="359"/>
      <c r="N161" s="334"/>
      <c r="O161" s="1405"/>
      <c r="P161" s="1431"/>
      <c r="Q161" s="1407"/>
      <c r="R161" s="1405"/>
      <c r="S161" s="514"/>
      <c r="T161" s="1405"/>
      <c r="U161" s="1405"/>
      <c r="V161" s="1433"/>
      <c r="W161" s="1433"/>
      <c r="X161" s="1405"/>
      <c r="Y161" s="1431"/>
      <c r="Z161" s="1407"/>
      <c r="AA161" s="1405"/>
      <c r="AB161" s="295"/>
      <c r="AC161" s="336"/>
      <c r="AD161" s="1411"/>
      <c r="AE161" s="1421"/>
      <c r="AF161" s="1409"/>
      <c r="AG161" s="1419"/>
      <c r="AH161" s="1411"/>
      <c r="AI161" s="1421"/>
      <c r="AJ161" s="1409"/>
      <c r="AK161" s="1419"/>
      <c r="AL161" s="1413"/>
      <c r="AM161" s="1421"/>
      <c r="AN161" s="1409"/>
      <c r="AO161" s="1419"/>
      <c r="AP161" s="1429"/>
      <c r="AQ161" s="1417">
        <f t="shared" si="105"/>
        <v>0</v>
      </c>
      <c r="AR161" s="1415">
        <f t="shared" si="106"/>
        <v>0</v>
      </c>
      <c r="AS161" s="310"/>
      <c r="AT161" s="310"/>
      <c r="AU161" s="393">
        <f>IF(AV161=TRUE,G161*0.8,G161)</f>
        <v>1615.7033321621798</v>
      </c>
      <c r="AV161" s="383" t="b">
        <v>0</v>
      </c>
      <c r="AW161" s="312">
        <f t="shared" si="109"/>
        <v>1938.8439985946156</v>
      </c>
      <c r="AX161" s="312">
        <f t="shared" si="110"/>
        <v>2100.4143318108336</v>
      </c>
      <c r="AY161" s="312"/>
      <c r="AZ161" s="312"/>
      <c r="BA161" s="315"/>
      <c r="BB161" s="196" t="s">
        <v>45</v>
      </c>
      <c r="BC161" s="196" t="s">
        <v>1024</v>
      </c>
      <c r="BD161" s="313"/>
      <c r="BE161" s="313"/>
      <c r="BF161" s="313"/>
      <c r="BG161" s="313"/>
      <c r="BH161" s="313"/>
      <c r="BI161" s="313"/>
      <c r="BJ161" s="313"/>
      <c r="BK161" s="313"/>
      <c r="BL161" s="313"/>
      <c r="BM161" s="313"/>
      <c r="BN161" s="313"/>
      <c r="BO161" s="313"/>
      <c r="BP161" s="313"/>
      <c r="BQ161" s="313"/>
      <c r="BR161" s="313"/>
      <c r="BS161" s="313"/>
      <c r="BT161" s="313"/>
      <c r="BU161" s="313"/>
      <c r="BV161" s="313"/>
      <c r="BW161" s="313"/>
      <c r="BX161" s="313"/>
      <c r="BY161" s="313"/>
      <c r="BZ161" s="313"/>
      <c r="CA161" s="313"/>
      <c r="CB161" s="313"/>
      <c r="CC161" s="313"/>
      <c r="CD161" s="313"/>
      <c r="CE161" s="313"/>
    </row>
    <row r="162" spans="1:83" s="101" customFormat="1" ht="12.75" customHeight="1" x14ac:dyDescent="0.2">
      <c r="A162" s="1099">
        <v>78</v>
      </c>
      <c r="B162" s="1096" t="str">
        <f>IF(Stammblatt!$L$4=1,'Kalkulation Herstellungskosten'!BB162,'Kalkulation Herstellungskosten'!BC162)</f>
        <v>Bühne</v>
      </c>
      <c r="C162" s="99">
        <v>0</v>
      </c>
      <c r="D162" s="385"/>
      <c r="E162" s="103"/>
      <c r="F162" s="1434">
        <f>C162*E162+C163*E163</f>
        <v>0</v>
      </c>
      <c r="G162" s="100">
        <f>IF(Stammblatt!$I$9=TRUE,Kollektivvertrag!$C$60,Kollektivvertrag!C56)</f>
        <v>1166.5728030051839</v>
      </c>
      <c r="H162" s="841" t="str">
        <f t="shared" si="117"/>
        <v/>
      </c>
      <c r="I162" s="848" t="str">
        <f t="shared" si="118"/>
        <v/>
      </c>
      <c r="J162" s="751"/>
      <c r="K162" s="751"/>
      <c r="L162" s="556">
        <f>F162*J162</f>
        <v>0</v>
      </c>
      <c r="M162" s="557">
        <f>F162*K162</f>
        <v>0</v>
      </c>
      <c r="N162" s="558" t="str">
        <f>IF((L162+M162)&lt;&gt;F162,"?","")</f>
        <v/>
      </c>
      <c r="O162" s="1404"/>
      <c r="P162" s="1430"/>
      <c r="Q162" s="1406"/>
      <c r="R162" s="1404"/>
      <c r="S162" s="514"/>
      <c r="T162" s="1404"/>
      <c r="U162" s="1404"/>
      <c r="V162" s="1432">
        <f>SUM(T162:U163)</f>
        <v>0</v>
      </c>
      <c r="W162" s="1432">
        <f>F162-V162</f>
        <v>0</v>
      </c>
      <c r="X162" s="1404"/>
      <c r="Y162" s="1430"/>
      <c r="Z162" s="1406"/>
      <c r="AA162" s="1404"/>
      <c r="AB162" s="295"/>
      <c r="AC162" s="336"/>
      <c r="AD162" s="1410"/>
      <c r="AE162" s="1420"/>
      <c r="AF162" s="1408"/>
      <c r="AG162" s="1418">
        <f>SUM(AE162:AF163)</f>
        <v>0</v>
      </c>
      <c r="AH162" s="1410"/>
      <c r="AI162" s="1420"/>
      <c r="AJ162" s="1408"/>
      <c r="AK162" s="1418">
        <f>SUM(AI162:AJ163)</f>
        <v>0</v>
      </c>
      <c r="AL162" s="1412"/>
      <c r="AM162" s="1420"/>
      <c r="AN162" s="1408"/>
      <c r="AO162" s="1418">
        <f>SUM(AM162:AN163)</f>
        <v>0</v>
      </c>
      <c r="AP162" s="1428">
        <f>SUM(F162,AD162,AH162,AL162)</f>
        <v>0</v>
      </c>
      <c r="AQ162" s="1416">
        <f t="shared" si="105"/>
        <v>0</v>
      </c>
      <c r="AR162" s="1414">
        <f t="shared" si="106"/>
        <v>0</v>
      </c>
      <c r="AS162" s="310"/>
      <c r="AT162" s="310"/>
      <c r="AU162" s="393">
        <f>IF(AV163=TRUE,G162*0.8,G162)</f>
        <v>1166.5728030051839</v>
      </c>
      <c r="AV162" s="383"/>
      <c r="AW162" s="312">
        <f t="shared" si="109"/>
        <v>1399.8873636062206</v>
      </c>
      <c r="AX162" s="312">
        <f t="shared" si="110"/>
        <v>1516.5446439067391</v>
      </c>
      <c r="AY162" s="312"/>
      <c r="AZ162" s="312"/>
      <c r="BA162" s="312"/>
      <c r="BB162" s="196" t="s">
        <v>119</v>
      </c>
      <c r="BC162" s="196" t="s">
        <v>1044</v>
      </c>
      <c r="BD162" s="313"/>
      <c r="BE162" s="313"/>
      <c r="BF162" s="313"/>
      <c r="BG162" s="313"/>
      <c r="BH162" s="313"/>
      <c r="BI162" s="313"/>
      <c r="BJ162" s="313"/>
      <c r="BK162" s="313"/>
      <c r="BL162" s="313"/>
      <c r="BM162" s="313"/>
      <c r="BN162" s="313"/>
      <c r="BO162" s="313"/>
      <c r="BP162" s="313"/>
      <c r="BQ162" s="313"/>
      <c r="BR162" s="313"/>
      <c r="BS162" s="313"/>
      <c r="BT162" s="313"/>
      <c r="BU162" s="313"/>
      <c r="BV162" s="313"/>
      <c r="BW162" s="313"/>
      <c r="BX162" s="313"/>
      <c r="BY162" s="313"/>
      <c r="BZ162" s="313"/>
      <c r="CA162" s="313"/>
      <c r="CB162" s="313"/>
      <c r="CC162" s="313"/>
      <c r="CD162" s="313"/>
      <c r="CE162" s="313"/>
    </row>
    <row r="163" spans="1:83" s="101" customFormat="1" ht="12.75" customHeight="1" x14ac:dyDescent="0.2">
      <c r="A163" s="1097"/>
      <c r="B163" s="1098" t="str">
        <f>IF(Stammblatt!$L$4=1,'Kalkulation Herstellungskosten'!BB163,'Kalkulation Herstellungskosten'!BC163)</f>
        <v xml:space="preserve">Wochenpauschale (§ 7 KV) </v>
      </c>
      <c r="C163" s="94">
        <v>0</v>
      </c>
      <c r="D163" s="386"/>
      <c r="E163" s="95"/>
      <c r="F163" s="1435"/>
      <c r="G163" s="96">
        <f>IF(Stammblatt!$I$9=TRUE,Kollektivvertrag!$E$60,Kollektivvertrag!E56)</f>
        <v>1615.7033321621798</v>
      </c>
      <c r="H163" s="842" t="str">
        <f t="shared" si="117"/>
        <v/>
      </c>
      <c r="I163" s="849" t="str">
        <f t="shared" si="118"/>
        <v/>
      </c>
      <c r="J163" s="747"/>
      <c r="K163" s="748"/>
      <c r="L163" s="359"/>
      <c r="M163" s="359"/>
      <c r="N163" s="334"/>
      <c r="O163" s="1405"/>
      <c r="P163" s="1431"/>
      <c r="Q163" s="1407"/>
      <c r="R163" s="1405"/>
      <c r="S163" s="514"/>
      <c r="T163" s="1405"/>
      <c r="U163" s="1405"/>
      <c r="V163" s="1433"/>
      <c r="W163" s="1433"/>
      <c r="X163" s="1405"/>
      <c r="Y163" s="1431"/>
      <c r="Z163" s="1407"/>
      <c r="AA163" s="1405"/>
      <c r="AB163" s="295"/>
      <c r="AC163" s="336"/>
      <c r="AD163" s="1411"/>
      <c r="AE163" s="1421"/>
      <c r="AF163" s="1409"/>
      <c r="AG163" s="1419"/>
      <c r="AH163" s="1411"/>
      <c r="AI163" s="1421"/>
      <c r="AJ163" s="1409"/>
      <c r="AK163" s="1419"/>
      <c r="AL163" s="1413"/>
      <c r="AM163" s="1421"/>
      <c r="AN163" s="1409"/>
      <c r="AO163" s="1419"/>
      <c r="AP163" s="1429"/>
      <c r="AQ163" s="1417">
        <f t="shared" si="105"/>
        <v>0</v>
      </c>
      <c r="AR163" s="1415">
        <f t="shared" si="106"/>
        <v>0</v>
      </c>
      <c r="AS163" s="310"/>
      <c r="AT163" s="310"/>
      <c r="AU163" s="393">
        <f>IF(AV163=TRUE,G163*0.8,G163)</f>
        <v>1615.7033321621798</v>
      </c>
      <c r="AV163" s="383" t="b">
        <v>0</v>
      </c>
      <c r="AW163" s="312">
        <f t="shared" si="109"/>
        <v>1938.8439985946156</v>
      </c>
      <c r="AX163" s="312">
        <f t="shared" si="110"/>
        <v>2100.4143318108336</v>
      </c>
      <c r="AY163" s="312"/>
      <c r="AZ163" s="312"/>
      <c r="BA163" s="315"/>
      <c r="BB163" s="196" t="s">
        <v>45</v>
      </c>
      <c r="BC163" s="196" t="s">
        <v>1024</v>
      </c>
      <c r="BD163" s="313"/>
      <c r="BE163" s="313"/>
      <c r="BF163" s="313"/>
      <c r="BG163" s="313"/>
      <c r="BH163" s="313"/>
      <c r="BI163" s="313"/>
      <c r="BJ163" s="313"/>
      <c r="BK163" s="313"/>
      <c r="BL163" s="313"/>
      <c r="BM163" s="313"/>
      <c r="BN163" s="313"/>
      <c r="BO163" s="313"/>
      <c r="BP163" s="313"/>
      <c r="BQ163" s="313"/>
      <c r="BR163" s="313"/>
      <c r="BS163" s="313"/>
      <c r="BT163" s="313"/>
      <c r="BU163" s="313"/>
      <c r="BV163" s="313"/>
      <c r="BW163" s="313"/>
      <c r="BX163" s="313"/>
      <c r="BY163" s="313"/>
      <c r="BZ163" s="313"/>
      <c r="CA163" s="313"/>
      <c r="CB163" s="313"/>
      <c r="CC163" s="313"/>
      <c r="CD163" s="313"/>
      <c r="CE163" s="313"/>
    </row>
    <row r="164" spans="1:83" s="101" customFormat="1" ht="12.75" customHeight="1" x14ac:dyDescent="0.2">
      <c r="A164" s="1099">
        <v>79</v>
      </c>
      <c r="B164" s="1096" t="str">
        <f>IF(Stammblatt!$L$4=1,'Kalkulation Herstellungskosten'!BB164,'Kalkulation Herstellungskosten'!BC164)</f>
        <v>Musikaufnahmeleiter*in</v>
      </c>
      <c r="C164" s="99">
        <v>0</v>
      </c>
      <c r="D164" s="385"/>
      <c r="E164" s="103"/>
      <c r="F164" s="1434">
        <f>C164*E164+C165*E165</f>
        <v>0</v>
      </c>
      <c r="G164" s="100">
        <f ca="1">IF(AND(Stammblatt!$I$9=TRUE,GHSTK&lt;=1220000),Kollektivvertrag!$C$60,IF(AND(Stammblatt!$I$9=TRUE,GHSTK&lt;=1570000),Kollektivvertrag!C20/2,Kollektivvertrag!C20))</f>
        <v>1553.1169435310383</v>
      </c>
      <c r="H164" s="841" t="str">
        <f t="shared" ca="1" si="117"/>
        <v/>
      </c>
      <c r="I164" s="848" t="str">
        <f t="shared" si="118"/>
        <v/>
      </c>
      <c r="J164" s="751"/>
      <c r="K164" s="751"/>
      <c r="L164" s="556">
        <f>F164*J164</f>
        <v>0</v>
      </c>
      <c r="M164" s="557">
        <f>F164*K164</f>
        <v>0</v>
      </c>
      <c r="N164" s="558" t="str">
        <f>IF((L164+M164)&lt;&gt;F164,"?","")</f>
        <v/>
      </c>
      <c r="O164" s="1404"/>
      <c r="P164" s="1430"/>
      <c r="Q164" s="1406"/>
      <c r="R164" s="1404"/>
      <c r="S164" s="514"/>
      <c r="T164" s="1404"/>
      <c r="U164" s="1404"/>
      <c r="V164" s="1432">
        <f>SUM(T164:U165)</f>
        <v>0</v>
      </c>
      <c r="W164" s="1432">
        <f>F164-V164</f>
        <v>0</v>
      </c>
      <c r="X164" s="1404"/>
      <c r="Y164" s="1430"/>
      <c r="Z164" s="1406"/>
      <c r="AA164" s="1404"/>
      <c r="AB164" s="295"/>
      <c r="AC164" s="336"/>
      <c r="AD164" s="1410"/>
      <c r="AE164" s="1420"/>
      <c r="AF164" s="1408"/>
      <c r="AG164" s="1418">
        <f>SUM(AE164:AF165)</f>
        <v>0</v>
      </c>
      <c r="AH164" s="1410"/>
      <c r="AI164" s="1420"/>
      <c r="AJ164" s="1408"/>
      <c r="AK164" s="1418">
        <f>SUM(AI164:AJ165)</f>
        <v>0</v>
      </c>
      <c r="AL164" s="1412"/>
      <c r="AM164" s="1420"/>
      <c r="AN164" s="1408"/>
      <c r="AO164" s="1418">
        <f>SUM(AM164:AN165)</f>
        <v>0</v>
      </c>
      <c r="AP164" s="1428">
        <f>SUM(F164,AD164,AH164,AL164)</f>
        <v>0</v>
      </c>
      <c r="AQ164" s="1416">
        <f t="shared" si="105"/>
        <v>0</v>
      </c>
      <c r="AR164" s="1414">
        <f t="shared" si="106"/>
        <v>0</v>
      </c>
      <c r="AS164" s="310"/>
      <c r="AT164" s="310"/>
      <c r="AU164" s="393">
        <f ca="1">IF(AV165=TRUE,G164*0.8,G164)</f>
        <v>1553.1169435310383</v>
      </c>
      <c r="AV164" s="383"/>
      <c r="AW164" s="312">
        <f t="shared" ca="1" si="109"/>
        <v>1863.7403322372459</v>
      </c>
      <c r="AX164" s="312">
        <f t="shared" ca="1" si="110"/>
        <v>2019.0520265903499</v>
      </c>
      <c r="AY164" s="312"/>
      <c r="AZ164" s="312"/>
      <c r="BA164" s="312"/>
      <c r="BB164" s="196" t="s">
        <v>842</v>
      </c>
      <c r="BC164" s="196" t="s">
        <v>371</v>
      </c>
      <c r="BD164" s="313"/>
      <c r="BE164" s="313"/>
      <c r="BF164" s="313"/>
      <c r="BG164" s="313"/>
      <c r="BH164" s="313"/>
      <c r="BI164" s="313"/>
      <c r="BJ164" s="313"/>
      <c r="BK164" s="313"/>
      <c r="BL164" s="313"/>
      <c r="BM164" s="313"/>
      <c r="BN164" s="313"/>
      <c r="BO164" s="313"/>
      <c r="BP164" s="313"/>
      <c r="BQ164" s="313"/>
      <c r="BR164" s="313"/>
      <c r="BS164" s="313"/>
      <c r="BT164" s="313"/>
      <c r="BU164" s="313"/>
      <c r="BV164" s="313"/>
      <c r="BW164" s="313"/>
      <c r="BX164" s="313"/>
      <c r="BY164" s="313"/>
      <c r="BZ164" s="313"/>
      <c r="CA164" s="313"/>
      <c r="CB164" s="313"/>
      <c r="CC164" s="313"/>
      <c r="CD164" s="313"/>
      <c r="CE164" s="313"/>
    </row>
    <row r="165" spans="1:83" s="101" customFormat="1" ht="12.75" customHeight="1" x14ac:dyDescent="0.2">
      <c r="A165" s="1097"/>
      <c r="B165" s="1098" t="str">
        <f>IF(Stammblatt!$L$4=1,'Kalkulation Herstellungskosten'!BB165,'Kalkulation Herstellungskosten'!BC165)</f>
        <v xml:space="preserve">Wochenpauschale (§ 7 KV) </v>
      </c>
      <c r="C165" s="94">
        <v>0</v>
      </c>
      <c r="D165" s="386"/>
      <c r="E165" s="95"/>
      <c r="F165" s="1435"/>
      <c r="G165" s="96">
        <f ca="1">IF(AND(Stammblatt!$I$9=TRUE,GHSTK&lt;=1220000),Kollektivvertrag!$E$60,IF(AND(Stammblatt!$I$9=TRUE,GHSTK&lt;=1570000),Kollektivvertrag!E20/2,Kollektivvertrag!E20))</f>
        <v>2151.0669667904881</v>
      </c>
      <c r="H165" s="842" t="str">
        <f t="shared" ca="1" si="117"/>
        <v/>
      </c>
      <c r="I165" s="849" t="str">
        <f t="shared" si="118"/>
        <v/>
      </c>
      <c r="J165" s="747"/>
      <c r="K165" s="748"/>
      <c r="L165" s="359"/>
      <c r="M165" s="359"/>
      <c r="N165" s="334"/>
      <c r="O165" s="1405"/>
      <c r="P165" s="1431"/>
      <c r="Q165" s="1407"/>
      <c r="R165" s="1405"/>
      <c r="S165" s="514"/>
      <c r="T165" s="1405"/>
      <c r="U165" s="1405"/>
      <c r="V165" s="1433"/>
      <c r="W165" s="1433"/>
      <c r="X165" s="1405"/>
      <c r="Y165" s="1431"/>
      <c r="Z165" s="1407"/>
      <c r="AA165" s="1405"/>
      <c r="AB165" s="295"/>
      <c r="AC165" s="336"/>
      <c r="AD165" s="1411"/>
      <c r="AE165" s="1421"/>
      <c r="AF165" s="1409"/>
      <c r="AG165" s="1419"/>
      <c r="AH165" s="1411"/>
      <c r="AI165" s="1421"/>
      <c r="AJ165" s="1409"/>
      <c r="AK165" s="1419"/>
      <c r="AL165" s="1413"/>
      <c r="AM165" s="1421"/>
      <c r="AN165" s="1409"/>
      <c r="AO165" s="1419"/>
      <c r="AP165" s="1429"/>
      <c r="AQ165" s="1417">
        <f t="shared" si="105"/>
        <v>0</v>
      </c>
      <c r="AR165" s="1415">
        <f t="shared" si="106"/>
        <v>0</v>
      </c>
      <c r="AS165" s="310"/>
      <c r="AT165" s="310"/>
      <c r="AU165" s="393">
        <f ca="1">IF(AV165=TRUE,G165*0.8,G165)</f>
        <v>2151.0669667904881</v>
      </c>
      <c r="AV165" s="383" t="b">
        <v>0</v>
      </c>
      <c r="AW165" s="312">
        <f t="shared" ca="1" si="109"/>
        <v>2581.2803601485857</v>
      </c>
      <c r="AX165" s="312">
        <f t="shared" ca="1" si="110"/>
        <v>2796.3870568276348</v>
      </c>
      <c r="AY165" s="312"/>
      <c r="AZ165" s="312"/>
      <c r="BA165" s="315"/>
      <c r="BB165" s="196" t="s">
        <v>45</v>
      </c>
      <c r="BC165" s="196" t="s">
        <v>1024</v>
      </c>
      <c r="BD165" s="313"/>
      <c r="BE165" s="313"/>
      <c r="BF165" s="313"/>
      <c r="BG165" s="313"/>
      <c r="BH165" s="313"/>
      <c r="BI165" s="313"/>
      <c r="BJ165" s="313"/>
      <c r="BK165" s="313"/>
      <c r="BL165" s="313"/>
      <c r="BM165" s="313"/>
      <c r="BN165" s="313"/>
      <c r="BO165" s="313"/>
      <c r="BP165" s="313"/>
      <c r="BQ165" s="313"/>
      <c r="BR165" s="313"/>
      <c r="BS165" s="313"/>
      <c r="BT165" s="313"/>
      <c r="BU165" s="313"/>
      <c r="BV165" s="313"/>
      <c r="BW165" s="313"/>
      <c r="BX165" s="313"/>
      <c r="BY165" s="313"/>
      <c r="BZ165" s="313"/>
      <c r="CA165" s="313"/>
      <c r="CB165" s="313"/>
      <c r="CC165" s="313"/>
      <c r="CD165" s="313"/>
      <c r="CE165" s="313"/>
    </row>
    <row r="166" spans="1:83" s="101" customFormat="1" ht="12.75" customHeight="1" x14ac:dyDescent="0.2">
      <c r="A166" s="1099">
        <v>80</v>
      </c>
      <c r="B166" s="1096" t="str">
        <f>IF(Stammblatt!$L$4=1,'Kalkulation Herstellungskosten'!BB166,'Kalkulation Herstellungskosten'!BC166)</f>
        <v>Synchronregie</v>
      </c>
      <c r="C166" s="99">
        <v>0</v>
      </c>
      <c r="D166" s="385"/>
      <c r="E166" s="103"/>
      <c r="F166" s="1434">
        <f>C166*E166+C167*E167</f>
        <v>0</v>
      </c>
      <c r="G166" s="100">
        <f ca="1">IF(AND(Stammblatt!$I$9=TRUE,GHSTK&lt;=1220000),Kollektivvertrag!$C$60,IF(AND(Stammblatt!$I$9=TRUE,GHSTK&lt;=1570000),Kollektivvertrag!C25/2,Kollektivvertrag!C25))</f>
        <v>2725.8661879274541</v>
      </c>
      <c r="H166" s="841" t="str">
        <f t="shared" ca="1" si="117"/>
        <v/>
      </c>
      <c r="I166" s="848" t="str">
        <f t="shared" si="118"/>
        <v/>
      </c>
      <c r="J166" s="751"/>
      <c r="K166" s="751"/>
      <c r="L166" s="556">
        <f>F166*J166</f>
        <v>0</v>
      </c>
      <c r="M166" s="557">
        <f>F166*K166</f>
        <v>0</v>
      </c>
      <c r="N166" s="558" t="str">
        <f>IF((L166+M166)&lt;&gt;F166,"?","")</f>
        <v/>
      </c>
      <c r="O166" s="1404"/>
      <c r="P166" s="1430"/>
      <c r="Q166" s="1406"/>
      <c r="R166" s="1404"/>
      <c r="S166" s="514"/>
      <c r="T166" s="1404"/>
      <c r="U166" s="1404"/>
      <c r="V166" s="1432">
        <f>SUM(T166:U167)</f>
        <v>0</v>
      </c>
      <c r="W166" s="1432">
        <f>F166-V166</f>
        <v>0</v>
      </c>
      <c r="X166" s="1404"/>
      <c r="Y166" s="1430"/>
      <c r="Z166" s="1406"/>
      <c r="AA166" s="1404"/>
      <c r="AB166" s="295"/>
      <c r="AC166" s="336"/>
      <c r="AD166" s="1410"/>
      <c r="AE166" s="1420"/>
      <c r="AF166" s="1408"/>
      <c r="AG166" s="1418">
        <f>SUM(AE166:AF167)</f>
        <v>0</v>
      </c>
      <c r="AH166" s="1410"/>
      <c r="AI166" s="1420"/>
      <c r="AJ166" s="1408"/>
      <c r="AK166" s="1418">
        <f>SUM(AI166:AJ167)</f>
        <v>0</v>
      </c>
      <c r="AL166" s="1412"/>
      <c r="AM166" s="1420"/>
      <c r="AN166" s="1408"/>
      <c r="AO166" s="1418">
        <f>SUM(AM166:AN167)</f>
        <v>0</v>
      </c>
      <c r="AP166" s="1428">
        <f>SUM(F166,AD166,AH166,AL166)</f>
        <v>0</v>
      </c>
      <c r="AQ166" s="1416">
        <f t="shared" si="105"/>
        <v>0</v>
      </c>
      <c r="AR166" s="1414">
        <f t="shared" si="106"/>
        <v>0</v>
      </c>
      <c r="AS166" s="310"/>
      <c r="AT166" s="310"/>
      <c r="AU166" s="393">
        <f ca="1">IF(AV167=TRUE,G166*0.8,G166)</f>
        <v>2725.8661879274541</v>
      </c>
      <c r="AV166" s="383"/>
      <c r="AW166" s="312">
        <f t="shared" ca="1" si="109"/>
        <v>3271.0394255129449</v>
      </c>
      <c r="AX166" s="312">
        <f t="shared" ca="1" si="110"/>
        <v>3543.6260443056904</v>
      </c>
      <c r="AY166" s="312"/>
      <c r="AZ166" s="312"/>
      <c r="BA166" s="312"/>
      <c r="BB166" s="196" t="s">
        <v>46</v>
      </c>
      <c r="BC166" s="196" t="s">
        <v>328</v>
      </c>
      <c r="BD166" s="313"/>
      <c r="BE166" s="313"/>
      <c r="BF166" s="313"/>
      <c r="BG166" s="313"/>
      <c r="BH166" s="313"/>
      <c r="BI166" s="313"/>
      <c r="BJ166" s="313"/>
      <c r="BK166" s="313"/>
      <c r="BL166" s="313"/>
      <c r="BM166" s="313"/>
      <c r="BN166" s="313"/>
      <c r="BO166" s="313"/>
      <c r="BP166" s="313"/>
      <c r="BQ166" s="313"/>
      <c r="BR166" s="313"/>
      <c r="BS166" s="313"/>
      <c r="BT166" s="313"/>
      <c r="BU166" s="313"/>
      <c r="BV166" s="313"/>
      <c r="BW166" s="313"/>
      <c r="BX166" s="313"/>
      <c r="BY166" s="313"/>
      <c r="BZ166" s="313"/>
      <c r="CA166" s="313"/>
      <c r="CB166" s="313"/>
      <c r="CC166" s="313"/>
      <c r="CD166" s="313"/>
      <c r="CE166" s="313"/>
    </row>
    <row r="167" spans="1:83" s="101" customFormat="1" ht="12.75" customHeight="1" x14ac:dyDescent="0.2">
      <c r="A167" s="1097"/>
      <c r="B167" s="1098" t="str">
        <f>IF(Stammblatt!$L$4=1,'Kalkulation Herstellungskosten'!BB167,'Kalkulation Herstellungskosten'!BC167)</f>
        <v xml:space="preserve">Wochenpauschale (§ 7 KV) </v>
      </c>
      <c r="C167" s="94">
        <v>0</v>
      </c>
      <c r="D167" s="386"/>
      <c r="E167" s="95"/>
      <c r="F167" s="1435"/>
      <c r="G167" s="96">
        <f ca="1">IF(AND(Stammblatt!$I$9=TRUE,GHSTK&lt;=1220000),Kollektivvertrag!$E$60,IF(AND(Stammblatt!$I$9=TRUE,GHSTK&lt;=1570000),Kollektivvertrag!E25/2,Kollektivvertrag!E25))</f>
        <v>3775.3246702795245</v>
      </c>
      <c r="H167" s="842" t="str">
        <f t="shared" ca="1" si="117"/>
        <v/>
      </c>
      <c r="I167" s="849" t="str">
        <f t="shared" si="118"/>
        <v/>
      </c>
      <c r="J167" s="755"/>
      <c r="K167" s="756"/>
      <c r="L167" s="359"/>
      <c r="M167" s="359"/>
      <c r="N167" s="334"/>
      <c r="O167" s="1405"/>
      <c r="P167" s="1431"/>
      <c r="Q167" s="1407"/>
      <c r="R167" s="1405"/>
      <c r="S167" s="514"/>
      <c r="T167" s="1405"/>
      <c r="U167" s="1405"/>
      <c r="V167" s="1433"/>
      <c r="W167" s="1433"/>
      <c r="X167" s="1405"/>
      <c r="Y167" s="1431"/>
      <c r="Z167" s="1407"/>
      <c r="AA167" s="1405"/>
      <c r="AB167" s="295"/>
      <c r="AC167" s="336"/>
      <c r="AD167" s="1411"/>
      <c r="AE167" s="1421"/>
      <c r="AF167" s="1409"/>
      <c r="AG167" s="1419"/>
      <c r="AH167" s="1411"/>
      <c r="AI167" s="1421"/>
      <c r="AJ167" s="1409"/>
      <c r="AK167" s="1419"/>
      <c r="AL167" s="1413"/>
      <c r="AM167" s="1421"/>
      <c r="AN167" s="1409"/>
      <c r="AO167" s="1419"/>
      <c r="AP167" s="1429"/>
      <c r="AQ167" s="1417">
        <f t="shared" si="105"/>
        <v>0</v>
      </c>
      <c r="AR167" s="1415">
        <f t="shared" si="106"/>
        <v>0</v>
      </c>
      <c r="AS167" s="310"/>
      <c r="AT167" s="310"/>
      <c r="AU167" s="393">
        <f ca="1">IF(AV167=TRUE,G167*0.8,G167)</f>
        <v>3775.3246702795245</v>
      </c>
      <c r="AV167" s="383" t="b">
        <v>0</v>
      </c>
      <c r="AW167" s="312">
        <f t="shared" ca="1" si="109"/>
        <v>4530.3896043354289</v>
      </c>
      <c r="AX167" s="312">
        <f t="shared" ca="1" si="110"/>
        <v>4907.9220713633822</v>
      </c>
      <c r="AY167" s="312"/>
      <c r="AZ167" s="312"/>
      <c r="BA167" s="315"/>
      <c r="BB167" s="196" t="s">
        <v>45</v>
      </c>
      <c r="BC167" s="196" t="s">
        <v>1024</v>
      </c>
      <c r="BD167" s="313"/>
      <c r="BE167" s="313"/>
      <c r="BF167" s="313"/>
      <c r="BG167" s="313"/>
      <c r="BH167" s="313"/>
      <c r="BI167" s="313"/>
      <c r="BJ167" s="313"/>
      <c r="BK167" s="313"/>
      <c r="BL167" s="313"/>
      <c r="BM167" s="313"/>
      <c r="BN167" s="313"/>
      <c r="BO167" s="313"/>
      <c r="BP167" s="313"/>
      <c r="BQ167" s="313"/>
      <c r="BR167" s="313"/>
      <c r="BS167" s="313"/>
      <c r="BT167" s="313"/>
      <c r="BU167" s="313"/>
      <c r="BV167" s="313"/>
      <c r="BW167" s="313"/>
      <c r="BX167" s="313"/>
      <c r="BY167" s="313"/>
      <c r="BZ167" s="313"/>
      <c r="CA167" s="313"/>
      <c r="CB167" s="313"/>
      <c r="CC167" s="313"/>
      <c r="CD167" s="313"/>
      <c r="CE167" s="313"/>
    </row>
    <row r="168" spans="1:83" s="101" customFormat="1" ht="12.75" customHeight="1" x14ac:dyDescent="0.2">
      <c r="A168" s="1100"/>
      <c r="B168" s="310"/>
      <c r="C168" s="310"/>
      <c r="D168" s="310"/>
      <c r="E168" s="310"/>
      <c r="F168" s="310"/>
      <c r="G168" s="310"/>
      <c r="H168" s="310"/>
      <c r="I168" s="310"/>
      <c r="J168" s="310"/>
      <c r="K168" s="310"/>
      <c r="L168" s="310"/>
      <c r="M168" s="310"/>
      <c r="N168" s="310"/>
      <c r="O168" s="310"/>
      <c r="P168" s="310"/>
      <c r="Q168" s="310"/>
      <c r="R168" s="310"/>
      <c r="S168" s="310"/>
      <c r="T168" s="310"/>
      <c r="U168" s="310"/>
      <c r="V168" s="310"/>
      <c r="W168" s="310"/>
      <c r="X168" s="310"/>
      <c r="Y168" s="310"/>
      <c r="Z168" s="310"/>
      <c r="AA168" s="310"/>
      <c r="AB168" s="310"/>
      <c r="AC168" s="310"/>
      <c r="AD168" s="310"/>
      <c r="AE168" s="310"/>
      <c r="AF168" s="310"/>
      <c r="AG168" s="310"/>
      <c r="AH168" s="310"/>
      <c r="AI168" s="310"/>
      <c r="AJ168" s="310"/>
      <c r="AK168" s="310"/>
      <c r="AL168" s="310"/>
      <c r="AM168" s="310"/>
      <c r="AN168" s="310"/>
      <c r="AO168" s="310"/>
      <c r="AP168" s="310"/>
      <c r="AQ168" s="310"/>
      <c r="AR168" s="310"/>
      <c r="AS168" s="310"/>
      <c r="AT168" s="310"/>
      <c r="AU168" s="393"/>
      <c r="AV168" s="383"/>
      <c r="AW168" s="312"/>
      <c r="AX168" s="312"/>
      <c r="AY168" s="312"/>
      <c r="AZ168" s="312"/>
      <c r="BA168" s="315"/>
      <c r="BB168" s="196"/>
      <c r="BC168" s="196"/>
      <c r="BD168" s="313"/>
      <c r="BE168" s="313"/>
      <c r="BF168" s="313"/>
      <c r="BG168" s="313"/>
      <c r="BH168" s="313"/>
      <c r="BI168" s="313"/>
      <c r="BJ168" s="313"/>
      <c r="BK168" s="313"/>
      <c r="BL168" s="313"/>
      <c r="BM168" s="313"/>
      <c r="BN168" s="313"/>
      <c r="BO168" s="313"/>
      <c r="BP168" s="313"/>
      <c r="BQ168" s="313"/>
      <c r="BR168" s="313"/>
      <c r="BS168" s="313"/>
      <c r="BT168" s="313"/>
      <c r="BU168" s="313"/>
      <c r="BV168" s="313"/>
      <c r="BW168" s="313"/>
      <c r="BX168" s="313"/>
      <c r="BY168" s="313"/>
      <c r="BZ168" s="313"/>
      <c r="CA168" s="313"/>
      <c r="CB168" s="313"/>
      <c r="CC168" s="313"/>
      <c r="CD168" s="313"/>
      <c r="CE168" s="313"/>
    </row>
    <row r="169" spans="1:83" s="101" customFormat="1" ht="12.75" customHeight="1" x14ac:dyDescent="0.2">
      <c r="A169" s="1100"/>
      <c r="B169" s="310"/>
      <c r="C169" s="383"/>
      <c r="D169" s="383"/>
      <c r="E169" s="383"/>
      <c r="F169" s="310"/>
      <c r="G169" s="1280" t="s">
        <v>1186</v>
      </c>
      <c r="H169" s="383"/>
      <c r="I169" s="310"/>
      <c r="J169" s="310"/>
      <c r="K169" s="310"/>
      <c r="L169" s="310"/>
      <c r="M169" s="310"/>
      <c r="N169" s="310"/>
      <c r="O169" s="310"/>
      <c r="P169" s="310"/>
      <c r="Q169" s="310"/>
      <c r="R169" s="310"/>
      <c r="S169" s="310"/>
      <c r="T169" s="310"/>
      <c r="U169" s="310"/>
      <c r="V169" s="310"/>
      <c r="W169" s="310"/>
      <c r="X169" s="310"/>
      <c r="Y169" s="310"/>
      <c r="Z169" s="310"/>
      <c r="AA169" s="310"/>
      <c r="AB169" s="310"/>
      <c r="AC169" s="310"/>
      <c r="AD169" s="310"/>
      <c r="AE169" s="310"/>
      <c r="AF169" s="310"/>
      <c r="AG169" s="310"/>
      <c r="AH169" s="310"/>
      <c r="AI169" s="310"/>
      <c r="AJ169" s="310"/>
      <c r="AK169" s="310"/>
      <c r="AL169" s="310"/>
      <c r="AM169" s="310"/>
      <c r="AN169" s="310"/>
      <c r="AO169" s="310"/>
      <c r="AP169" s="310"/>
      <c r="AQ169" s="310"/>
      <c r="AR169" s="310"/>
      <c r="AS169" s="310"/>
      <c r="AT169" s="310"/>
      <c r="AU169" s="393"/>
      <c r="AV169" s="383"/>
      <c r="AW169" s="310"/>
      <c r="AX169" s="310"/>
      <c r="AY169" s="310"/>
      <c r="AZ169" s="310"/>
      <c r="BA169" s="310"/>
      <c r="BB169" s="196"/>
      <c r="BC169" s="196"/>
      <c r="BD169" s="313"/>
      <c r="BE169" s="313"/>
      <c r="BF169" s="313"/>
      <c r="BG169" s="313"/>
      <c r="BH169" s="313"/>
      <c r="BI169" s="313"/>
      <c r="BJ169" s="313"/>
      <c r="BK169" s="313"/>
      <c r="BL169" s="313"/>
      <c r="BM169" s="313"/>
      <c r="BN169" s="313"/>
      <c r="BO169" s="313"/>
      <c r="BP169" s="313"/>
      <c r="BQ169" s="313"/>
      <c r="BR169" s="313"/>
      <c r="BS169" s="313"/>
      <c r="BT169" s="313"/>
      <c r="BU169" s="313"/>
      <c r="BV169" s="313"/>
      <c r="BW169" s="313"/>
      <c r="BX169" s="313"/>
      <c r="BY169" s="313"/>
      <c r="BZ169" s="313"/>
      <c r="CA169" s="313"/>
      <c r="CB169" s="313"/>
      <c r="CC169" s="313"/>
      <c r="CD169" s="313"/>
      <c r="CE169" s="313"/>
    </row>
    <row r="170" spans="1:83" ht="12.75" customHeight="1" x14ac:dyDescent="0.2">
      <c r="A170" s="1055">
        <v>81</v>
      </c>
      <c r="B170" s="935" t="str">
        <f>IF(Stammblatt!$L$4=1,'Kalkulation Herstellungskosten'!BB170,'Kalkulation Herstellungskosten'!BC170)</f>
        <v>Sonstige MitarbeiterInnen</v>
      </c>
      <c r="C170" s="328" t="str">
        <f>IF(Stammblatt!$L$4=1,"Wochen","weeks")</f>
        <v>Wochen</v>
      </c>
      <c r="D170" s="328" t="s">
        <v>600</v>
      </c>
      <c r="E170" s="303" t="s">
        <v>206</v>
      </c>
      <c r="F170" s="371"/>
      <c r="G170" s="1281" t="s">
        <v>1187</v>
      </c>
      <c r="H170" s="304"/>
      <c r="I170" s="307"/>
      <c r="J170" s="307"/>
      <c r="K170" s="307"/>
      <c r="L170" s="307"/>
      <c r="M170" s="307"/>
      <c r="N170" s="307"/>
      <c r="O170" s="307"/>
      <c r="P170" s="307"/>
      <c r="Q170" s="307"/>
      <c r="R170" s="307"/>
      <c r="S170" s="307"/>
      <c r="T170" s="307"/>
      <c r="U170" s="307"/>
      <c r="V170" s="307"/>
      <c r="W170" s="307"/>
      <c r="X170" s="307"/>
      <c r="Y170" s="307"/>
      <c r="Z170" s="307"/>
      <c r="AA170" s="307"/>
      <c r="AB170" s="307"/>
      <c r="AC170" s="307"/>
      <c r="AD170" s="307"/>
      <c r="AE170" s="307"/>
      <c r="AF170" s="307"/>
      <c r="AG170" s="307"/>
      <c r="AH170" s="307"/>
      <c r="AI170" s="307"/>
      <c r="AJ170" s="307"/>
      <c r="AK170" s="307"/>
      <c r="AL170" s="307"/>
      <c r="AM170" s="307"/>
      <c r="AN170" s="307"/>
      <c r="AO170" s="307"/>
      <c r="AP170" s="307"/>
      <c r="AQ170" s="307"/>
      <c r="AR170" s="307"/>
      <c r="AS170" s="307"/>
      <c r="AT170" s="307"/>
      <c r="AU170" s="394"/>
      <c r="AV170" s="308"/>
      <c r="AW170" s="307"/>
      <c r="AX170" s="307"/>
      <c r="AY170" s="307"/>
      <c r="AZ170" s="307"/>
      <c r="BA170" s="307"/>
      <c r="BB170" s="196" t="s">
        <v>536</v>
      </c>
      <c r="BC170" s="196" t="s">
        <v>346</v>
      </c>
      <c r="BD170" s="212"/>
      <c r="BE170" s="212"/>
      <c r="BF170" s="212"/>
      <c r="BG170" s="212"/>
      <c r="BH170" s="212"/>
      <c r="BI170" s="212"/>
      <c r="BJ170" s="212"/>
      <c r="BK170" s="212"/>
      <c r="BL170" s="212"/>
      <c r="BM170" s="212"/>
      <c r="BN170" s="212"/>
      <c r="BO170" s="212"/>
      <c r="BP170" s="212"/>
      <c r="BQ170" s="212"/>
      <c r="BR170" s="212"/>
      <c r="BS170" s="212"/>
      <c r="BT170" s="212"/>
      <c r="BU170" s="212"/>
      <c r="BV170" s="212"/>
      <c r="BW170" s="212"/>
      <c r="BX170" s="212"/>
      <c r="BY170" s="212"/>
      <c r="BZ170" s="212"/>
      <c r="CA170" s="212"/>
      <c r="CB170" s="212"/>
      <c r="CC170" s="212"/>
      <c r="CD170" s="212"/>
      <c r="CE170" s="212"/>
    </row>
    <row r="171" spans="1:83" s="101" customFormat="1" ht="12.75" customHeight="1" x14ac:dyDescent="0.2">
      <c r="A171" s="1101" t="s">
        <v>949</v>
      </c>
      <c r="B171" s="1102" t="s">
        <v>785</v>
      </c>
      <c r="C171" s="104">
        <v>0</v>
      </c>
      <c r="D171" s="387"/>
      <c r="E171" s="102"/>
      <c r="F171" s="388">
        <f t="shared" ref="F171:F202" si="121">C171*E171</f>
        <v>0</v>
      </c>
      <c r="G171" s="1032"/>
      <c r="H171" s="337"/>
      <c r="I171" s="845"/>
      <c r="J171" s="751"/>
      <c r="K171" s="751"/>
      <c r="L171" s="489">
        <f>F171*J171</f>
        <v>0</v>
      </c>
      <c r="M171" s="489">
        <f>F171*K171</f>
        <v>0</v>
      </c>
      <c r="N171" s="357" t="str">
        <f>IF((L171+M171)&lt;&gt;F171,"?","")</f>
        <v/>
      </c>
      <c r="O171" s="512"/>
      <c r="P171" s="506"/>
      <c r="Q171" s="507"/>
      <c r="R171" s="505"/>
      <c r="S171" s="502"/>
      <c r="T171" s="507"/>
      <c r="U171" s="505"/>
      <c r="V171" s="831">
        <f t="shared" ref="V171:V180" si="122">SUM(T171:U171)</f>
        <v>0</v>
      </c>
      <c r="W171" s="397">
        <f t="shared" ref="W171:W196" si="123">F171-V171</f>
        <v>0</v>
      </c>
      <c r="X171" s="512"/>
      <c r="Y171" s="508"/>
      <c r="Z171" s="507"/>
      <c r="AA171" s="505"/>
      <c r="AB171" s="295"/>
      <c r="AC171" s="336"/>
      <c r="AD171" s="818"/>
      <c r="AE171" s="800"/>
      <c r="AF171" s="801"/>
      <c r="AG171" s="831">
        <f t="shared" ref="AG171:AG180" si="124">SUM(AE171:AF171)</f>
        <v>0</v>
      </c>
      <c r="AH171" s="818"/>
      <c r="AI171" s="800"/>
      <c r="AJ171" s="801"/>
      <c r="AK171" s="831">
        <f t="shared" ref="AK171:AK180" si="125">SUM(AI171:AJ171)</f>
        <v>0</v>
      </c>
      <c r="AL171" s="818"/>
      <c r="AM171" s="800"/>
      <c r="AN171" s="801"/>
      <c r="AO171" s="831">
        <f t="shared" ref="AO171:AO180" si="126">SUM(AM171:AN171)</f>
        <v>0</v>
      </c>
      <c r="AP171" s="1079">
        <f>SUM(F171,AD171,AH171,AL171)</f>
        <v>0</v>
      </c>
      <c r="AQ171" s="1079">
        <f t="shared" ref="AQ171" si="127">SUM(AO171,AK171,AG171,V171)</f>
        <v>0</v>
      </c>
      <c r="AR171" s="1080">
        <f t="shared" ref="AR171" si="128">AP171-AQ171</f>
        <v>0</v>
      </c>
      <c r="AS171" s="310"/>
      <c r="AT171" s="310"/>
      <c r="AU171" s="393"/>
      <c r="AV171" s="383" t="b">
        <v>0</v>
      </c>
      <c r="AW171" s="393">
        <f>IF(AV171=FALSE,3000,2400)</f>
        <v>3000</v>
      </c>
      <c r="AX171" s="310"/>
      <c r="AY171" s="310"/>
      <c r="AZ171" s="310"/>
      <c r="BA171" s="310"/>
      <c r="BB171" s="196" t="s">
        <v>150</v>
      </c>
      <c r="BC171" s="196"/>
      <c r="BD171" s="313"/>
      <c r="BE171" s="313"/>
      <c r="BF171" s="313"/>
      <c r="BG171" s="313"/>
      <c r="BH171" s="313"/>
      <c r="BI171" s="313"/>
      <c r="BJ171" s="313"/>
      <c r="BK171" s="313"/>
      <c r="BL171" s="313"/>
      <c r="BM171" s="313"/>
      <c r="BN171" s="313"/>
      <c r="BO171" s="313"/>
      <c r="BP171" s="313"/>
      <c r="BQ171" s="313"/>
      <c r="BR171" s="313"/>
      <c r="BS171" s="313"/>
      <c r="BT171" s="313"/>
      <c r="BU171" s="313"/>
      <c r="BV171" s="313"/>
      <c r="BW171" s="313"/>
      <c r="BX171" s="313"/>
      <c r="BY171" s="313"/>
      <c r="BZ171" s="313"/>
      <c r="CA171" s="313"/>
      <c r="CB171" s="313"/>
      <c r="CC171" s="313"/>
      <c r="CD171" s="313"/>
      <c r="CE171" s="313"/>
    </row>
    <row r="172" spans="1:83" s="101" customFormat="1" ht="12.75" customHeight="1" thickBot="1" x14ac:dyDescent="0.25">
      <c r="A172" s="1101" t="s">
        <v>950</v>
      </c>
      <c r="B172" s="1096" t="s">
        <v>789</v>
      </c>
      <c r="C172" s="94">
        <v>0</v>
      </c>
      <c r="D172" s="386"/>
      <c r="E172" s="95"/>
      <c r="F172" s="389">
        <f t="shared" si="121"/>
        <v>0</v>
      </c>
      <c r="G172" s="1257"/>
      <c r="H172" s="337"/>
      <c r="I172" s="845"/>
      <c r="J172" s="751"/>
      <c r="K172" s="751"/>
      <c r="L172" s="489">
        <f t="shared" ref="L172:L206" si="129">F172*J172</f>
        <v>0</v>
      </c>
      <c r="M172" s="489">
        <f t="shared" ref="M172:M206" si="130">F172*K172</f>
        <v>0</v>
      </c>
      <c r="N172" s="357" t="str">
        <f t="shared" ref="N172:N235" si="131">IF((L172+M172)&lt;&gt;F172,"?","")</f>
        <v/>
      </c>
      <c r="O172" s="512"/>
      <c r="P172" s="506"/>
      <c r="Q172" s="507"/>
      <c r="R172" s="505"/>
      <c r="S172" s="502"/>
      <c r="T172" s="507"/>
      <c r="U172" s="505"/>
      <c r="V172" s="831">
        <f t="shared" si="122"/>
        <v>0</v>
      </c>
      <c r="W172" s="397">
        <f t="shared" si="123"/>
        <v>0</v>
      </c>
      <c r="X172" s="512"/>
      <c r="Y172" s="508"/>
      <c r="Z172" s="507"/>
      <c r="AA172" s="505"/>
      <c r="AB172" s="295"/>
      <c r="AC172" s="336"/>
      <c r="AD172" s="813"/>
      <c r="AE172" s="800"/>
      <c r="AF172" s="801"/>
      <c r="AG172" s="831">
        <f t="shared" si="124"/>
        <v>0</v>
      </c>
      <c r="AH172" s="813"/>
      <c r="AI172" s="800"/>
      <c r="AJ172" s="801"/>
      <c r="AK172" s="831">
        <f t="shared" si="125"/>
        <v>0</v>
      </c>
      <c r="AL172" s="813"/>
      <c r="AM172" s="800"/>
      <c r="AN172" s="801"/>
      <c r="AO172" s="831">
        <f t="shared" si="126"/>
        <v>0</v>
      </c>
      <c r="AP172" s="1079">
        <f t="shared" ref="AP172:AP235" si="132">SUM(F172,AD172,AH172,AL172)</f>
        <v>0</v>
      </c>
      <c r="AQ172" s="1079">
        <f t="shared" ref="AQ172:AQ235" si="133">SUM(AO172,AK172,AG172,V172)</f>
        <v>0</v>
      </c>
      <c r="AR172" s="1080">
        <f t="shared" ref="AR172:AR235" si="134">AP172-AQ172</f>
        <v>0</v>
      </c>
      <c r="AS172" s="310"/>
      <c r="AT172" s="310"/>
      <c r="AU172" s="310"/>
      <c r="AV172" s="310"/>
      <c r="AW172" s="310"/>
      <c r="AX172" s="310"/>
      <c r="AY172" s="310"/>
      <c r="AZ172" s="310"/>
      <c r="BA172" s="310"/>
      <c r="BB172" s="196"/>
      <c r="BC172" s="196"/>
      <c r="BD172" s="313"/>
      <c r="BE172" s="313"/>
      <c r="BF172" s="313"/>
      <c r="BG172" s="313"/>
      <c r="BH172" s="313"/>
      <c r="BI172" s="313"/>
      <c r="BJ172" s="313"/>
      <c r="BK172" s="313"/>
      <c r="BL172" s="313"/>
      <c r="BM172" s="313"/>
      <c r="BN172" s="313"/>
      <c r="BO172" s="313"/>
      <c r="BP172" s="313"/>
      <c r="BQ172" s="313"/>
      <c r="BR172" s="313"/>
      <c r="BS172" s="313"/>
      <c r="BT172" s="313"/>
      <c r="BU172" s="313"/>
      <c r="BV172" s="313"/>
      <c r="BW172" s="313"/>
      <c r="BX172" s="313"/>
      <c r="BY172" s="313"/>
      <c r="BZ172" s="313"/>
      <c r="CA172" s="313"/>
      <c r="CB172" s="313"/>
      <c r="CC172" s="313"/>
      <c r="CD172" s="313"/>
      <c r="CE172" s="313"/>
    </row>
    <row r="173" spans="1:83" s="101" customFormat="1" ht="12.75" customHeight="1" x14ac:dyDescent="0.2">
      <c r="A173" s="382" t="s">
        <v>951</v>
      </c>
      <c r="B173" s="105"/>
      <c r="C173" s="94">
        <v>0</v>
      </c>
      <c r="D173" s="386"/>
      <c r="E173" s="95"/>
      <c r="F173" s="389">
        <f t="shared" si="121"/>
        <v>0</v>
      </c>
      <c r="G173" s="1258"/>
      <c r="H173" s="844" t="str">
        <f t="shared" ref="H173:H204" si="135">IF(E173&gt;G173*1.1,C173*(E173-G173*1.1),"")</f>
        <v/>
      </c>
      <c r="I173" s="847" t="str">
        <f t="shared" ref="I173:I204" si="136">IF(AND(E173&gt;0,G173=0),"!!",IF(E173=0,"",E173/G173-1))</f>
        <v/>
      </c>
      <c r="J173" s="751"/>
      <c r="K173" s="751"/>
      <c r="L173" s="489">
        <f t="shared" si="129"/>
        <v>0</v>
      </c>
      <c r="M173" s="489">
        <f t="shared" si="130"/>
        <v>0</v>
      </c>
      <c r="N173" s="357" t="str">
        <f t="shared" si="131"/>
        <v/>
      </c>
      <c r="O173" s="512"/>
      <c r="P173" s="506"/>
      <c r="Q173" s="507"/>
      <c r="R173" s="505"/>
      <c r="S173" s="502"/>
      <c r="T173" s="507"/>
      <c r="U173" s="505"/>
      <c r="V173" s="831">
        <f t="shared" si="122"/>
        <v>0</v>
      </c>
      <c r="W173" s="397">
        <f t="shared" si="123"/>
        <v>0</v>
      </c>
      <c r="X173" s="512"/>
      <c r="Y173" s="508"/>
      <c r="Z173" s="507"/>
      <c r="AA173" s="505"/>
      <c r="AB173" s="295"/>
      <c r="AC173" s="336"/>
      <c r="AD173" s="818"/>
      <c r="AE173" s="800"/>
      <c r="AF173" s="801"/>
      <c r="AG173" s="831">
        <f t="shared" si="124"/>
        <v>0</v>
      </c>
      <c r="AH173" s="818"/>
      <c r="AI173" s="800"/>
      <c r="AJ173" s="801"/>
      <c r="AK173" s="831">
        <f t="shared" si="125"/>
        <v>0</v>
      </c>
      <c r="AL173" s="818"/>
      <c r="AM173" s="800"/>
      <c r="AN173" s="801"/>
      <c r="AO173" s="831">
        <f t="shared" si="126"/>
        <v>0</v>
      </c>
      <c r="AP173" s="1079">
        <f t="shared" si="132"/>
        <v>0</v>
      </c>
      <c r="AQ173" s="1079">
        <f t="shared" si="133"/>
        <v>0</v>
      </c>
      <c r="AR173" s="1080">
        <f t="shared" si="134"/>
        <v>0</v>
      </c>
      <c r="AS173" s="310"/>
      <c r="AT173" s="310"/>
      <c r="AU173" s="310"/>
      <c r="AV173" s="310"/>
      <c r="AW173" s="310"/>
      <c r="AX173" s="310"/>
      <c r="AY173" s="310"/>
      <c r="AZ173" s="310"/>
      <c r="BA173" s="310"/>
      <c r="BB173" s="196"/>
      <c r="BC173" s="196"/>
      <c r="BD173" s="313"/>
      <c r="BE173" s="313"/>
      <c r="BF173" s="313"/>
      <c r="BG173" s="313"/>
      <c r="BH173" s="313"/>
      <c r="BI173" s="313"/>
      <c r="BJ173" s="313"/>
      <c r="BK173" s="313"/>
      <c r="BL173" s="313"/>
      <c r="BM173" s="313"/>
      <c r="BN173" s="313"/>
      <c r="BO173" s="313"/>
      <c r="BP173" s="313"/>
      <c r="BQ173" s="313"/>
      <c r="BR173" s="313"/>
      <c r="BS173" s="313"/>
      <c r="BT173" s="313"/>
      <c r="BU173" s="313"/>
      <c r="BV173" s="313"/>
      <c r="BW173" s="313"/>
      <c r="BX173" s="313"/>
      <c r="BY173" s="313"/>
      <c r="BZ173" s="313"/>
      <c r="CA173" s="313"/>
      <c r="CB173" s="313"/>
      <c r="CC173" s="313"/>
      <c r="CD173" s="313"/>
      <c r="CE173" s="313"/>
    </row>
    <row r="174" spans="1:83" s="101" customFormat="1" ht="12.75" customHeight="1" x14ac:dyDescent="0.2">
      <c r="A174" s="382" t="s">
        <v>952</v>
      </c>
      <c r="B174" s="105"/>
      <c r="C174" s="94">
        <v>0</v>
      </c>
      <c r="D174" s="386"/>
      <c r="E174" s="95"/>
      <c r="F174" s="389">
        <f t="shared" si="121"/>
        <v>0</v>
      </c>
      <c r="G174" s="1259"/>
      <c r="H174" s="844" t="str">
        <f t="shared" si="135"/>
        <v/>
      </c>
      <c r="I174" s="847" t="str">
        <f t="shared" si="136"/>
        <v/>
      </c>
      <c r="J174" s="751"/>
      <c r="K174" s="751"/>
      <c r="L174" s="489">
        <f t="shared" si="129"/>
        <v>0</v>
      </c>
      <c r="M174" s="489">
        <f t="shared" si="130"/>
        <v>0</v>
      </c>
      <c r="N174" s="357" t="str">
        <f t="shared" si="131"/>
        <v/>
      </c>
      <c r="O174" s="512"/>
      <c r="P174" s="506"/>
      <c r="Q174" s="507"/>
      <c r="R174" s="505"/>
      <c r="S174" s="502"/>
      <c r="T174" s="507"/>
      <c r="U174" s="505"/>
      <c r="V174" s="831">
        <f t="shared" si="122"/>
        <v>0</v>
      </c>
      <c r="W174" s="397">
        <f t="shared" si="123"/>
        <v>0</v>
      </c>
      <c r="X174" s="512"/>
      <c r="Y174" s="508"/>
      <c r="Z174" s="507"/>
      <c r="AA174" s="505"/>
      <c r="AB174" s="295"/>
      <c r="AC174" s="336"/>
      <c r="AD174" s="813"/>
      <c r="AE174" s="800"/>
      <c r="AF174" s="801"/>
      <c r="AG174" s="831">
        <f t="shared" si="124"/>
        <v>0</v>
      </c>
      <c r="AH174" s="813"/>
      <c r="AI174" s="800"/>
      <c r="AJ174" s="801"/>
      <c r="AK174" s="831">
        <f t="shared" si="125"/>
        <v>0</v>
      </c>
      <c r="AL174" s="813"/>
      <c r="AM174" s="800"/>
      <c r="AN174" s="801"/>
      <c r="AO174" s="831">
        <f t="shared" si="126"/>
        <v>0</v>
      </c>
      <c r="AP174" s="1079">
        <f t="shared" si="132"/>
        <v>0</v>
      </c>
      <c r="AQ174" s="1079">
        <f t="shared" si="133"/>
        <v>0</v>
      </c>
      <c r="AR174" s="1080">
        <f t="shared" si="134"/>
        <v>0</v>
      </c>
      <c r="AS174" s="310"/>
      <c r="AT174" s="310"/>
      <c r="AU174" s="310"/>
      <c r="AV174" s="310"/>
      <c r="AW174" s="310"/>
      <c r="AX174" s="310"/>
      <c r="AY174" s="310"/>
      <c r="AZ174" s="310"/>
      <c r="BA174" s="310"/>
      <c r="BB174" s="196"/>
      <c r="BC174" s="196"/>
      <c r="BD174" s="313"/>
      <c r="BE174" s="313"/>
      <c r="BF174" s="313"/>
      <c r="BG174" s="313"/>
      <c r="BH174" s="313"/>
      <c r="BI174" s="313"/>
      <c r="BJ174" s="313"/>
      <c r="BK174" s="313"/>
      <c r="BL174" s="313"/>
      <c r="BM174" s="313"/>
      <c r="BN174" s="313"/>
      <c r="BO174" s="313"/>
      <c r="BP174" s="313"/>
      <c r="BQ174" s="313"/>
      <c r="BR174" s="313"/>
      <c r="BS174" s="313"/>
      <c r="BT174" s="313"/>
      <c r="BU174" s="313"/>
      <c r="BV174" s="313"/>
      <c r="BW174" s="313"/>
      <c r="BX174" s="313"/>
      <c r="BY174" s="313"/>
      <c r="BZ174" s="313"/>
      <c r="CA174" s="313"/>
      <c r="CB174" s="313"/>
      <c r="CC174" s="313"/>
      <c r="CD174" s="313"/>
      <c r="CE174" s="313"/>
    </row>
    <row r="175" spans="1:83" s="101" customFormat="1" ht="12.75" customHeight="1" x14ac:dyDescent="0.2">
      <c r="A175" s="382" t="s">
        <v>953</v>
      </c>
      <c r="B175" s="105"/>
      <c r="C175" s="94">
        <v>0</v>
      </c>
      <c r="D175" s="386"/>
      <c r="E175" s="95"/>
      <c r="F175" s="389">
        <f t="shared" si="121"/>
        <v>0</v>
      </c>
      <c r="G175" s="1259"/>
      <c r="H175" s="844" t="str">
        <f t="shared" si="135"/>
        <v/>
      </c>
      <c r="I175" s="847" t="str">
        <f t="shared" si="136"/>
        <v/>
      </c>
      <c r="J175" s="751"/>
      <c r="K175" s="751"/>
      <c r="L175" s="489">
        <f t="shared" si="129"/>
        <v>0</v>
      </c>
      <c r="M175" s="489">
        <f t="shared" si="130"/>
        <v>0</v>
      </c>
      <c r="N175" s="357" t="str">
        <f t="shared" si="131"/>
        <v/>
      </c>
      <c r="O175" s="512"/>
      <c r="P175" s="506"/>
      <c r="Q175" s="507"/>
      <c r="R175" s="505"/>
      <c r="S175" s="502"/>
      <c r="T175" s="507"/>
      <c r="U175" s="505"/>
      <c r="V175" s="831">
        <f t="shared" si="122"/>
        <v>0</v>
      </c>
      <c r="W175" s="397">
        <f t="shared" si="123"/>
        <v>0</v>
      </c>
      <c r="X175" s="512"/>
      <c r="Y175" s="508"/>
      <c r="Z175" s="507"/>
      <c r="AA175" s="505"/>
      <c r="AB175" s="295"/>
      <c r="AC175" s="336"/>
      <c r="AD175" s="818"/>
      <c r="AE175" s="800"/>
      <c r="AF175" s="801"/>
      <c r="AG175" s="831">
        <f t="shared" si="124"/>
        <v>0</v>
      </c>
      <c r="AH175" s="818"/>
      <c r="AI175" s="800"/>
      <c r="AJ175" s="801"/>
      <c r="AK175" s="831">
        <f t="shared" si="125"/>
        <v>0</v>
      </c>
      <c r="AL175" s="818"/>
      <c r="AM175" s="800"/>
      <c r="AN175" s="801"/>
      <c r="AO175" s="831">
        <f t="shared" si="126"/>
        <v>0</v>
      </c>
      <c r="AP175" s="1079">
        <f t="shared" si="132"/>
        <v>0</v>
      </c>
      <c r="AQ175" s="1079">
        <f t="shared" si="133"/>
        <v>0</v>
      </c>
      <c r="AR175" s="1080">
        <f t="shared" si="134"/>
        <v>0</v>
      </c>
      <c r="AS175" s="310"/>
      <c r="AT175" s="310"/>
      <c r="AU175" s="310"/>
      <c r="AV175" s="310"/>
      <c r="AW175" s="310"/>
      <c r="AX175" s="310"/>
      <c r="AY175" s="310"/>
      <c r="AZ175" s="310"/>
      <c r="BA175" s="310"/>
      <c r="BB175" s="196"/>
      <c r="BC175" s="196"/>
      <c r="BD175" s="313"/>
      <c r="BE175" s="313"/>
      <c r="BF175" s="313"/>
      <c r="BG175" s="313"/>
      <c r="BH175" s="313"/>
      <c r="BI175" s="313"/>
      <c r="BJ175" s="313"/>
      <c r="BK175" s="313"/>
      <c r="BL175" s="313"/>
      <c r="BM175" s="313"/>
      <c r="BN175" s="313"/>
      <c r="BO175" s="313"/>
      <c r="BP175" s="313"/>
      <c r="BQ175" s="313"/>
      <c r="BR175" s="313"/>
      <c r="BS175" s="313"/>
      <c r="BT175" s="313"/>
      <c r="BU175" s="313"/>
      <c r="BV175" s="313"/>
      <c r="BW175" s="313"/>
      <c r="BX175" s="313"/>
      <c r="BY175" s="313"/>
      <c r="BZ175" s="313"/>
      <c r="CA175" s="313"/>
      <c r="CB175" s="313"/>
      <c r="CC175" s="313"/>
      <c r="CD175" s="313"/>
      <c r="CE175" s="313"/>
    </row>
    <row r="176" spans="1:83" s="101" customFormat="1" ht="12.75" customHeight="1" x14ac:dyDescent="0.2">
      <c r="A176" s="382" t="s">
        <v>954</v>
      </c>
      <c r="B176" s="105"/>
      <c r="C176" s="94">
        <v>0</v>
      </c>
      <c r="D176" s="386"/>
      <c r="E176" s="95"/>
      <c r="F176" s="389">
        <f t="shared" si="121"/>
        <v>0</v>
      </c>
      <c r="G176" s="1259"/>
      <c r="H176" s="844" t="str">
        <f t="shared" si="135"/>
        <v/>
      </c>
      <c r="I176" s="847" t="str">
        <f t="shared" si="136"/>
        <v/>
      </c>
      <c r="J176" s="751"/>
      <c r="K176" s="751"/>
      <c r="L176" s="489">
        <f t="shared" si="129"/>
        <v>0</v>
      </c>
      <c r="M176" s="489">
        <f t="shared" si="130"/>
        <v>0</v>
      </c>
      <c r="N176" s="357" t="str">
        <f t="shared" si="131"/>
        <v/>
      </c>
      <c r="O176" s="512"/>
      <c r="P176" s="506"/>
      <c r="Q176" s="507"/>
      <c r="R176" s="505"/>
      <c r="S176" s="502"/>
      <c r="T176" s="507"/>
      <c r="U176" s="505"/>
      <c r="V176" s="831">
        <f t="shared" si="122"/>
        <v>0</v>
      </c>
      <c r="W176" s="397">
        <f t="shared" si="123"/>
        <v>0</v>
      </c>
      <c r="X176" s="512"/>
      <c r="Y176" s="508"/>
      <c r="Z176" s="507"/>
      <c r="AA176" s="505"/>
      <c r="AB176" s="295"/>
      <c r="AC176" s="336"/>
      <c r="AD176" s="818"/>
      <c r="AE176" s="800"/>
      <c r="AF176" s="801"/>
      <c r="AG176" s="831">
        <f t="shared" si="124"/>
        <v>0</v>
      </c>
      <c r="AH176" s="818"/>
      <c r="AI176" s="800"/>
      <c r="AJ176" s="801"/>
      <c r="AK176" s="831">
        <f t="shared" si="125"/>
        <v>0</v>
      </c>
      <c r="AL176" s="818"/>
      <c r="AM176" s="800"/>
      <c r="AN176" s="801"/>
      <c r="AO176" s="831">
        <f t="shared" si="126"/>
        <v>0</v>
      </c>
      <c r="AP176" s="1079">
        <f t="shared" si="132"/>
        <v>0</v>
      </c>
      <c r="AQ176" s="1079">
        <f t="shared" si="133"/>
        <v>0</v>
      </c>
      <c r="AR176" s="1080">
        <f t="shared" si="134"/>
        <v>0</v>
      </c>
      <c r="AS176" s="310"/>
      <c r="AT176" s="310"/>
      <c r="AU176" s="310"/>
      <c r="AV176" s="310"/>
      <c r="AW176" s="310"/>
      <c r="AX176" s="310"/>
      <c r="AY176" s="310"/>
      <c r="AZ176" s="310"/>
      <c r="BA176" s="310"/>
      <c r="BB176" s="196"/>
      <c r="BC176" s="196"/>
      <c r="BD176" s="313"/>
      <c r="BE176" s="313"/>
      <c r="BF176" s="313"/>
      <c r="BG176" s="313"/>
      <c r="BH176" s="313"/>
      <c r="BI176" s="313"/>
      <c r="BJ176" s="313"/>
      <c r="BK176" s="313"/>
      <c r="BL176" s="313"/>
      <c r="BM176" s="313"/>
      <c r="BN176" s="313"/>
      <c r="BO176" s="313"/>
      <c r="BP176" s="313"/>
      <c r="BQ176" s="313"/>
      <c r="BR176" s="313"/>
      <c r="BS176" s="313"/>
      <c r="BT176" s="313"/>
      <c r="BU176" s="313"/>
      <c r="BV176" s="313"/>
      <c r="BW176" s="313"/>
      <c r="BX176" s="313"/>
      <c r="BY176" s="313"/>
      <c r="BZ176" s="313"/>
      <c r="CA176" s="313"/>
      <c r="CB176" s="313"/>
      <c r="CC176" s="313"/>
      <c r="CD176" s="313"/>
      <c r="CE176" s="313"/>
    </row>
    <row r="177" spans="1:83" s="101" customFormat="1" ht="12.75" customHeight="1" x14ac:dyDescent="0.2">
      <c r="A177" s="382" t="s">
        <v>955</v>
      </c>
      <c r="B177" s="105"/>
      <c r="C177" s="94">
        <v>0</v>
      </c>
      <c r="D177" s="386"/>
      <c r="E177" s="95"/>
      <c r="F177" s="389">
        <f t="shared" si="121"/>
        <v>0</v>
      </c>
      <c r="G177" s="1259"/>
      <c r="H177" s="844" t="str">
        <f t="shared" si="135"/>
        <v/>
      </c>
      <c r="I177" s="847" t="str">
        <f t="shared" si="136"/>
        <v/>
      </c>
      <c r="J177" s="751"/>
      <c r="K177" s="751"/>
      <c r="L177" s="489">
        <f t="shared" si="129"/>
        <v>0</v>
      </c>
      <c r="M177" s="489">
        <f t="shared" si="130"/>
        <v>0</v>
      </c>
      <c r="N177" s="357" t="str">
        <f t="shared" si="131"/>
        <v/>
      </c>
      <c r="O177" s="512"/>
      <c r="P177" s="506"/>
      <c r="Q177" s="507"/>
      <c r="R177" s="505"/>
      <c r="S177" s="502"/>
      <c r="T177" s="507"/>
      <c r="U177" s="505"/>
      <c r="V177" s="831">
        <f t="shared" si="122"/>
        <v>0</v>
      </c>
      <c r="W177" s="397">
        <f t="shared" si="123"/>
        <v>0</v>
      </c>
      <c r="X177" s="512"/>
      <c r="Y177" s="508"/>
      <c r="Z177" s="507"/>
      <c r="AA177" s="505"/>
      <c r="AB177" s="295"/>
      <c r="AC177" s="336"/>
      <c r="AD177" s="813"/>
      <c r="AE177" s="800"/>
      <c r="AF177" s="801"/>
      <c r="AG177" s="831">
        <f t="shared" si="124"/>
        <v>0</v>
      </c>
      <c r="AH177" s="813"/>
      <c r="AI177" s="800"/>
      <c r="AJ177" s="801"/>
      <c r="AK177" s="831">
        <f t="shared" si="125"/>
        <v>0</v>
      </c>
      <c r="AL177" s="813"/>
      <c r="AM177" s="800"/>
      <c r="AN177" s="801"/>
      <c r="AO177" s="831">
        <f t="shared" si="126"/>
        <v>0</v>
      </c>
      <c r="AP177" s="1079">
        <f t="shared" si="132"/>
        <v>0</v>
      </c>
      <c r="AQ177" s="1079">
        <f t="shared" si="133"/>
        <v>0</v>
      </c>
      <c r="AR177" s="1080">
        <f t="shared" si="134"/>
        <v>0</v>
      </c>
      <c r="AS177" s="310"/>
      <c r="AT177" s="310"/>
      <c r="AU177" s="310"/>
      <c r="AV177" s="310"/>
      <c r="AW177" s="310"/>
      <c r="AX177" s="310"/>
      <c r="AY177" s="310"/>
      <c r="AZ177" s="310"/>
      <c r="BA177" s="310"/>
      <c r="BB177" s="196"/>
      <c r="BC177" s="196"/>
      <c r="BD177" s="313"/>
      <c r="BE177" s="313"/>
      <c r="BF177" s="313"/>
      <c r="BG177" s="313"/>
      <c r="BH177" s="313"/>
      <c r="BI177" s="313"/>
      <c r="BJ177" s="313"/>
      <c r="BK177" s="313"/>
      <c r="BL177" s="313"/>
      <c r="BM177" s="313"/>
      <c r="BN177" s="313"/>
      <c r="BO177" s="313"/>
      <c r="BP177" s="313"/>
      <c r="BQ177" s="313"/>
      <c r="BR177" s="313"/>
      <c r="BS177" s="313"/>
      <c r="BT177" s="313"/>
      <c r="BU177" s="313"/>
      <c r="BV177" s="313"/>
      <c r="BW177" s="313"/>
      <c r="BX177" s="313"/>
      <c r="BY177" s="313"/>
      <c r="BZ177" s="313"/>
      <c r="CA177" s="313"/>
      <c r="CB177" s="313"/>
      <c r="CC177" s="313"/>
      <c r="CD177" s="313"/>
      <c r="CE177" s="313"/>
    </row>
    <row r="178" spans="1:83" s="101" customFormat="1" ht="12.75" customHeight="1" x14ac:dyDescent="0.2">
      <c r="A178" s="382" t="s">
        <v>956</v>
      </c>
      <c r="B178" s="105"/>
      <c r="C178" s="94">
        <v>0</v>
      </c>
      <c r="D178" s="386"/>
      <c r="E178" s="95"/>
      <c r="F178" s="389">
        <f t="shared" si="121"/>
        <v>0</v>
      </c>
      <c r="G178" s="1259"/>
      <c r="H178" s="844" t="str">
        <f t="shared" si="135"/>
        <v/>
      </c>
      <c r="I178" s="847" t="str">
        <f t="shared" si="136"/>
        <v/>
      </c>
      <c r="J178" s="751"/>
      <c r="K178" s="751"/>
      <c r="L178" s="489">
        <f t="shared" si="129"/>
        <v>0</v>
      </c>
      <c r="M178" s="489">
        <f t="shared" si="130"/>
        <v>0</v>
      </c>
      <c r="N178" s="357" t="str">
        <f t="shared" si="131"/>
        <v/>
      </c>
      <c r="O178" s="512"/>
      <c r="P178" s="506"/>
      <c r="Q178" s="507"/>
      <c r="R178" s="505"/>
      <c r="S178" s="502"/>
      <c r="T178" s="507"/>
      <c r="U178" s="505"/>
      <c r="V178" s="831">
        <f t="shared" si="122"/>
        <v>0</v>
      </c>
      <c r="W178" s="397">
        <f t="shared" si="123"/>
        <v>0</v>
      </c>
      <c r="X178" s="512"/>
      <c r="Y178" s="508"/>
      <c r="Z178" s="507"/>
      <c r="AA178" s="505"/>
      <c r="AB178" s="295"/>
      <c r="AC178" s="336"/>
      <c r="AD178" s="819"/>
      <c r="AE178" s="800"/>
      <c r="AF178" s="801"/>
      <c r="AG178" s="831">
        <f t="shared" si="124"/>
        <v>0</v>
      </c>
      <c r="AH178" s="819"/>
      <c r="AI178" s="800"/>
      <c r="AJ178" s="801"/>
      <c r="AK178" s="831">
        <f t="shared" si="125"/>
        <v>0</v>
      </c>
      <c r="AL178" s="819"/>
      <c r="AM178" s="800"/>
      <c r="AN178" s="801"/>
      <c r="AO178" s="831">
        <f t="shared" si="126"/>
        <v>0</v>
      </c>
      <c r="AP178" s="1079">
        <f t="shared" si="132"/>
        <v>0</v>
      </c>
      <c r="AQ178" s="1079">
        <f t="shared" si="133"/>
        <v>0</v>
      </c>
      <c r="AR178" s="1080">
        <f t="shared" si="134"/>
        <v>0</v>
      </c>
      <c r="AS178" s="310"/>
      <c r="AT178" s="310"/>
      <c r="AU178" s="310"/>
      <c r="AV178" s="310"/>
      <c r="AW178" s="310"/>
      <c r="AX178" s="310"/>
      <c r="AY178" s="310"/>
      <c r="AZ178" s="310"/>
      <c r="BA178" s="310"/>
      <c r="BB178" s="196"/>
      <c r="BC178" s="196"/>
      <c r="BD178" s="313"/>
      <c r="BE178" s="313"/>
      <c r="BF178" s="313"/>
      <c r="BG178" s="313"/>
      <c r="BH178" s="313"/>
      <c r="BI178" s="313"/>
      <c r="BJ178" s="313"/>
      <c r="BK178" s="313"/>
      <c r="BL178" s="313"/>
      <c r="BM178" s="313"/>
      <c r="BN178" s="313"/>
      <c r="BO178" s="313"/>
      <c r="BP178" s="313"/>
      <c r="BQ178" s="313"/>
      <c r="BR178" s="313"/>
      <c r="BS178" s="313"/>
      <c r="BT178" s="313"/>
      <c r="BU178" s="313"/>
      <c r="BV178" s="313"/>
      <c r="BW178" s="313"/>
      <c r="BX178" s="313"/>
      <c r="BY178" s="313"/>
      <c r="BZ178" s="313"/>
      <c r="CA178" s="313"/>
      <c r="CB178" s="313"/>
      <c r="CC178" s="313"/>
      <c r="CD178" s="313"/>
      <c r="CE178" s="313"/>
    </row>
    <row r="179" spans="1:83" s="101" customFormat="1" ht="12.75" customHeight="1" x14ac:dyDescent="0.2">
      <c r="A179" s="382" t="s">
        <v>957</v>
      </c>
      <c r="B179" s="105"/>
      <c r="C179" s="94">
        <v>0</v>
      </c>
      <c r="D179" s="386"/>
      <c r="E179" s="95"/>
      <c r="F179" s="389">
        <f t="shared" si="121"/>
        <v>0</v>
      </c>
      <c r="G179" s="1259"/>
      <c r="H179" s="844" t="str">
        <f t="shared" si="135"/>
        <v/>
      </c>
      <c r="I179" s="847" t="str">
        <f t="shared" si="136"/>
        <v/>
      </c>
      <c r="J179" s="751"/>
      <c r="K179" s="751"/>
      <c r="L179" s="489">
        <f t="shared" si="129"/>
        <v>0</v>
      </c>
      <c r="M179" s="489">
        <f t="shared" si="130"/>
        <v>0</v>
      </c>
      <c r="N179" s="357" t="str">
        <f t="shared" si="131"/>
        <v/>
      </c>
      <c r="O179" s="512"/>
      <c r="P179" s="506"/>
      <c r="Q179" s="507"/>
      <c r="R179" s="505"/>
      <c r="S179" s="502"/>
      <c r="T179" s="507"/>
      <c r="U179" s="505"/>
      <c r="V179" s="831">
        <f t="shared" si="122"/>
        <v>0</v>
      </c>
      <c r="W179" s="397">
        <f t="shared" si="123"/>
        <v>0</v>
      </c>
      <c r="X179" s="512"/>
      <c r="Y179" s="508"/>
      <c r="Z179" s="507"/>
      <c r="AA179" s="505"/>
      <c r="AB179" s="295"/>
      <c r="AC179" s="336"/>
      <c r="AD179" s="818"/>
      <c r="AE179" s="800"/>
      <c r="AF179" s="801"/>
      <c r="AG179" s="831">
        <f t="shared" si="124"/>
        <v>0</v>
      </c>
      <c r="AH179" s="818"/>
      <c r="AI179" s="800"/>
      <c r="AJ179" s="801"/>
      <c r="AK179" s="831">
        <f t="shared" si="125"/>
        <v>0</v>
      </c>
      <c r="AL179" s="818"/>
      <c r="AM179" s="800"/>
      <c r="AN179" s="801"/>
      <c r="AO179" s="831">
        <f t="shared" si="126"/>
        <v>0</v>
      </c>
      <c r="AP179" s="1079">
        <f t="shared" si="132"/>
        <v>0</v>
      </c>
      <c r="AQ179" s="1079">
        <f t="shared" si="133"/>
        <v>0</v>
      </c>
      <c r="AR179" s="1080">
        <f t="shared" si="134"/>
        <v>0</v>
      </c>
      <c r="AS179" s="310"/>
      <c r="AT179" s="310"/>
      <c r="AU179" s="310"/>
      <c r="AV179" s="310"/>
      <c r="AW179" s="310"/>
      <c r="AX179" s="310"/>
      <c r="AY179" s="310"/>
      <c r="AZ179" s="310"/>
      <c r="BA179" s="310"/>
      <c r="BB179" s="196"/>
      <c r="BC179" s="196"/>
      <c r="BD179" s="313"/>
      <c r="BE179" s="313"/>
      <c r="BF179" s="313"/>
      <c r="BG179" s="313"/>
      <c r="BH179" s="313"/>
      <c r="BI179" s="313"/>
      <c r="BJ179" s="313"/>
      <c r="BK179" s="313"/>
      <c r="BL179" s="313"/>
      <c r="BM179" s="313"/>
      <c r="BN179" s="313"/>
      <c r="BO179" s="313"/>
      <c r="BP179" s="313"/>
      <c r="BQ179" s="313"/>
      <c r="BR179" s="313"/>
      <c r="BS179" s="313"/>
      <c r="BT179" s="313"/>
      <c r="BU179" s="313"/>
      <c r="BV179" s="313"/>
      <c r="BW179" s="313"/>
      <c r="BX179" s="313"/>
      <c r="BY179" s="313"/>
      <c r="BZ179" s="313"/>
      <c r="CA179" s="313"/>
      <c r="CB179" s="313"/>
      <c r="CC179" s="313"/>
      <c r="CD179" s="313"/>
      <c r="CE179" s="313"/>
    </row>
    <row r="180" spans="1:83" s="101" customFormat="1" ht="12.75" customHeight="1" x14ac:dyDescent="0.2">
      <c r="A180" s="382" t="s">
        <v>958</v>
      </c>
      <c r="B180" s="106"/>
      <c r="C180" s="94">
        <v>0</v>
      </c>
      <c r="D180" s="386"/>
      <c r="E180" s="95"/>
      <c r="F180" s="389">
        <f t="shared" si="121"/>
        <v>0</v>
      </c>
      <c r="G180" s="1259"/>
      <c r="H180" s="844" t="str">
        <f t="shared" si="135"/>
        <v/>
      </c>
      <c r="I180" s="847" t="str">
        <f t="shared" si="136"/>
        <v/>
      </c>
      <c r="J180" s="751"/>
      <c r="K180" s="751"/>
      <c r="L180" s="489">
        <f t="shared" si="129"/>
        <v>0</v>
      </c>
      <c r="M180" s="489">
        <f t="shared" si="130"/>
        <v>0</v>
      </c>
      <c r="N180" s="357" t="str">
        <f t="shared" si="131"/>
        <v/>
      </c>
      <c r="O180" s="512"/>
      <c r="P180" s="506"/>
      <c r="Q180" s="507"/>
      <c r="R180" s="505"/>
      <c r="S180" s="502"/>
      <c r="T180" s="507"/>
      <c r="U180" s="505"/>
      <c r="V180" s="831">
        <f t="shared" si="122"/>
        <v>0</v>
      </c>
      <c r="W180" s="397">
        <f t="shared" si="123"/>
        <v>0</v>
      </c>
      <c r="X180" s="512"/>
      <c r="Y180" s="508"/>
      <c r="Z180" s="507"/>
      <c r="AA180" s="505"/>
      <c r="AB180" s="295"/>
      <c r="AC180" s="336"/>
      <c r="AD180" s="813"/>
      <c r="AE180" s="800"/>
      <c r="AF180" s="801"/>
      <c r="AG180" s="831">
        <f t="shared" si="124"/>
        <v>0</v>
      </c>
      <c r="AH180" s="813"/>
      <c r="AI180" s="800"/>
      <c r="AJ180" s="801"/>
      <c r="AK180" s="831">
        <f t="shared" si="125"/>
        <v>0</v>
      </c>
      <c r="AL180" s="813"/>
      <c r="AM180" s="800"/>
      <c r="AN180" s="801"/>
      <c r="AO180" s="831">
        <f t="shared" si="126"/>
        <v>0</v>
      </c>
      <c r="AP180" s="1079">
        <f t="shared" si="132"/>
        <v>0</v>
      </c>
      <c r="AQ180" s="1079">
        <f t="shared" si="133"/>
        <v>0</v>
      </c>
      <c r="AR180" s="1080">
        <f t="shared" si="134"/>
        <v>0</v>
      </c>
      <c r="AS180" s="310"/>
      <c r="AT180" s="310"/>
      <c r="AU180" s="310"/>
      <c r="AV180" s="310"/>
      <c r="AW180" s="310"/>
      <c r="AX180" s="310"/>
      <c r="AY180" s="310"/>
      <c r="AZ180" s="310"/>
      <c r="BA180" s="310"/>
      <c r="BB180" s="196"/>
      <c r="BC180" s="196"/>
      <c r="BD180" s="313"/>
      <c r="BE180" s="313"/>
      <c r="BF180" s="313"/>
      <c r="BG180" s="313"/>
      <c r="BH180" s="313"/>
      <c r="BI180" s="313"/>
      <c r="BJ180" s="313"/>
      <c r="BK180" s="313"/>
      <c r="BL180" s="313"/>
      <c r="BM180" s="313"/>
      <c r="BN180" s="313"/>
      <c r="BO180" s="313"/>
      <c r="BP180" s="313"/>
      <c r="BQ180" s="313"/>
      <c r="BR180" s="313"/>
      <c r="BS180" s="313"/>
      <c r="BT180" s="313"/>
      <c r="BU180" s="313"/>
      <c r="BV180" s="313"/>
      <c r="BW180" s="313"/>
      <c r="BX180" s="313"/>
      <c r="BY180" s="313"/>
      <c r="BZ180" s="313"/>
      <c r="CA180" s="313"/>
      <c r="CB180" s="313"/>
      <c r="CC180" s="313"/>
      <c r="CD180" s="313"/>
      <c r="CE180" s="313"/>
    </row>
    <row r="181" spans="1:83" s="101" customFormat="1" ht="12.75" customHeight="1" x14ac:dyDescent="0.2">
      <c r="A181" s="382" t="s">
        <v>959</v>
      </c>
      <c r="B181" s="106"/>
      <c r="C181" s="94">
        <v>0</v>
      </c>
      <c r="D181" s="386"/>
      <c r="E181" s="95"/>
      <c r="F181" s="389">
        <f t="shared" si="121"/>
        <v>0</v>
      </c>
      <c r="G181" s="1259"/>
      <c r="H181" s="844" t="str">
        <f t="shared" si="135"/>
        <v/>
      </c>
      <c r="I181" s="847" t="str">
        <f t="shared" si="136"/>
        <v/>
      </c>
      <c r="J181" s="751"/>
      <c r="K181" s="751"/>
      <c r="L181" s="489">
        <f t="shared" si="129"/>
        <v>0</v>
      </c>
      <c r="M181" s="489">
        <f t="shared" si="130"/>
        <v>0</v>
      </c>
      <c r="N181" s="357" t="str">
        <f t="shared" si="131"/>
        <v/>
      </c>
      <c r="O181" s="512"/>
      <c r="P181" s="506"/>
      <c r="Q181" s="507"/>
      <c r="R181" s="505"/>
      <c r="S181" s="502"/>
      <c r="T181" s="507"/>
      <c r="U181" s="505"/>
      <c r="V181" s="831">
        <f t="shared" ref="V181:V191" si="137">SUM(T181:U181)</f>
        <v>0</v>
      </c>
      <c r="W181" s="397">
        <f t="shared" si="123"/>
        <v>0</v>
      </c>
      <c r="X181" s="512"/>
      <c r="Y181" s="508"/>
      <c r="Z181" s="507"/>
      <c r="AA181" s="505"/>
      <c r="AB181" s="295"/>
      <c r="AC181" s="336"/>
      <c r="AD181" s="813"/>
      <c r="AE181" s="800"/>
      <c r="AF181" s="801"/>
      <c r="AG181" s="831">
        <f t="shared" ref="AG181:AG241" si="138">SUM(AE181:AF181)</f>
        <v>0</v>
      </c>
      <c r="AH181" s="813"/>
      <c r="AI181" s="800"/>
      <c r="AJ181" s="801"/>
      <c r="AK181" s="831">
        <f t="shared" ref="AK181:AK241" si="139">SUM(AI181:AJ181)</f>
        <v>0</v>
      </c>
      <c r="AL181" s="813"/>
      <c r="AM181" s="800"/>
      <c r="AN181" s="801"/>
      <c r="AO181" s="831">
        <f t="shared" ref="AO181:AO241" si="140">SUM(AM181:AN181)</f>
        <v>0</v>
      </c>
      <c r="AP181" s="1079">
        <f t="shared" si="132"/>
        <v>0</v>
      </c>
      <c r="AQ181" s="1079">
        <f t="shared" si="133"/>
        <v>0</v>
      </c>
      <c r="AR181" s="1080">
        <f t="shared" si="134"/>
        <v>0</v>
      </c>
      <c r="AS181" s="310"/>
      <c r="AT181" s="310"/>
      <c r="AU181" s="310"/>
      <c r="AV181" s="310"/>
      <c r="AW181" s="310"/>
      <c r="AX181" s="310"/>
      <c r="AY181" s="310"/>
      <c r="AZ181" s="310"/>
      <c r="BA181" s="310"/>
      <c r="BB181" s="196"/>
      <c r="BC181" s="196"/>
      <c r="BD181" s="313"/>
      <c r="BE181" s="313"/>
      <c r="BF181" s="313"/>
      <c r="BG181" s="313"/>
      <c r="BH181" s="313"/>
      <c r="BI181" s="313"/>
      <c r="BJ181" s="313"/>
      <c r="BK181" s="313"/>
      <c r="BL181" s="313"/>
      <c r="BM181" s="313"/>
      <c r="BN181" s="313"/>
      <c r="BO181" s="313"/>
      <c r="BP181" s="313"/>
      <c r="BQ181" s="313"/>
      <c r="BR181" s="313"/>
      <c r="BS181" s="313"/>
      <c r="BT181" s="313"/>
      <c r="BU181" s="313"/>
      <c r="BV181" s="313"/>
      <c r="BW181" s="313"/>
      <c r="BX181" s="313"/>
      <c r="BY181" s="313"/>
      <c r="BZ181" s="313"/>
      <c r="CA181" s="313"/>
      <c r="CB181" s="313"/>
      <c r="CC181" s="313"/>
      <c r="CD181" s="313"/>
      <c r="CE181" s="313"/>
    </row>
    <row r="182" spans="1:83" s="101" customFormat="1" ht="12.75" customHeight="1" x14ac:dyDescent="0.2">
      <c r="A182" s="382" t="s">
        <v>960</v>
      </c>
      <c r="B182" s="106"/>
      <c r="C182" s="94">
        <v>0</v>
      </c>
      <c r="D182" s="386"/>
      <c r="E182" s="95"/>
      <c r="F182" s="389">
        <f t="shared" si="121"/>
        <v>0</v>
      </c>
      <c r="G182" s="1259"/>
      <c r="H182" s="844" t="str">
        <f t="shared" si="135"/>
        <v/>
      </c>
      <c r="I182" s="847" t="str">
        <f t="shared" si="136"/>
        <v/>
      </c>
      <c r="J182" s="751"/>
      <c r="K182" s="751"/>
      <c r="L182" s="489">
        <f t="shared" si="129"/>
        <v>0</v>
      </c>
      <c r="M182" s="489">
        <f t="shared" si="130"/>
        <v>0</v>
      </c>
      <c r="N182" s="357" t="str">
        <f t="shared" si="131"/>
        <v/>
      </c>
      <c r="O182" s="512"/>
      <c r="P182" s="506"/>
      <c r="Q182" s="507"/>
      <c r="R182" s="505"/>
      <c r="S182" s="502"/>
      <c r="T182" s="507"/>
      <c r="U182" s="505"/>
      <c r="V182" s="831">
        <f t="shared" si="137"/>
        <v>0</v>
      </c>
      <c r="W182" s="397">
        <f t="shared" si="123"/>
        <v>0</v>
      </c>
      <c r="X182" s="512"/>
      <c r="Y182" s="508"/>
      <c r="Z182" s="507"/>
      <c r="AA182" s="505"/>
      <c r="AB182" s="295"/>
      <c r="AC182" s="336"/>
      <c r="AD182" s="813"/>
      <c r="AE182" s="800"/>
      <c r="AF182" s="801"/>
      <c r="AG182" s="831">
        <f t="shared" si="138"/>
        <v>0</v>
      </c>
      <c r="AH182" s="813"/>
      <c r="AI182" s="800"/>
      <c r="AJ182" s="801"/>
      <c r="AK182" s="831">
        <f t="shared" si="139"/>
        <v>0</v>
      </c>
      <c r="AL182" s="813"/>
      <c r="AM182" s="800"/>
      <c r="AN182" s="801"/>
      <c r="AO182" s="831">
        <f t="shared" si="140"/>
        <v>0</v>
      </c>
      <c r="AP182" s="1079">
        <f t="shared" si="132"/>
        <v>0</v>
      </c>
      <c r="AQ182" s="1079">
        <f t="shared" si="133"/>
        <v>0</v>
      </c>
      <c r="AR182" s="1080">
        <f t="shared" si="134"/>
        <v>0</v>
      </c>
      <c r="AS182" s="310"/>
      <c r="AT182" s="310"/>
      <c r="AU182" s="310"/>
      <c r="AV182" s="310"/>
      <c r="AW182" s="310"/>
      <c r="AX182" s="310"/>
      <c r="AY182" s="310"/>
      <c r="AZ182" s="310"/>
      <c r="BA182" s="310"/>
      <c r="BB182" s="196"/>
      <c r="BC182" s="196"/>
      <c r="BD182" s="313"/>
      <c r="BE182" s="313"/>
      <c r="BF182" s="313"/>
      <c r="BG182" s="313"/>
      <c r="BH182" s="313"/>
      <c r="BI182" s="313"/>
      <c r="BJ182" s="313"/>
      <c r="BK182" s="313"/>
      <c r="BL182" s="313"/>
      <c r="BM182" s="313"/>
      <c r="BN182" s="313"/>
      <c r="BO182" s="313"/>
      <c r="BP182" s="313"/>
      <c r="BQ182" s="313"/>
      <c r="BR182" s="313"/>
      <c r="BS182" s="313"/>
      <c r="BT182" s="313"/>
      <c r="BU182" s="313"/>
      <c r="BV182" s="313"/>
      <c r="BW182" s="313"/>
      <c r="BX182" s="313"/>
      <c r="BY182" s="313"/>
      <c r="BZ182" s="313"/>
      <c r="CA182" s="313"/>
      <c r="CB182" s="313"/>
      <c r="CC182" s="313"/>
      <c r="CD182" s="313"/>
      <c r="CE182" s="313"/>
    </row>
    <row r="183" spans="1:83" s="101" customFormat="1" ht="12.75" customHeight="1" x14ac:dyDescent="0.2">
      <c r="A183" s="382" t="s">
        <v>961</v>
      </c>
      <c r="B183" s="106"/>
      <c r="C183" s="94">
        <v>0</v>
      </c>
      <c r="D183" s="386"/>
      <c r="E183" s="95"/>
      <c r="F183" s="389">
        <f t="shared" si="121"/>
        <v>0</v>
      </c>
      <c r="G183" s="1259"/>
      <c r="H183" s="844" t="str">
        <f t="shared" si="135"/>
        <v/>
      </c>
      <c r="I183" s="847" t="str">
        <f t="shared" si="136"/>
        <v/>
      </c>
      <c r="J183" s="751"/>
      <c r="K183" s="751"/>
      <c r="L183" s="489">
        <f t="shared" si="129"/>
        <v>0</v>
      </c>
      <c r="M183" s="489">
        <f t="shared" si="130"/>
        <v>0</v>
      </c>
      <c r="N183" s="357" t="str">
        <f t="shared" si="131"/>
        <v/>
      </c>
      <c r="O183" s="512"/>
      <c r="P183" s="506"/>
      <c r="Q183" s="507"/>
      <c r="R183" s="505"/>
      <c r="S183" s="502"/>
      <c r="T183" s="507"/>
      <c r="U183" s="505"/>
      <c r="V183" s="831">
        <f t="shared" si="137"/>
        <v>0</v>
      </c>
      <c r="W183" s="397">
        <f t="shared" si="123"/>
        <v>0</v>
      </c>
      <c r="X183" s="512"/>
      <c r="Y183" s="508"/>
      <c r="Z183" s="507"/>
      <c r="AA183" s="505"/>
      <c r="AB183" s="295"/>
      <c r="AC183" s="336"/>
      <c r="AD183" s="813"/>
      <c r="AE183" s="800"/>
      <c r="AF183" s="801"/>
      <c r="AG183" s="831">
        <f t="shared" si="138"/>
        <v>0</v>
      </c>
      <c r="AH183" s="813"/>
      <c r="AI183" s="800"/>
      <c r="AJ183" s="801"/>
      <c r="AK183" s="831">
        <f t="shared" si="139"/>
        <v>0</v>
      </c>
      <c r="AL183" s="813"/>
      <c r="AM183" s="800"/>
      <c r="AN183" s="801"/>
      <c r="AO183" s="831">
        <f t="shared" si="140"/>
        <v>0</v>
      </c>
      <c r="AP183" s="1079">
        <f t="shared" si="132"/>
        <v>0</v>
      </c>
      <c r="AQ183" s="1079">
        <f t="shared" si="133"/>
        <v>0</v>
      </c>
      <c r="AR183" s="1080">
        <f t="shared" si="134"/>
        <v>0</v>
      </c>
      <c r="AS183" s="310"/>
      <c r="AT183" s="310"/>
      <c r="AU183" s="310"/>
      <c r="AV183" s="310"/>
      <c r="AW183" s="310"/>
      <c r="AX183" s="310"/>
      <c r="AY183" s="310"/>
      <c r="AZ183" s="310"/>
      <c r="BA183" s="310"/>
      <c r="BB183" s="196"/>
      <c r="BC183" s="196"/>
      <c r="BD183" s="313"/>
      <c r="BE183" s="313"/>
      <c r="BF183" s="313"/>
      <c r="BG183" s="313"/>
      <c r="BH183" s="313"/>
      <c r="BI183" s="313"/>
      <c r="BJ183" s="313"/>
      <c r="BK183" s="313"/>
      <c r="BL183" s="313"/>
      <c r="BM183" s="313"/>
      <c r="BN183" s="313"/>
      <c r="BO183" s="313"/>
      <c r="BP183" s="313"/>
      <c r="BQ183" s="313"/>
      <c r="BR183" s="313"/>
      <c r="BS183" s="313"/>
      <c r="BT183" s="313"/>
      <c r="BU183" s="313"/>
      <c r="BV183" s="313"/>
      <c r="BW183" s="313"/>
      <c r="BX183" s="313"/>
      <c r="BY183" s="313"/>
      <c r="BZ183" s="313"/>
      <c r="CA183" s="313"/>
      <c r="CB183" s="313"/>
      <c r="CC183" s="313"/>
      <c r="CD183" s="313"/>
      <c r="CE183" s="313"/>
    </row>
    <row r="184" spans="1:83" s="101" customFormat="1" ht="12.75" customHeight="1" x14ac:dyDescent="0.2">
      <c r="A184" s="382" t="s">
        <v>962</v>
      </c>
      <c r="B184" s="106"/>
      <c r="C184" s="94">
        <v>0</v>
      </c>
      <c r="D184" s="386"/>
      <c r="E184" s="95"/>
      <c r="F184" s="389">
        <f t="shared" si="121"/>
        <v>0</v>
      </c>
      <c r="G184" s="1259"/>
      <c r="H184" s="844" t="str">
        <f t="shared" si="135"/>
        <v/>
      </c>
      <c r="I184" s="847" t="str">
        <f t="shared" si="136"/>
        <v/>
      </c>
      <c r="J184" s="751"/>
      <c r="K184" s="751"/>
      <c r="L184" s="489">
        <f t="shared" si="129"/>
        <v>0</v>
      </c>
      <c r="M184" s="489">
        <f t="shared" si="130"/>
        <v>0</v>
      </c>
      <c r="N184" s="357" t="str">
        <f t="shared" si="131"/>
        <v/>
      </c>
      <c r="O184" s="512"/>
      <c r="P184" s="506"/>
      <c r="Q184" s="507"/>
      <c r="R184" s="505"/>
      <c r="S184" s="502"/>
      <c r="T184" s="507"/>
      <c r="U184" s="505"/>
      <c r="V184" s="831">
        <f t="shared" si="137"/>
        <v>0</v>
      </c>
      <c r="W184" s="397">
        <f t="shared" si="123"/>
        <v>0</v>
      </c>
      <c r="X184" s="512"/>
      <c r="Y184" s="508"/>
      <c r="Z184" s="507"/>
      <c r="AA184" s="505"/>
      <c r="AB184" s="295"/>
      <c r="AC184" s="336"/>
      <c r="AD184" s="813"/>
      <c r="AE184" s="800"/>
      <c r="AF184" s="801"/>
      <c r="AG184" s="831">
        <f t="shared" si="138"/>
        <v>0</v>
      </c>
      <c r="AH184" s="813"/>
      <c r="AI184" s="800"/>
      <c r="AJ184" s="801"/>
      <c r="AK184" s="831">
        <f t="shared" si="139"/>
        <v>0</v>
      </c>
      <c r="AL184" s="813"/>
      <c r="AM184" s="800"/>
      <c r="AN184" s="801"/>
      <c r="AO184" s="831">
        <f t="shared" si="140"/>
        <v>0</v>
      </c>
      <c r="AP184" s="1079">
        <f t="shared" si="132"/>
        <v>0</v>
      </c>
      <c r="AQ184" s="1079">
        <f t="shared" si="133"/>
        <v>0</v>
      </c>
      <c r="AR184" s="1080">
        <f t="shared" si="134"/>
        <v>0</v>
      </c>
      <c r="AS184" s="310"/>
      <c r="AT184" s="310"/>
      <c r="AU184" s="310"/>
      <c r="AV184" s="310"/>
      <c r="AW184" s="310"/>
      <c r="AX184" s="310"/>
      <c r="AY184" s="310"/>
      <c r="AZ184" s="310"/>
      <c r="BA184" s="310"/>
      <c r="BB184" s="196"/>
      <c r="BC184" s="196"/>
      <c r="BD184" s="313"/>
      <c r="BE184" s="313"/>
      <c r="BF184" s="313"/>
      <c r="BG184" s="313"/>
      <c r="BH184" s="313"/>
      <c r="BI184" s="313"/>
      <c r="BJ184" s="313"/>
      <c r="BK184" s="313"/>
      <c r="BL184" s="313"/>
      <c r="BM184" s="313"/>
      <c r="BN184" s="313"/>
      <c r="BO184" s="313"/>
      <c r="BP184" s="313"/>
      <c r="BQ184" s="313"/>
      <c r="BR184" s="313"/>
      <c r="BS184" s="313"/>
      <c r="BT184" s="313"/>
      <c r="BU184" s="313"/>
      <c r="BV184" s="313"/>
      <c r="BW184" s="313"/>
      <c r="BX184" s="313"/>
      <c r="BY184" s="313"/>
      <c r="BZ184" s="313"/>
      <c r="CA184" s="313"/>
      <c r="CB184" s="313"/>
      <c r="CC184" s="313"/>
      <c r="CD184" s="313"/>
      <c r="CE184" s="313"/>
    </row>
    <row r="185" spans="1:83" s="101" customFormat="1" ht="12.75" customHeight="1" x14ac:dyDescent="0.2">
      <c r="A185" s="382" t="s">
        <v>963</v>
      </c>
      <c r="B185" s="106"/>
      <c r="C185" s="94">
        <v>0</v>
      </c>
      <c r="D185" s="386"/>
      <c r="E185" s="95"/>
      <c r="F185" s="389">
        <f t="shared" si="121"/>
        <v>0</v>
      </c>
      <c r="G185" s="1259"/>
      <c r="H185" s="844" t="str">
        <f t="shared" si="135"/>
        <v/>
      </c>
      <c r="I185" s="847" t="str">
        <f t="shared" si="136"/>
        <v/>
      </c>
      <c r="J185" s="751"/>
      <c r="K185" s="751"/>
      <c r="L185" s="489">
        <f t="shared" si="129"/>
        <v>0</v>
      </c>
      <c r="M185" s="489">
        <f t="shared" si="130"/>
        <v>0</v>
      </c>
      <c r="N185" s="357" t="str">
        <f t="shared" si="131"/>
        <v/>
      </c>
      <c r="O185" s="512"/>
      <c r="P185" s="506"/>
      <c r="Q185" s="507"/>
      <c r="R185" s="505"/>
      <c r="S185" s="502"/>
      <c r="T185" s="507"/>
      <c r="U185" s="505"/>
      <c r="V185" s="831">
        <f t="shared" si="137"/>
        <v>0</v>
      </c>
      <c r="W185" s="397">
        <f t="shared" si="123"/>
        <v>0</v>
      </c>
      <c r="X185" s="512"/>
      <c r="Y185" s="508"/>
      <c r="Z185" s="507"/>
      <c r="AA185" s="505"/>
      <c r="AB185" s="295"/>
      <c r="AC185" s="336"/>
      <c r="AD185" s="813"/>
      <c r="AE185" s="800"/>
      <c r="AF185" s="801"/>
      <c r="AG185" s="831">
        <f t="shared" si="138"/>
        <v>0</v>
      </c>
      <c r="AH185" s="813"/>
      <c r="AI185" s="800"/>
      <c r="AJ185" s="801"/>
      <c r="AK185" s="831">
        <f t="shared" si="139"/>
        <v>0</v>
      </c>
      <c r="AL185" s="813"/>
      <c r="AM185" s="800"/>
      <c r="AN185" s="801"/>
      <c r="AO185" s="831">
        <f t="shared" si="140"/>
        <v>0</v>
      </c>
      <c r="AP185" s="1079">
        <f t="shared" si="132"/>
        <v>0</v>
      </c>
      <c r="AQ185" s="1079">
        <f t="shared" si="133"/>
        <v>0</v>
      </c>
      <c r="AR185" s="1080">
        <f t="shared" si="134"/>
        <v>0</v>
      </c>
      <c r="AS185" s="310"/>
      <c r="AT185" s="310"/>
      <c r="AU185" s="310"/>
      <c r="AV185" s="310"/>
      <c r="AW185" s="310"/>
      <c r="AX185" s="310"/>
      <c r="AY185" s="310"/>
      <c r="AZ185" s="310"/>
      <c r="BA185" s="310"/>
      <c r="BB185" s="196"/>
      <c r="BC185" s="196"/>
      <c r="BD185" s="313"/>
      <c r="BE185" s="313"/>
      <c r="BF185" s="313"/>
      <c r="BG185" s="313"/>
      <c r="BH185" s="313"/>
      <c r="BI185" s="313"/>
      <c r="BJ185" s="313"/>
      <c r="BK185" s="313"/>
      <c r="BL185" s="313"/>
      <c r="BM185" s="313"/>
      <c r="BN185" s="313"/>
      <c r="BO185" s="313"/>
      <c r="BP185" s="313"/>
      <c r="BQ185" s="313"/>
      <c r="BR185" s="313"/>
      <c r="BS185" s="313"/>
      <c r="BT185" s="313"/>
      <c r="BU185" s="313"/>
      <c r="BV185" s="313"/>
      <c r="BW185" s="313"/>
      <c r="BX185" s="313"/>
      <c r="BY185" s="313"/>
      <c r="BZ185" s="313"/>
      <c r="CA185" s="313"/>
      <c r="CB185" s="313"/>
      <c r="CC185" s="313"/>
      <c r="CD185" s="313"/>
      <c r="CE185" s="313"/>
    </row>
    <row r="186" spans="1:83" s="101" customFormat="1" ht="12.75" customHeight="1" x14ac:dyDescent="0.2">
      <c r="A186" s="382" t="s">
        <v>964</v>
      </c>
      <c r="B186" s="106"/>
      <c r="C186" s="94">
        <v>0</v>
      </c>
      <c r="D186" s="386"/>
      <c r="E186" s="95"/>
      <c r="F186" s="389">
        <f t="shared" si="121"/>
        <v>0</v>
      </c>
      <c r="G186" s="1259"/>
      <c r="H186" s="844" t="str">
        <f t="shared" si="135"/>
        <v/>
      </c>
      <c r="I186" s="847" t="str">
        <f t="shared" si="136"/>
        <v/>
      </c>
      <c r="J186" s="751"/>
      <c r="K186" s="751"/>
      <c r="L186" s="489">
        <f t="shared" si="129"/>
        <v>0</v>
      </c>
      <c r="M186" s="489">
        <f t="shared" si="130"/>
        <v>0</v>
      </c>
      <c r="N186" s="357" t="str">
        <f t="shared" si="131"/>
        <v/>
      </c>
      <c r="O186" s="512"/>
      <c r="P186" s="506"/>
      <c r="Q186" s="507"/>
      <c r="R186" s="505"/>
      <c r="S186" s="502"/>
      <c r="T186" s="507"/>
      <c r="U186" s="505"/>
      <c r="V186" s="831">
        <f t="shared" si="137"/>
        <v>0</v>
      </c>
      <c r="W186" s="397">
        <f t="shared" si="123"/>
        <v>0</v>
      </c>
      <c r="X186" s="512"/>
      <c r="Y186" s="508"/>
      <c r="Z186" s="507"/>
      <c r="AA186" s="505"/>
      <c r="AB186" s="295"/>
      <c r="AC186" s="336"/>
      <c r="AD186" s="813"/>
      <c r="AE186" s="800"/>
      <c r="AF186" s="801"/>
      <c r="AG186" s="831">
        <f t="shared" si="138"/>
        <v>0</v>
      </c>
      <c r="AH186" s="813"/>
      <c r="AI186" s="800"/>
      <c r="AJ186" s="801"/>
      <c r="AK186" s="831">
        <f t="shared" si="139"/>
        <v>0</v>
      </c>
      <c r="AL186" s="813"/>
      <c r="AM186" s="800"/>
      <c r="AN186" s="801"/>
      <c r="AO186" s="831">
        <f t="shared" si="140"/>
        <v>0</v>
      </c>
      <c r="AP186" s="1079">
        <f t="shared" si="132"/>
        <v>0</v>
      </c>
      <c r="AQ186" s="1079">
        <f t="shared" si="133"/>
        <v>0</v>
      </c>
      <c r="AR186" s="1080">
        <f t="shared" si="134"/>
        <v>0</v>
      </c>
      <c r="AS186" s="310"/>
      <c r="AT186" s="310"/>
      <c r="AU186" s="310"/>
      <c r="AV186" s="310"/>
      <c r="AW186" s="310"/>
      <c r="AX186" s="310"/>
      <c r="AY186" s="310"/>
      <c r="AZ186" s="310"/>
      <c r="BA186" s="310"/>
      <c r="BB186" s="196"/>
      <c r="BC186" s="196"/>
      <c r="BD186" s="313"/>
      <c r="BE186" s="313"/>
      <c r="BF186" s="313"/>
      <c r="BG186" s="313"/>
      <c r="BH186" s="313"/>
      <c r="BI186" s="313"/>
      <c r="BJ186" s="313"/>
      <c r="BK186" s="313"/>
      <c r="BL186" s="313"/>
      <c r="BM186" s="313"/>
      <c r="BN186" s="313"/>
      <c r="BO186" s="313"/>
      <c r="BP186" s="313"/>
      <c r="BQ186" s="313"/>
      <c r="BR186" s="313"/>
      <c r="BS186" s="313"/>
      <c r="BT186" s="313"/>
      <c r="BU186" s="313"/>
      <c r="BV186" s="313"/>
      <c r="BW186" s="313"/>
      <c r="BX186" s="313"/>
      <c r="BY186" s="313"/>
      <c r="BZ186" s="313"/>
      <c r="CA186" s="313"/>
      <c r="CB186" s="313"/>
      <c r="CC186" s="313"/>
      <c r="CD186" s="313"/>
      <c r="CE186" s="313"/>
    </row>
    <row r="187" spans="1:83" s="101" customFormat="1" ht="12.75" customHeight="1" x14ac:dyDescent="0.2">
      <c r="A187" s="382" t="s">
        <v>965</v>
      </c>
      <c r="B187" s="106"/>
      <c r="C187" s="94">
        <v>0</v>
      </c>
      <c r="D187" s="386"/>
      <c r="E187" s="95"/>
      <c r="F187" s="389">
        <f t="shared" si="121"/>
        <v>0</v>
      </c>
      <c r="G187" s="1259"/>
      <c r="H187" s="844" t="str">
        <f t="shared" si="135"/>
        <v/>
      </c>
      <c r="I187" s="847" t="str">
        <f t="shared" si="136"/>
        <v/>
      </c>
      <c r="J187" s="751"/>
      <c r="K187" s="751"/>
      <c r="L187" s="489">
        <f t="shared" si="129"/>
        <v>0</v>
      </c>
      <c r="M187" s="489">
        <f t="shared" si="130"/>
        <v>0</v>
      </c>
      <c r="N187" s="357" t="str">
        <f t="shared" si="131"/>
        <v/>
      </c>
      <c r="O187" s="512"/>
      <c r="P187" s="506"/>
      <c r="Q187" s="507"/>
      <c r="R187" s="505"/>
      <c r="S187" s="502"/>
      <c r="T187" s="507"/>
      <c r="U187" s="505"/>
      <c r="V187" s="831">
        <f t="shared" si="137"/>
        <v>0</v>
      </c>
      <c r="W187" s="397">
        <f t="shared" si="123"/>
        <v>0</v>
      </c>
      <c r="X187" s="512"/>
      <c r="Y187" s="508"/>
      <c r="Z187" s="507"/>
      <c r="AA187" s="505"/>
      <c r="AB187" s="295"/>
      <c r="AC187" s="336"/>
      <c r="AD187" s="813"/>
      <c r="AE187" s="800"/>
      <c r="AF187" s="801"/>
      <c r="AG187" s="831">
        <f t="shared" si="138"/>
        <v>0</v>
      </c>
      <c r="AH187" s="813"/>
      <c r="AI187" s="800"/>
      <c r="AJ187" s="801"/>
      <c r="AK187" s="831">
        <f t="shared" si="139"/>
        <v>0</v>
      </c>
      <c r="AL187" s="813"/>
      <c r="AM187" s="800"/>
      <c r="AN187" s="801"/>
      <c r="AO187" s="831">
        <f t="shared" si="140"/>
        <v>0</v>
      </c>
      <c r="AP187" s="1079">
        <f t="shared" si="132"/>
        <v>0</v>
      </c>
      <c r="AQ187" s="1079">
        <f t="shared" si="133"/>
        <v>0</v>
      </c>
      <c r="AR187" s="1080">
        <f t="shared" si="134"/>
        <v>0</v>
      </c>
      <c r="AS187" s="310"/>
      <c r="AT187" s="310"/>
      <c r="AU187" s="310"/>
      <c r="AV187" s="310"/>
      <c r="AW187" s="310"/>
      <c r="AX187" s="310"/>
      <c r="AY187" s="310"/>
      <c r="AZ187" s="310"/>
      <c r="BA187" s="310"/>
      <c r="BB187" s="196"/>
      <c r="BC187" s="196"/>
      <c r="BD187" s="313"/>
      <c r="BE187" s="313"/>
      <c r="BF187" s="313"/>
      <c r="BG187" s="313"/>
      <c r="BH187" s="313"/>
      <c r="BI187" s="313"/>
      <c r="BJ187" s="313"/>
      <c r="BK187" s="313"/>
      <c r="BL187" s="313"/>
      <c r="BM187" s="313"/>
      <c r="BN187" s="313"/>
      <c r="BO187" s="313"/>
      <c r="BP187" s="313"/>
      <c r="BQ187" s="313"/>
      <c r="BR187" s="313"/>
      <c r="BS187" s="313"/>
      <c r="BT187" s="313"/>
      <c r="BU187" s="313"/>
      <c r="BV187" s="313"/>
      <c r="BW187" s="313"/>
      <c r="BX187" s="313"/>
      <c r="BY187" s="313"/>
      <c r="BZ187" s="313"/>
      <c r="CA187" s="313"/>
      <c r="CB187" s="313"/>
      <c r="CC187" s="313"/>
      <c r="CD187" s="313"/>
      <c r="CE187" s="313"/>
    </row>
    <row r="188" spans="1:83" s="101" customFormat="1" ht="12.75" customHeight="1" x14ac:dyDescent="0.2">
      <c r="A188" s="382" t="s">
        <v>966</v>
      </c>
      <c r="B188" s="106"/>
      <c r="C188" s="94">
        <v>0</v>
      </c>
      <c r="D188" s="386"/>
      <c r="E188" s="95"/>
      <c r="F188" s="389">
        <f t="shared" si="121"/>
        <v>0</v>
      </c>
      <c r="G188" s="1259"/>
      <c r="H188" s="844" t="str">
        <f t="shared" si="135"/>
        <v/>
      </c>
      <c r="I188" s="847" t="str">
        <f t="shared" si="136"/>
        <v/>
      </c>
      <c r="J188" s="751"/>
      <c r="K188" s="751"/>
      <c r="L188" s="489">
        <f t="shared" si="129"/>
        <v>0</v>
      </c>
      <c r="M188" s="489">
        <f t="shared" si="130"/>
        <v>0</v>
      </c>
      <c r="N188" s="357" t="str">
        <f t="shared" si="131"/>
        <v/>
      </c>
      <c r="O188" s="512"/>
      <c r="P188" s="506"/>
      <c r="Q188" s="507"/>
      <c r="R188" s="505"/>
      <c r="S188" s="502"/>
      <c r="T188" s="507"/>
      <c r="U188" s="505"/>
      <c r="V188" s="831">
        <f t="shared" si="137"/>
        <v>0</v>
      </c>
      <c r="W188" s="397">
        <f t="shared" si="123"/>
        <v>0</v>
      </c>
      <c r="X188" s="512"/>
      <c r="Y188" s="508"/>
      <c r="Z188" s="507"/>
      <c r="AA188" s="505"/>
      <c r="AB188" s="295"/>
      <c r="AC188" s="336"/>
      <c r="AD188" s="813"/>
      <c r="AE188" s="800"/>
      <c r="AF188" s="801"/>
      <c r="AG188" s="831">
        <f t="shared" si="138"/>
        <v>0</v>
      </c>
      <c r="AH188" s="813"/>
      <c r="AI188" s="800"/>
      <c r="AJ188" s="801"/>
      <c r="AK188" s="831">
        <f t="shared" si="139"/>
        <v>0</v>
      </c>
      <c r="AL188" s="813"/>
      <c r="AM188" s="800"/>
      <c r="AN188" s="801"/>
      <c r="AO188" s="831">
        <f t="shared" si="140"/>
        <v>0</v>
      </c>
      <c r="AP188" s="1079">
        <f t="shared" si="132"/>
        <v>0</v>
      </c>
      <c r="AQ188" s="1079">
        <f t="shared" si="133"/>
        <v>0</v>
      </c>
      <c r="AR188" s="1080">
        <f t="shared" si="134"/>
        <v>0</v>
      </c>
      <c r="AS188" s="310"/>
      <c r="AT188" s="310"/>
      <c r="AU188" s="310"/>
      <c r="AV188" s="310"/>
      <c r="AW188" s="310"/>
      <c r="AX188" s="310"/>
      <c r="AY188" s="310"/>
      <c r="AZ188" s="310"/>
      <c r="BA188" s="310"/>
      <c r="BB188" s="196"/>
      <c r="BC188" s="196"/>
      <c r="BD188" s="313"/>
      <c r="BE188" s="313"/>
      <c r="BF188" s="313"/>
      <c r="BG188" s="313"/>
      <c r="BH188" s="313"/>
      <c r="BI188" s="313"/>
      <c r="BJ188" s="313"/>
      <c r="BK188" s="313"/>
      <c r="BL188" s="313"/>
      <c r="BM188" s="313"/>
      <c r="BN188" s="313"/>
      <c r="BO188" s="313"/>
      <c r="BP188" s="313"/>
      <c r="BQ188" s="313"/>
      <c r="BR188" s="313"/>
      <c r="BS188" s="313"/>
      <c r="BT188" s="313"/>
      <c r="BU188" s="313"/>
      <c r="BV188" s="313"/>
      <c r="BW188" s="313"/>
      <c r="BX188" s="313"/>
      <c r="BY188" s="313"/>
      <c r="BZ188" s="313"/>
      <c r="CA188" s="313"/>
      <c r="CB188" s="313"/>
      <c r="CC188" s="313"/>
      <c r="CD188" s="313"/>
      <c r="CE188" s="313"/>
    </row>
    <row r="189" spans="1:83" s="101" customFormat="1" ht="12.75" customHeight="1" x14ac:dyDescent="0.2">
      <c r="A189" s="382" t="s">
        <v>967</v>
      </c>
      <c r="B189" s="106"/>
      <c r="C189" s="94">
        <v>0</v>
      </c>
      <c r="D189" s="386"/>
      <c r="E189" s="95"/>
      <c r="F189" s="389">
        <f t="shared" si="121"/>
        <v>0</v>
      </c>
      <c r="G189" s="1259"/>
      <c r="H189" s="844" t="str">
        <f t="shared" si="135"/>
        <v/>
      </c>
      <c r="I189" s="847" t="str">
        <f t="shared" si="136"/>
        <v/>
      </c>
      <c r="J189" s="751"/>
      <c r="K189" s="751"/>
      <c r="L189" s="489">
        <f t="shared" si="129"/>
        <v>0</v>
      </c>
      <c r="M189" s="489">
        <f t="shared" si="130"/>
        <v>0</v>
      </c>
      <c r="N189" s="357" t="str">
        <f t="shared" si="131"/>
        <v/>
      </c>
      <c r="O189" s="512"/>
      <c r="P189" s="506"/>
      <c r="Q189" s="507"/>
      <c r="R189" s="505"/>
      <c r="S189" s="502"/>
      <c r="T189" s="507"/>
      <c r="U189" s="505"/>
      <c r="V189" s="831">
        <f t="shared" si="137"/>
        <v>0</v>
      </c>
      <c r="W189" s="397">
        <f t="shared" si="123"/>
        <v>0</v>
      </c>
      <c r="X189" s="512"/>
      <c r="Y189" s="508"/>
      <c r="Z189" s="507"/>
      <c r="AA189" s="505"/>
      <c r="AB189" s="295"/>
      <c r="AC189" s="336"/>
      <c r="AD189" s="813"/>
      <c r="AE189" s="800"/>
      <c r="AF189" s="801"/>
      <c r="AG189" s="831">
        <f t="shared" si="138"/>
        <v>0</v>
      </c>
      <c r="AH189" s="813"/>
      <c r="AI189" s="800"/>
      <c r="AJ189" s="801"/>
      <c r="AK189" s="831">
        <f t="shared" si="139"/>
        <v>0</v>
      </c>
      <c r="AL189" s="813"/>
      <c r="AM189" s="800"/>
      <c r="AN189" s="801"/>
      <c r="AO189" s="831">
        <f t="shared" si="140"/>
        <v>0</v>
      </c>
      <c r="AP189" s="1079">
        <f t="shared" si="132"/>
        <v>0</v>
      </c>
      <c r="AQ189" s="1079">
        <f t="shared" si="133"/>
        <v>0</v>
      </c>
      <c r="AR189" s="1080">
        <f t="shared" si="134"/>
        <v>0</v>
      </c>
      <c r="AS189" s="310"/>
      <c r="AT189" s="310"/>
      <c r="AU189" s="310"/>
      <c r="AV189" s="310"/>
      <c r="AW189" s="310"/>
      <c r="AX189" s="310"/>
      <c r="AY189" s="310"/>
      <c r="AZ189" s="310"/>
      <c r="BA189" s="310"/>
      <c r="BB189" s="196"/>
      <c r="BC189" s="196"/>
      <c r="BD189" s="313"/>
      <c r="BE189" s="313"/>
      <c r="BF189" s="313"/>
      <c r="BG189" s="313"/>
      <c r="BH189" s="313"/>
      <c r="BI189" s="313"/>
      <c r="BJ189" s="313"/>
      <c r="BK189" s="313"/>
      <c r="BL189" s="313"/>
      <c r="BM189" s="313"/>
      <c r="BN189" s="313"/>
      <c r="BO189" s="313"/>
      <c r="BP189" s="313"/>
      <c r="BQ189" s="313"/>
      <c r="BR189" s="313"/>
      <c r="BS189" s="313"/>
      <c r="BT189" s="313"/>
      <c r="BU189" s="313"/>
      <c r="BV189" s="313"/>
      <c r="BW189" s="313"/>
      <c r="BX189" s="313"/>
      <c r="BY189" s="313"/>
      <c r="BZ189" s="313"/>
      <c r="CA189" s="313"/>
      <c r="CB189" s="313"/>
      <c r="CC189" s="313"/>
      <c r="CD189" s="313"/>
      <c r="CE189" s="313"/>
    </row>
    <row r="190" spans="1:83" s="101" customFormat="1" ht="12.75" customHeight="1" x14ac:dyDescent="0.2">
      <c r="A190" s="382" t="s">
        <v>968</v>
      </c>
      <c r="B190" s="106"/>
      <c r="C190" s="94">
        <v>0</v>
      </c>
      <c r="D190" s="386"/>
      <c r="E190" s="95"/>
      <c r="F190" s="389">
        <f t="shared" si="121"/>
        <v>0</v>
      </c>
      <c r="G190" s="1259"/>
      <c r="H190" s="844" t="str">
        <f t="shared" si="135"/>
        <v/>
      </c>
      <c r="I190" s="847" t="str">
        <f t="shared" si="136"/>
        <v/>
      </c>
      <c r="J190" s="751"/>
      <c r="K190" s="751"/>
      <c r="L190" s="489">
        <f t="shared" si="129"/>
        <v>0</v>
      </c>
      <c r="M190" s="489">
        <f t="shared" si="130"/>
        <v>0</v>
      </c>
      <c r="N190" s="357" t="str">
        <f t="shared" si="131"/>
        <v/>
      </c>
      <c r="O190" s="512"/>
      <c r="P190" s="506"/>
      <c r="Q190" s="507"/>
      <c r="R190" s="505"/>
      <c r="S190" s="502"/>
      <c r="T190" s="507"/>
      <c r="U190" s="505"/>
      <c r="V190" s="831">
        <f t="shared" si="137"/>
        <v>0</v>
      </c>
      <c r="W190" s="397">
        <f t="shared" si="123"/>
        <v>0</v>
      </c>
      <c r="X190" s="512"/>
      <c r="Y190" s="508"/>
      <c r="Z190" s="507"/>
      <c r="AA190" s="505"/>
      <c r="AB190" s="295"/>
      <c r="AC190" s="336"/>
      <c r="AD190" s="813"/>
      <c r="AE190" s="800"/>
      <c r="AF190" s="801"/>
      <c r="AG190" s="831">
        <f t="shared" si="138"/>
        <v>0</v>
      </c>
      <c r="AH190" s="813"/>
      <c r="AI190" s="800"/>
      <c r="AJ190" s="801"/>
      <c r="AK190" s="831">
        <f t="shared" si="139"/>
        <v>0</v>
      </c>
      <c r="AL190" s="813"/>
      <c r="AM190" s="800"/>
      <c r="AN190" s="801"/>
      <c r="AO190" s="831">
        <f t="shared" si="140"/>
        <v>0</v>
      </c>
      <c r="AP190" s="1079">
        <f t="shared" si="132"/>
        <v>0</v>
      </c>
      <c r="AQ190" s="1079">
        <f t="shared" si="133"/>
        <v>0</v>
      </c>
      <c r="AR190" s="1080">
        <f t="shared" si="134"/>
        <v>0</v>
      </c>
      <c r="AS190" s="310"/>
      <c r="AT190" s="310"/>
      <c r="AU190" s="310"/>
      <c r="AV190" s="310"/>
      <c r="AW190" s="310"/>
      <c r="AX190" s="310"/>
      <c r="AY190" s="310"/>
      <c r="AZ190" s="310"/>
      <c r="BA190" s="310"/>
      <c r="BB190" s="196"/>
      <c r="BC190" s="196"/>
      <c r="BD190" s="313"/>
      <c r="BE190" s="313"/>
      <c r="BF190" s="313"/>
      <c r="BG190" s="313"/>
      <c r="BH190" s="313"/>
      <c r="BI190" s="313"/>
      <c r="BJ190" s="313"/>
      <c r="BK190" s="313"/>
      <c r="BL190" s="313"/>
      <c r="BM190" s="313"/>
      <c r="BN190" s="313"/>
      <c r="BO190" s="313"/>
      <c r="BP190" s="313"/>
      <c r="BQ190" s="313"/>
      <c r="BR190" s="313"/>
      <c r="BS190" s="313"/>
      <c r="BT190" s="313"/>
      <c r="BU190" s="313"/>
      <c r="BV190" s="313"/>
      <c r="BW190" s="313"/>
      <c r="BX190" s="313"/>
      <c r="BY190" s="313"/>
      <c r="BZ190" s="313"/>
      <c r="CA190" s="313"/>
      <c r="CB190" s="313"/>
      <c r="CC190" s="313"/>
      <c r="CD190" s="313"/>
      <c r="CE190" s="313"/>
    </row>
    <row r="191" spans="1:83" s="101" customFormat="1" ht="12.75" customHeight="1" x14ac:dyDescent="0.2">
      <c r="A191" s="382" t="s">
        <v>969</v>
      </c>
      <c r="B191" s="106"/>
      <c r="C191" s="94">
        <v>0</v>
      </c>
      <c r="D191" s="386"/>
      <c r="E191" s="95"/>
      <c r="F191" s="389">
        <f t="shared" si="121"/>
        <v>0</v>
      </c>
      <c r="G191" s="1259"/>
      <c r="H191" s="844" t="str">
        <f t="shared" si="135"/>
        <v/>
      </c>
      <c r="I191" s="847" t="str">
        <f t="shared" si="136"/>
        <v/>
      </c>
      <c r="J191" s="751"/>
      <c r="K191" s="751"/>
      <c r="L191" s="489">
        <f t="shared" si="129"/>
        <v>0</v>
      </c>
      <c r="M191" s="489">
        <f t="shared" si="130"/>
        <v>0</v>
      </c>
      <c r="N191" s="357" t="str">
        <f t="shared" si="131"/>
        <v/>
      </c>
      <c r="O191" s="512"/>
      <c r="P191" s="506"/>
      <c r="Q191" s="507"/>
      <c r="R191" s="505"/>
      <c r="S191" s="502"/>
      <c r="T191" s="507"/>
      <c r="U191" s="505"/>
      <c r="V191" s="831">
        <f t="shared" si="137"/>
        <v>0</v>
      </c>
      <c r="W191" s="397">
        <f t="shared" si="123"/>
        <v>0</v>
      </c>
      <c r="X191" s="512"/>
      <c r="Y191" s="508"/>
      <c r="Z191" s="507"/>
      <c r="AA191" s="505"/>
      <c r="AB191" s="295"/>
      <c r="AC191" s="336"/>
      <c r="AD191" s="813"/>
      <c r="AE191" s="800"/>
      <c r="AF191" s="801"/>
      <c r="AG191" s="831">
        <f t="shared" si="138"/>
        <v>0</v>
      </c>
      <c r="AH191" s="813"/>
      <c r="AI191" s="800"/>
      <c r="AJ191" s="801"/>
      <c r="AK191" s="831">
        <f t="shared" si="139"/>
        <v>0</v>
      </c>
      <c r="AL191" s="813"/>
      <c r="AM191" s="800"/>
      <c r="AN191" s="801"/>
      <c r="AO191" s="831">
        <f t="shared" si="140"/>
        <v>0</v>
      </c>
      <c r="AP191" s="1079">
        <f t="shared" si="132"/>
        <v>0</v>
      </c>
      <c r="AQ191" s="1079">
        <f t="shared" si="133"/>
        <v>0</v>
      </c>
      <c r="AR191" s="1080">
        <f t="shared" si="134"/>
        <v>0</v>
      </c>
      <c r="AS191" s="310"/>
      <c r="AT191" s="310"/>
      <c r="AU191" s="310"/>
      <c r="AV191" s="310"/>
      <c r="AW191" s="310"/>
      <c r="AX191" s="310"/>
      <c r="AY191" s="310"/>
      <c r="AZ191" s="310"/>
      <c r="BA191" s="310"/>
      <c r="BB191" s="196"/>
      <c r="BC191" s="196"/>
      <c r="BD191" s="313"/>
      <c r="BE191" s="313"/>
      <c r="BF191" s="313"/>
      <c r="BG191" s="313"/>
      <c r="BH191" s="313"/>
      <c r="BI191" s="313"/>
      <c r="BJ191" s="313"/>
      <c r="BK191" s="313"/>
      <c r="BL191" s="313"/>
      <c r="BM191" s="313"/>
      <c r="BN191" s="313"/>
      <c r="BO191" s="313"/>
      <c r="BP191" s="313"/>
      <c r="BQ191" s="313"/>
      <c r="BR191" s="313"/>
      <c r="BS191" s="313"/>
      <c r="BT191" s="313"/>
      <c r="BU191" s="313"/>
      <c r="BV191" s="313"/>
      <c r="BW191" s="313"/>
      <c r="BX191" s="313"/>
      <c r="BY191" s="313"/>
      <c r="BZ191" s="313"/>
      <c r="CA191" s="313"/>
      <c r="CB191" s="313"/>
      <c r="CC191" s="313"/>
      <c r="CD191" s="313"/>
      <c r="CE191" s="313"/>
    </row>
    <row r="192" spans="1:83" s="101" customFormat="1" ht="12.75" customHeight="1" x14ac:dyDescent="0.2">
      <c r="A192" s="382" t="s">
        <v>970</v>
      </c>
      <c r="B192" s="106"/>
      <c r="C192" s="94">
        <v>0</v>
      </c>
      <c r="D192" s="386"/>
      <c r="E192" s="95"/>
      <c r="F192" s="389">
        <f t="shared" si="121"/>
        <v>0</v>
      </c>
      <c r="G192" s="1259"/>
      <c r="H192" s="844" t="str">
        <f t="shared" si="135"/>
        <v/>
      </c>
      <c r="I192" s="847" t="str">
        <f t="shared" si="136"/>
        <v/>
      </c>
      <c r="J192" s="751"/>
      <c r="K192" s="751"/>
      <c r="L192" s="489">
        <f t="shared" si="129"/>
        <v>0</v>
      </c>
      <c r="M192" s="489">
        <f t="shared" si="130"/>
        <v>0</v>
      </c>
      <c r="N192" s="357" t="str">
        <f t="shared" si="131"/>
        <v/>
      </c>
      <c r="O192" s="512"/>
      <c r="P192" s="506"/>
      <c r="Q192" s="507"/>
      <c r="R192" s="505"/>
      <c r="S192" s="502"/>
      <c r="T192" s="507"/>
      <c r="U192" s="505"/>
      <c r="V192" s="831">
        <f t="shared" ref="V192:V196" si="141">SUM(T192:U192)</f>
        <v>0</v>
      </c>
      <c r="W192" s="397">
        <f t="shared" si="123"/>
        <v>0</v>
      </c>
      <c r="X192" s="512"/>
      <c r="Y192" s="508"/>
      <c r="Z192" s="507"/>
      <c r="AA192" s="505"/>
      <c r="AB192" s="295"/>
      <c r="AC192" s="336"/>
      <c r="AD192" s="813"/>
      <c r="AE192" s="800"/>
      <c r="AF192" s="801"/>
      <c r="AG192" s="831">
        <f t="shared" si="138"/>
        <v>0</v>
      </c>
      <c r="AH192" s="813"/>
      <c r="AI192" s="800"/>
      <c r="AJ192" s="801"/>
      <c r="AK192" s="831">
        <f t="shared" si="139"/>
        <v>0</v>
      </c>
      <c r="AL192" s="813"/>
      <c r="AM192" s="800"/>
      <c r="AN192" s="801"/>
      <c r="AO192" s="831">
        <f t="shared" si="140"/>
        <v>0</v>
      </c>
      <c r="AP192" s="1079">
        <f t="shared" si="132"/>
        <v>0</v>
      </c>
      <c r="AQ192" s="1079">
        <f t="shared" si="133"/>
        <v>0</v>
      </c>
      <c r="AR192" s="1080">
        <f t="shared" si="134"/>
        <v>0</v>
      </c>
      <c r="AS192" s="310"/>
      <c r="AT192" s="310"/>
      <c r="AU192" s="310"/>
      <c r="AV192" s="310"/>
      <c r="AW192" s="310"/>
      <c r="AX192" s="310"/>
      <c r="AY192" s="310"/>
      <c r="AZ192" s="310"/>
      <c r="BA192" s="310"/>
      <c r="BB192" s="196"/>
      <c r="BC192" s="196"/>
      <c r="BD192" s="313"/>
      <c r="BE192" s="313"/>
      <c r="BF192" s="313"/>
      <c r="BG192" s="313"/>
      <c r="BH192" s="313"/>
      <c r="BI192" s="313"/>
      <c r="BJ192" s="313"/>
      <c r="BK192" s="313"/>
      <c r="BL192" s="313"/>
      <c r="BM192" s="313"/>
      <c r="BN192" s="313"/>
      <c r="BO192" s="313"/>
      <c r="BP192" s="313"/>
      <c r="BQ192" s="313"/>
      <c r="BR192" s="313"/>
      <c r="BS192" s="313"/>
      <c r="BT192" s="313"/>
      <c r="BU192" s="313"/>
      <c r="BV192" s="313"/>
      <c r="BW192" s="313"/>
      <c r="BX192" s="313"/>
      <c r="BY192" s="313"/>
      <c r="BZ192" s="313"/>
      <c r="CA192" s="313"/>
      <c r="CB192" s="313"/>
      <c r="CC192" s="313"/>
      <c r="CD192" s="313"/>
      <c r="CE192" s="313"/>
    </row>
    <row r="193" spans="1:83" s="101" customFormat="1" ht="12.75" customHeight="1" x14ac:dyDescent="0.2">
      <c r="A193" s="382" t="s">
        <v>971</v>
      </c>
      <c r="B193" s="106"/>
      <c r="C193" s="94">
        <v>0</v>
      </c>
      <c r="D193" s="386"/>
      <c r="E193" s="95"/>
      <c r="F193" s="389">
        <f t="shared" si="121"/>
        <v>0</v>
      </c>
      <c r="G193" s="1259"/>
      <c r="H193" s="844" t="str">
        <f t="shared" si="135"/>
        <v/>
      </c>
      <c r="I193" s="847" t="str">
        <f t="shared" si="136"/>
        <v/>
      </c>
      <c r="J193" s="751"/>
      <c r="K193" s="751"/>
      <c r="L193" s="489">
        <f t="shared" si="129"/>
        <v>0</v>
      </c>
      <c r="M193" s="489">
        <f t="shared" si="130"/>
        <v>0</v>
      </c>
      <c r="N193" s="357" t="str">
        <f t="shared" si="131"/>
        <v/>
      </c>
      <c r="O193" s="512"/>
      <c r="P193" s="506"/>
      <c r="Q193" s="507"/>
      <c r="R193" s="505"/>
      <c r="S193" s="502"/>
      <c r="T193" s="507"/>
      <c r="U193" s="505"/>
      <c r="V193" s="831">
        <f t="shared" si="141"/>
        <v>0</v>
      </c>
      <c r="W193" s="397">
        <f t="shared" si="123"/>
        <v>0</v>
      </c>
      <c r="X193" s="512"/>
      <c r="Y193" s="508"/>
      <c r="Z193" s="507"/>
      <c r="AA193" s="505"/>
      <c r="AB193" s="295"/>
      <c r="AC193" s="336"/>
      <c r="AD193" s="813"/>
      <c r="AE193" s="800"/>
      <c r="AF193" s="801"/>
      <c r="AG193" s="831">
        <f t="shared" si="138"/>
        <v>0</v>
      </c>
      <c r="AH193" s="813"/>
      <c r="AI193" s="800"/>
      <c r="AJ193" s="801"/>
      <c r="AK193" s="831">
        <f t="shared" si="139"/>
        <v>0</v>
      </c>
      <c r="AL193" s="813"/>
      <c r="AM193" s="800"/>
      <c r="AN193" s="801"/>
      <c r="AO193" s="831">
        <f t="shared" si="140"/>
        <v>0</v>
      </c>
      <c r="AP193" s="1079">
        <f t="shared" si="132"/>
        <v>0</v>
      </c>
      <c r="AQ193" s="1079">
        <f t="shared" si="133"/>
        <v>0</v>
      </c>
      <c r="AR193" s="1080">
        <f t="shared" si="134"/>
        <v>0</v>
      </c>
      <c r="AS193" s="310"/>
      <c r="AT193" s="310"/>
      <c r="AU193" s="310"/>
      <c r="AV193" s="310"/>
      <c r="AW193" s="310"/>
      <c r="AX193" s="310"/>
      <c r="AY193" s="310"/>
      <c r="AZ193" s="310"/>
      <c r="BA193" s="310"/>
      <c r="BB193" s="196"/>
      <c r="BC193" s="196"/>
      <c r="BD193" s="313"/>
      <c r="BE193" s="313"/>
      <c r="BF193" s="313"/>
      <c r="BG193" s="313"/>
      <c r="BH193" s="313"/>
      <c r="BI193" s="313"/>
      <c r="BJ193" s="313"/>
      <c r="BK193" s="313"/>
      <c r="BL193" s="313"/>
      <c r="BM193" s="313"/>
      <c r="BN193" s="313"/>
      <c r="BO193" s="313"/>
      <c r="BP193" s="313"/>
      <c r="BQ193" s="313"/>
      <c r="BR193" s="313"/>
      <c r="BS193" s="313"/>
      <c r="BT193" s="313"/>
      <c r="BU193" s="313"/>
      <c r="BV193" s="313"/>
      <c r="BW193" s="313"/>
      <c r="BX193" s="313"/>
      <c r="BY193" s="313"/>
      <c r="BZ193" s="313"/>
      <c r="CA193" s="313"/>
      <c r="CB193" s="313"/>
      <c r="CC193" s="313"/>
      <c r="CD193" s="313"/>
      <c r="CE193" s="313"/>
    </row>
    <row r="194" spans="1:83" s="101" customFormat="1" ht="12.75" customHeight="1" x14ac:dyDescent="0.2">
      <c r="A194" s="382" t="s">
        <v>972</v>
      </c>
      <c r="B194" s="106"/>
      <c r="C194" s="94">
        <v>0</v>
      </c>
      <c r="D194" s="386"/>
      <c r="E194" s="95"/>
      <c r="F194" s="389">
        <f t="shared" si="121"/>
        <v>0</v>
      </c>
      <c r="G194" s="1259"/>
      <c r="H194" s="844" t="str">
        <f t="shared" si="135"/>
        <v/>
      </c>
      <c r="I194" s="847" t="str">
        <f t="shared" si="136"/>
        <v/>
      </c>
      <c r="J194" s="751"/>
      <c r="K194" s="751"/>
      <c r="L194" s="489">
        <f t="shared" si="129"/>
        <v>0</v>
      </c>
      <c r="M194" s="489">
        <f t="shared" si="130"/>
        <v>0</v>
      </c>
      <c r="N194" s="357" t="str">
        <f t="shared" si="131"/>
        <v/>
      </c>
      <c r="O194" s="512"/>
      <c r="P194" s="506"/>
      <c r="Q194" s="507"/>
      <c r="R194" s="505"/>
      <c r="S194" s="502"/>
      <c r="T194" s="507"/>
      <c r="U194" s="505"/>
      <c r="V194" s="831">
        <f t="shared" si="141"/>
        <v>0</v>
      </c>
      <c r="W194" s="397">
        <f t="shared" si="123"/>
        <v>0</v>
      </c>
      <c r="X194" s="512"/>
      <c r="Y194" s="508"/>
      <c r="Z194" s="507"/>
      <c r="AA194" s="505"/>
      <c r="AB194" s="295"/>
      <c r="AC194" s="336"/>
      <c r="AD194" s="813"/>
      <c r="AE194" s="800"/>
      <c r="AF194" s="801"/>
      <c r="AG194" s="831">
        <f t="shared" si="138"/>
        <v>0</v>
      </c>
      <c r="AH194" s="813"/>
      <c r="AI194" s="800"/>
      <c r="AJ194" s="801"/>
      <c r="AK194" s="831">
        <f t="shared" si="139"/>
        <v>0</v>
      </c>
      <c r="AL194" s="813"/>
      <c r="AM194" s="800"/>
      <c r="AN194" s="801"/>
      <c r="AO194" s="831">
        <f t="shared" si="140"/>
        <v>0</v>
      </c>
      <c r="AP194" s="1079">
        <f t="shared" si="132"/>
        <v>0</v>
      </c>
      <c r="AQ194" s="1079">
        <f t="shared" si="133"/>
        <v>0</v>
      </c>
      <c r="AR194" s="1080">
        <f t="shared" si="134"/>
        <v>0</v>
      </c>
      <c r="AS194" s="310"/>
      <c r="AT194" s="310"/>
      <c r="AU194" s="310"/>
      <c r="AV194" s="310"/>
      <c r="AW194" s="310"/>
      <c r="AX194" s="310"/>
      <c r="AY194" s="310"/>
      <c r="AZ194" s="310"/>
      <c r="BA194" s="310"/>
      <c r="BB194" s="196"/>
      <c r="BC194" s="196"/>
      <c r="BD194" s="313"/>
      <c r="BE194" s="313"/>
      <c r="BF194" s="313"/>
      <c r="BG194" s="313"/>
      <c r="BH194" s="313"/>
      <c r="BI194" s="313"/>
      <c r="BJ194" s="313"/>
      <c r="BK194" s="313"/>
      <c r="BL194" s="313"/>
      <c r="BM194" s="313"/>
      <c r="BN194" s="313"/>
      <c r="BO194" s="313"/>
      <c r="BP194" s="313"/>
      <c r="BQ194" s="313"/>
      <c r="BR194" s="313"/>
      <c r="BS194" s="313"/>
      <c r="BT194" s="313"/>
      <c r="BU194" s="313"/>
      <c r="BV194" s="313"/>
      <c r="BW194" s="313"/>
      <c r="BX194" s="313"/>
      <c r="BY194" s="313"/>
      <c r="BZ194" s="313"/>
      <c r="CA194" s="313"/>
      <c r="CB194" s="313"/>
      <c r="CC194" s="313"/>
      <c r="CD194" s="313"/>
      <c r="CE194" s="313"/>
    </row>
    <row r="195" spans="1:83" s="101" customFormat="1" ht="12.75" customHeight="1" x14ac:dyDescent="0.2">
      <c r="A195" s="382" t="s">
        <v>973</v>
      </c>
      <c r="B195" s="106"/>
      <c r="C195" s="94">
        <v>0</v>
      </c>
      <c r="D195" s="386"/>
      <c r="E195" s="95"/>
      <c r="F195" s="389">
        <f t="shared" si="121"/>
        <v>0</v>
      </c>
      <c r="G195" s="1259"/>
      <c r="H195" s="844" t="str">
        <f t="shared" si="135"/>
        <v/>
      </c>
      <c r="I195" s="847" t="str">
        <f t="shared" si="136"/>
        <v/>
      </c>
      <c r="J195" s="751"/>
      <c r="K195" s="751"/>
      <c r="L195" s="489">
        <f t="shared" si="129"/>
        <v>0</v>
      </c>
      <c r="M195" s="489">
        <f t="shared" si="130"/>
        <v>0</v>
      </c>
      <c r="N195" s="357" t="str">
        <f t="shared" si="131"/>
        <v/>
      </c>
      <c r="O195" s="512"/>
      <c r="P195" s="506"/>
      <c r="Q195" s="507"/>
      <c r="R195" s="505"/>
      <c r="S195" s="502"/>
      <c r="T195" s="507"/>
      <c r="U195" s="505"/>
      <c r="V195" s="831">
        <f t="shared" si="141"/>
        <v>0</v>
      </c>
      <c r="W195" s="397">
        <f t="shared" si="123"/>
        <v>0</v>
      </c>
      <c r="X195" s="512"/>
      <c r="Y195" s="508"/>
      <c r="Z195" s="507"/>
      <c r="AA195" s="505"/>
      <c r="AB195" s="295"/>
      <c r="AC195" s="336"/>
      <c r="AD195" s="813"/>
      <c r="AE195" s="800"/>
      <c r="AF195" s="801"/>
      <c r="AG195" s="831">
        <f t="shared" si="138"/>
        <v>0</v>
      </c>
      <c r="AH195" s="813"/>
      <c r="AI195" s="800"/>
      <c r="AJ195" s="801"/>
      <c r="AK195" s="831">
        <f t="shared" si="139"/>
        <v>0</v>
      </c>
      <c r="AL195" s="813"/>
      <c r="AM195" s="800"/>
      <c r="AN195" s="801"/>
      <c r="AO195" s="831">
        <f t="shared" si="140"/>
        <v>0</v>
      </c>
      <c r="AP195" s="1079">
        <f t="shared" si="132"/>
        <v>0</v>
      </c>
      <c r="AQ195" s="1079">
        <f t="shared" si="133"/>
        <v>0</v>
      </c>
      <c r="AR195" s="1080">
        <f t="shared" si="134"/>
        <v>0</v>
      </c>
      <c r="AS195" s="310"/>
      <c r="AT195" s="310"/>
      <c r="AU195" s="310"/>
      <c r="AV195" s="310"/>
      <c r="AW195" s="310"/>
      <c r="AX195" s="310"/>
      <c r="AY195" s="310"/>
      <c r="AZ195" s="310"/>
      <c r="BA195" s="310"/>
      <c r="BB195" s="196"/>
      <c r="BC195" s="196"/>
      <c r="BD195" s="313"/>
      <c r="BE195" s="313"/>
      <c r="BF195" s="313"/>
      <c r="BG195" s="313"/>
      <c r="BH195" s="313"/>
      <c r="BI195" s="313"/>
      <c r="BJ195" s="313"/>
      <c r="BK195" s="313"/>
      <c r="BL195" s="313"/>
      <c r="BM195" s="313"/>
      <c r="BN195" s="313"/>
      <c r="BO195" s="313"/>
      <c r="BP195" s="313"/>
      <c r="BQ195" s="313"/>
      <c r="BR195" s="313"/>
      <c r="BS195" s="313"/>
      <c r="BT195" s="313"/>
      <c r="BU195" s="313"/>
      <c r="BV195" s="313"/>
      <c r="BW195" s="313"/>
      <c r="BX195" s="313"/>
      <c r="BY195" s="313"/>
      <c r="BZ195" s="313"/>
      <c r="CA195" s="313"/>
      <c r="CB195" s="313"/>
      <c r="CC195" s="313"/>
      <c r="CD195" s="313"/>
      <c r="CE195" s="313"/>
    </row>
    <row r="196" spans="1:83" s="101" customFormat="1" ht="12.75" customHeight="1" x14ac:dyDescent="0.2">
      <c r="A196" s="382" t="s">
        <v>974</v>
      </c>
      <c r="B196" s="106"/>
      <c r="C196" s="94">
        <v>0</v>
      </c>
      <c r="D196" s="386"/>
      <c r="E196" s="95"/>
      <c r="F196" s="389">
        <f t="shared" si="121"/>
        <v>0</v>
      </c>
      <c r="G196" s="1259"/>
      <c r="H196" s="844" t="str">
        <f t="shared" si="135"/>
        <v/>
      </c>
      <c r="I196" s="847" t="str">
        <f t="shared" si="136"/>
        <v/>
      </c>
      <c r="J196" s="751"/>
      <c r="K196" s="751"/>
      <c r="L196" s="489">
        <f t="shared" si="129"/>
        <v>0</v>
      </c>
      <c r="M196" s="489">
        <f t="shared" si="130"/>
        <v>0</v>
      </c>
      <c r="N196" s="357" t="str">
        <f t="shared" si="131"/>
        <v/>
      </c>
      <c r="O196" s="512"/>
      <c r="P196" s="506"/>
      <c r="Q196" s="507"/>
      <c r="R196" s="505"/>
      <c r="S196" s="502"/>
      <c r="T196" s="507"/>
      <c r="U196" s="505"/>
      <c r="V196" s="831">
        <f t="shared" si="141"/>
        <v>0</v>
      </c>
      <c r="W196" s="397">
        <f t="shared" si="123"/>
        <v>0</v>
      </c>
      <c r="X196" s="512"/>
      <c r="Y196" s="508"/>
      <c r="Z196" s="507"/>
      <c r="AA196" s="505"/>
      <c r="AB196" s="295"/>
      <c r="AC196" s="336"/>
      <c r="AD196" s="813"/>
      <c r="AE196" s="800"/>
      <c r="AF196" s="801"/>
      <c r="AG196" s="831">
        <f t="shared" si="138"/>
        <v>0</v>
      </c>
      <c r="AH196" s="813"/>
      <c r="AI196" s="800"/>
      <c r="AJ196" s="801"/>
      <c r="AK196" s="831">
        <f t="shared" si="139"/>
        <v>0</v>
      </c>
      <c r="AL196" s="813"/>
      <c r="AM196" s="800"/>
      <c r="AN196" s="801"/>
      <c r="AO196" s="831">
        <f t="shared" si="140"/>
        <v>0</v>
      </c>
      <c r="AP196" s="1079">
        <f t="shared" si="132"/>
        <v>0</v>
      </c>
      <c r="AQ196" s="1079">
        <f t="shared" si="133"/>
        <v>0</v>
      </c>
      <c r="AR196" s="1080">
        <f t="shared" si="134"/>
        <v>0</v>
      </c>
      <c r="AS196" s="310"/>
      <c r="AT196" s="310"/>
      <c r="AU196" s="310"/>
      <c r="AV196" s="310"/>
      <c r="AW196" s="310"/>
      <c r="AX196" s="310"/>
      <c r="AY196" s="310"/>
      <c r="AZ196" s="310"/>
      <c r="BA196" s="310"/>
      <c r="BB196" s="196"/>
      <c r="BC196" s="196"/>
      <c r="BD196" s="313"/>
      <c r="BE196" s="313"/>
      <c r="BF196" s="313"/>
      <c r="BG196" s="313"/>
      <c r="BH196" s="313"/>
      <c r="BI196" s="313"/>
      <c r="BJ196" s="313"/>
      <c r="BK196" s="313"/>
      <c r="BL196" s="313"/>
      <c r="BM196" s="313"/>
      <c r="BN196" s="313"/>
      <c r="BO196" s="313"/>
      <c r="BP196" s="313"/>
      <c r="BQ196" s="313"/>
      <c r="BR196" s="313"/>
      <c r="BS196" s="313"/>
      <c r="BT196" s="313"/>
      <c r="BU196" s="313"/>
      <c r="BV196" s="313"/>
      <c r="BW196" s="313"/>
      <c r="BX196" s="313"/>
      <c r="BY196" s="313"/>
      <c r="BZ196" s="313"/>
      <c r="CA196" s="313"/>
      <c r="CB196" s="313"/>
      <c r="CC196" s="313"/>
      <c r="CD196" s="313"/>
      <c r="CE196" s="313"/>
    </row>
    <row r="197" spans="1:83" s="101" customFormat="1" ht="12.75" customHeight="1" x14ac:dyDescent="0.2">
      <c r="A197" s="382" t="s">
        <v>975</v>
      </c>
      <c r="B197" s="106"/>
      <c r="C197" s="94">
        <v>0</v>
      </c>
      <c r="D197" s="386"/>
      <c r="E197" s="95"/>
      <c r="F197" s="389">
        <f t="shared" si="121"/>
        <v>0</v>
      </c>
      <c r="G197" s="1259"/>
      <c r="H197" s="844" t="str">
        <f t="shared" si="135"/>
        <v/>
      </c>
      <c r="I197" s="847" t="str">
        <f t="shared" si="136"/>
        <v/>
      </c>
      <c r="J197" s="751"/>
      <c r="K197" s="751"/>
      <c r="L197" s="489">
        <f t="shared" si="129"/>
        <v>0</v>
      </c>
      <c r="M197" s="489">
        <f t="shared" si="130"/>
        <v>0</v>
      </c>
      <c r="N197" s="357" t="str">
        <f t="shared" si="131"/>
        <v/>
      </c>
      <c r="O197" s="512"/>
      <c r="P197" s="506"/>
      <c r="Q197" s="507"/>
      <c r="R197" s="505"/>
      <c r="S197" s="502"/>
      <c r="T197" s="507"/>
      <c r="U197" s="505"/>
      <c r="V197" s="831">
        <f t="shared" ref="V197:V203" si="142">SUM(T197:U197)</f>
        <v>0</v>
      </c>
      <c r="W197" s="397">
        <f t="shared" ref="W197:W203" si="143">F197-V197</f>
        <v>0</v>
      </c>
      <c r="X197" s="512"/>
      <c r="Y197" s="508"/>
      <c r="Z197" s="507"/>
      <c r="AA197" s="505"/>
      <c r="AB197" s="295"/>
      <c r="AC197" s="336"/>
      <c r="AD197" s="813"/>
      <c r="AE197" s="800"/>
      <c r="AF197" s="801"/>
      <c r="AG197" s="831">
        <f t="shared" si="138"/>
        <v>0</v>
      </c>
      <c r="AH197" s="813"/>
      <c r="AI197" s="800"/>
      <c r="AJ197" s="801"/>
      <c r="AK197" s="831">
        <f t="shared" si="139"/>
        <v>0</v>
      </c>
      <c r="AL197" s="813"/>
      <c r="AM197" s="800"/>
      <c r="AN197" s="801"/>
      <c r="AO197" s="831">
        <f t="shared" si="140"/>
        <v>0</v>
      </c>
      <c r="AP197" s="1079">
        <f t="shared" si="132"/>
        <v>0</v>
      </c>
      <c r="AQ197" s="1079">
        <f t="shared" si="133"/>
        <v>0</v>
      </c>
      <c r="AR197" s="1080">
        <f t="shared" si="134"/>
        <v>0</v>
      </c>
      <c r="AS197" s="310"/>
      <c r="AT197" s="310"/>
      <c r="AU197" s="310"/>
      <c r="AV197" s="310"/>
      <c r="AW197" s="310"/>
      <c r="AX197" s="310"/>
      <c r="AY197" s="310"/>
      <c r="AZ197" s="310"/>
      <c r="BA197" s="310"/>
      <c r="BB197" s="196"/>
      <c r="BC197" s="196"/>
      <c r="BD197" s="313"/>
      <c r="BE197" s="313"/>
      <c r="BF197" s="313"/>
      <c r="BG197" s="313"/>
      <c r="BH197" s="313"/>
      <c r="BI197" s="313"/>
      <c r="BJ197" s="313"/>
      <c r="BK197" s="313"/>
      <c r="BL197" s="313"/>
      <c r="BM197" s="313"/>
      <c r="BN197" s="313"/>
      <c r="BO197" s="313"/>
      <c r="BP197" s="313"/>
      <c r="BQ197" s="313"/>
      <c r="BR197" s="313"/>
      <c r="BS197" s="313"/>
      <c r="BT197" s="313"/>
      <c r="BU197" s="313"/>
      <c r="BV197" s="313"/>
      <c r="BW197" s="313"/>
      <c r="BX197" s="313"/>
      <c r="BY197" s="313"/>
      <c r="BZ197" s="313"/>
      <c r="CA197" s="313"/>
      <c r="CB197" s="313"/>
      <c r="CC197" s="313"/>
      <c r="CD197" s="313"/>
      <c r="CE197" s="313"/>
    </row>
    <row r="198" spans="1:83" s="101" customFormat="1" ht="12.75" customHeight="1" x14ac:dyDescent="0.2">
      <c r="A198" s="382" t="s">
        <v>976</v>
      </c>
      <c r="B198" s="106"/>
      <c r="C198" s="94">
        <v>0</v>
      </c>
      <c r="D198" s="386"/>
      <c r="E198" s="95"/>
      <c r="F198" s="389">
        <f t="shared" si="121"/>
        <v>0</v>
      </c>
      <c r="G198" s="1259"/>
      <c r="H198" s="844" t="str">
        <f t="shared" si="135"/>
        <v/>
      </c>
      <c r="I198" s="847" t="str">
        <f t="shared" si="136"/>
        <v/>
      </c>
      <c r="J198" s="751"/>
      <c r="K198" s="751"/>
      <c r="L198" s="489">
        <f t="shared" si="129"/>
        <v>0</v>
      </c>
      <c r="M198" s="489">
        <f t="shared" si="130"/>
        <v>0</v>
      </c>
      <c r="N198" s="357" t="str">
        <f t="shared" si="131"/>
        <v/>
      </c>
      <c r="O198" s="512"/>
      <c r="P198" s="506"/>
      <c r="Q198" s="507"/>
      <c r="R198" s="505"/>
      <c r="S198" s="502"/>
      <c r="T198" s="507"/>
      <c r="U198" s="505"/>
      <c r="V198" s="831">
        <f t="shared" si="142"/>
        <v>0</v>
      </c>
      <c r="W198" s="397">
        <f t="shared" si="143"/>
        <v>0</v>
      </c>
      <c r="X198" s="512"/>
      <c r="Y198" s="508"/>
      <c r="Z198" s="507"/>
      <c r="AA198" s="505"/>
      <c r="AB198" s="295"/>
      <c r="AC198" s="336"/>
      <c r="AD198" s="813"/>
      <c r="AE198" s="800"/>
      <c r="AF198" s="801"/>
      <c r="AG198" s="831">
        <f t="shared" si="138"/>
        <v>0</v>
      </c>
      <c r="AH198" s="813"/>
      <c r="AI198" s="800"/>
      <c r="AJ198" s="801"/>
      <c r="AK198" s="831">
        <f t="shared" si="139"/>
        <v>0</v>
      </c>
      <c r="AL198" s="813"/>
      <c r="AM198" s="800"/>
      <c r="AN198" s="801"/>
      <c r="AO198" s="831">
        <f t="shared" si="140"/>
        <v>0</v>
      </c>
      <c r="AP198" s="1079">
        <f t="shared" si="132"/>
        <v>0</v>
      </c>
      <c r="AQ198" s="1079">
        <f t="shared" si="133"/>
        <v>0</v>
      </c>
      <c r="AR198" s="1080">
        <f t="shared" si="134"/>
        <v>0</v>
      </c>
      <c r="AS198" s="310"/>
      <c r="AT198" s="310"/>
      <c r="AU198" s="310"/>
      <c r="AV198" s="310"/>
      <c r="AW198" s="310"/>
      <c r="AX198" s="310"/>
      <c r="AY198" s="310"/>
      <c r="AZ198" s="310"/>
      <c r="BA198" s="310"/>
      <c r="BB198" s="196"/>
      <c r="BC198" s="196"/>
      <c r="BD198" s="313"/>
      <c r="BE198" s="313"/>
      <c r="BF198" s="313"/>
      <c r="BG198" s="313"/>
      <c r="BH198" s="313"/>
      <c r="BI198" s="313"/>
      <c r="BJ198" s="313"/>
      <c r="BK198" s="313"/>
      <c r="BL198" s="313"/>
      <c r="BM198" s="313"/>
      <c r="BN198" s="313"/>
      <c r="BO198" s="313"/>
      <c r="BP198" s="313"/>
      <c r="BQ198" s="313"/>
      <c r="BR198" s="313"/>
      <c r="BS198" s="313"/>
      <c r="BT198" s="313"/>
      <c r="BU198" s="313"/>
      <c r="BV198" s="313"/>
      <c r="BW198" s="313"/>
      <c r="BX198" s="313"/>
      <c r="BY198" s="313"/>
      <c r="BZ198" s="313"/>
      <c r="CA198" s="313"/>
      <c r="CB198" s="313"/>
      <c r="CC198" s="313"/>
      <c r="CD198" s="313"/>
      <c r="CE198" s="313"/>
    </row>
    <row r="199" spans="1:83" s="101" customFormat="1" ht="12.75" customHeight="1" x14ac:dyDescent="0.2">
      <c r="A199" s="382" t="s">
        <v>977</v>
      </c>
      <c r="B199" s="106"/>
      <c r="C199" s="94">
        <v>0</v>
      </c>
      <c r="D199" s="386"/>
      <c r="E199" s="95"/>
      <c r="F199" s="389">
        <f t="shared" si="121"/>
        <v>0</v>
      </c>
      <c r="G199" s="1259"/>
      <c r="H199" s="844" t="str">
        <f t="shared" si="135"/>
        <v/>
      </c>
      <c r="I199" s="847" t="str">
        <f t="shared" si="136"/>
        <v/>
      </c>
      <c r="J199" s="751"/>
      <c r="K199" s="751"/>
      <c r="L199" s="489">
        <f t="shared" si="129"/>
        <v>0</v>
      </c>
      <c r="M199" s="489">
        <f t="shared" si="130"/>
        <v>0</v>
      </c>
      <c r="N199" s="357" t="str">
        <f t="shared" si="131"/>
        <v/>
      </c>
      <c r="O199" s="512"/>
      <c r="P199" s="506"/>
      <c r="Q199" s="507"/>
      <c r="R199" s="505"/>
      <c r="S199" s="502"/>
      <c r="T199" s="507"/>
      <c r="U199" s="505"/>
      <c r="V199" s="831">
        <f t="shared" si="142"/>
        <v>0</v>
      </c>
      <c r="W199" s="397">
        <f t="shared" si="143"/>
        <v>0</v>
      </c>
      <c r="X199" s="512"/>
      <c r="Y199" s="508"/>
      <c r="Z199" s="507"/>
      <c r="AA199" s="505"/>
      <c r="AB199" s="295"/>
      <c r="AC199" s="336"/>
      <c r="AD199" s="813"/>
      <c r="AE199" s="800"/>
      <c r="AF199" s="801"/>
      <c r="AG199" s="831">
        <f t="shared" si="138"/>
        <v>0</v>
      </c>
      <c r="AH199" s="813"/>
      <c r="AI199" s="800"/>
      <c r="AJ199" s="801"/>
      <c r="AK199" s="831">
        <f t="shared" si="139"/>
        <v>0</v>
      </c>
      <c r="AL199" s="813"/>
      <c r="AM199" s="800"/>
      <c r="AN199" s="801"/>
      <c r="AO199" s="831">
        <f t="shared" si="140"/>
        <v>0</v>
      </c>
      <c r="AP199" s="1079">
        <f t="shared" si="132"/>
        <v>0</v>
      </c>
      <c r="AQ199" s="1079">
        <f t="shared" si="133"/>
        <v>0</v>
      </c>
      <c r="AR199" s="1080">
        <f t="shared" si="134"/>
        <v>0</v>
      </c>
      <c r="AS199" s="310"/>
      <c r="AT199" s="310"/>
      <c r="AU199" s="310"/>
      <c r="AV199" s="310"/>
      <c r="AW199" s="310"/>
      <c r="AX199" s="310"/>
      <c r="AY199" s="310"/>
      <c r="AZ199" s="310"/>
      <c r="BA199" s="310"/>
      <c r="BB199" s="196"/>
      <c r="BC199" s="196"/>
      <c r="BD199" s="313"/>
      <c r="BE199" s="313"/>
      <c r="BF199" s="313"/>
      <c r="BG199" s="313"/>
      <c r="BH199" s="313"/>
      <c r="BI199" s="313"/>
      <c r="BJ199" s="313"/>
      <c r="BK199" s="313"/>
      <c r="BL199" s="313"/>
      <c r="BM199" s="313"/>
      <c r="BN199" s="313"/>
      <c r="BO199" s="313"/>
      <c r="BP199" s="313"/>
      <c r="BQ199" s="313"/>
      <c r="BR199" s="313"/>
      <c r="BS199" s="313"/>
      <c r="BT199" s="313"/>
      <c r="BU199" s="313"/>
      <c r="BV199" s="313"/>
      <c r="BW199" s="313"/>
      <c r="BX199" s="313"/>
      <c r="BY199" s="313"/>
      <c r="BZ199" s="313"/>
      <c r="CA199" s="313"/>
      <c r="CB199" s="313"/>
      <c r="CC199" s="313"/>
      <c r="CD199" s="313"/>
      <c r="CE199" s="313"/>
    </row>
    <row r="200" spans="1:83" s="101" customFormat="1" ht="12.75" customHeight="1" x14ac:dyDescent="0.2">
      <c r="A200" s="382" t="s">
        <v>978</v>
      </c>
      <c r="B200" s="106"/>
      <c r="C200" s="94">
        <v>0</v>
      </c>
      <c r="D200" s="386"/>
      <c r="E200" s="95"/>
      <c r="F200" s="389">
        <f t="shared" si="121"/>
        <v>0</v>
      </c>
      <c r="G200" s="1259"/>
      <c r="H200" s="844" t="str">
        <f t="shared" si="135"/>
        <v/>
      </c>
      <c r="I200" s="847" t="str">
        <f t="shared" si="136"/>
        <v/>
      </c>
      <c r="J200" s="751"/>
      <c r="K200" s="751"/>
      <c r="L200" s="489">
        <f t="shared" si="129"/>
        <v>0</v>
      </c>
      <c r="M200" s="489">
        <f t="shared" si="130"/>
        <v>0</v>
      </c>
      <c r="N200" s="357" t="str">
        <f t="shared" si="131"/>
        <v/>
      </c>
      <c r="O200" s="512"/>
      <c r="P200" s="506"/>
      <c r="Q200" s="507"/>
      <c r="R200" s="505"/>
      <c r="S200" s="502"/>
      <c r="T200" s="507"/>
      <c r="U200" s="505"/>
      <c r="V200" s="831">
        <f t="shared" si="142"/>
        <v>0</v>
      </c>
      <c r="W200" s="397">
        <f t="shared" si="143"/>
        <v>0</v>
      </c>
      <c r="X200" s="512"/>
      <c r="Y200" s="508"/>
      <c r="Z200" s="507"/>
      <c r="AA200" s="505"/>
      <c r="AB200" s="295"/>
      <c r="AC200" s="336"/>
      <c r="AD200" s="813"/>
      <c r="AE200" s="800"/>
      <c r="AF200" s="801"/>
      <c r="AG200" s="831">
        <f t="shared" si="138"/>
        <v>0</v>
      </c>
      <c r="AH200" s="813"/>
      <c r="AI200" s="800"/>
      <c r="AJ200" s="801"/>
      <c r="AK200" s="831">
        <f t="shared" si="139"/>
        <v>0</v>
      </c>
      <c r="AL200" s="813"/>
      <c r="AM200" s="800"/>
      <c r="AN200" s="801"/>
      <c r="AO200" s="831">
        <f t="shared" si="140"/>
        <v>0</v>
      </c>
      <c r="AP200" s="1079">
        <f t="shared" si="132"/>
        <v>0</v>
      </c>
      <c r="AQ200" s="1079">
        <f t="shared" si="133"/>
        <v>0</v>
      </c>
      <c r="AR200" s="1080">
        <f t="shared" si="134"/>
        <v>0</v>
      </c>
      <c r="AS200" s="310"/>
      <c r="AT200" s="310"/>
      <c r="AU200" s="310"/>
      <c r="AV200" s="310"/>
      <c r="AW200" s="310"/>
      <c r="AX200" s="310"/>
      <c r="AY200" s="310"/>
      <c r="AZ200" s="310"/>
      <c r="BA200" s="310"/>
      <c r="BB200" s="196"/>
      <c r="BC200" s="196"/>
      <c r="BD200" s="313"/>
      <c r="BE200" s="313"/>
      <c r="BF200" s="313"/>
      <c r="BG200" s="313"/>
      <c r="BH200" s="313"/>
      <c r="BI200" s="313"/>
      <c r="BJ200" s="313"/>
      <c r="BK200" s="313"/>
      <c r="BL200" s="313"/>
      <c r="BM200" s="313"/>
      <c r="BN200" s="313"/>
      <c r="BO200" s="313"/>
      <c r="BP200" s="313"/>
      <c r="BQ200" s="313"/>
      <c r="BR200" s="313"/>
      <c r="BS200" s="313"/>
      <c r="BT200" s="313"/>
      <c r="BU200" s="313"/>
      <c r="BV200" s="313"/>
      <c r="BW200" s="313"/>
      <c r="BX200" s="313"/>
      <c r="BY200" s="313"/>
      <c r="BZ200" s="313"/>
      <c r="CA200" s="313"/>
      <c r="CB200" s="313"/>
      <c r="CC200" s="313"/>
      <c r="CD200" s="313"/>
      <c r="CE200" s="313"/>
    </row>
    <row r="201" spans="1:83" s="101" customFormat="1" ht="12.75" customHeight="1" x14ac:dyDescent="0.2">
      <c r="A201" s="382" t="s">
        <v>979</v>
      </c>
      <c r="B201" s="106"/>
      <c r="C201" s="94">
        <v>0</v>
      </c>
      <c r="D201" s="386"/>
      <c r="E201" s="95"/>
      <c r="F201" s="389">
        <f t="shared" si="121"/>
        <v>0</v>
      </c>
      <c r="G201" s="1259"/>
      <c r="H201" s="844" t="str">
        <f t="shared" si="135"/>
        <v/>
      </c>
      <c r="I201" s="847" t="str">
        <f t="shared" si="136"/>
        <v/>
      </c>
      <c r="J201" s="751"/>
      <c r="K201" s="751"/>
      <c r="L201" s="489">
        <f t="shared" si="129"/>
        <v>0</v>
      </c>
      <c r="M201" s="489">
        <f t="shared" si="130"/>
        <v>0</v>
      </c>
      <c r="N201" s="357" t="str">
        <f t="shared" si="131"/>
        <v/>
      </c>
      <c r="O201" s="512"/>
      <c r="P201" s="506"/>
      <c r="Q201" s="507"/>
      <c r="R201" s="505"/>
      <c r="S201" s="502"/>
      <c r="T201" s="507"/>
      <c r="U201" s="505"/>
      <c r="V201" s="831">
        <f t="shared" si="142"/>
        <v>0</v>
      </c>
      <c r="W201" s="397">
        <f t="shared" si="143"/>
        <v>0</v>
      </c>
      <c r="X201" s="512"/>
      <c r="Y201" s="508"/>
      <c r="Z201" s="507"/>
      <c r="AA201" s="505"/>
      <c r="AB201" s="295"/>
      <c r="AC201" s="336"/>
      <c r="AD201" s="813"/>
      <c r="AE201" s="800"/>
      <c r="AF201" s="801"/>
      <c r="AG201" s="831">
        <f t="shared" si="138"/>
        <v>0</v>
      </c>
      <c r="AH201" s="813"/>
      <c r="AI201" s="800"/>
      <c r="AJ201" s="801"/>
      <c r="AK201" s="831">
        <f t="shared" si="139"/>
        <v>0</v>
      </c>
      <c r="AL201" s="813"/>
      <c r="AM201" s="800"/>
      <c r="AN201" s="801"/>
      <c r="AO201" s="831">
        <f t="shared" si="140"/>
        <v>0</v>
      </c>
      <c r="AP201" s="1079">
        <f t="shared" si="132"/>
        <v>0</v>
      </c>
      <c r="AQ201" s="1079">
        <f t="shared" si="133"/>
        <v>0</v>
      </c>
      <c r="AR201" s="1080">
        <f t="shared" si="134"/>
        <v>0</v>
      </c>
      <c r="AS201" s="310"/>
      <c r="AT201" s="310"/>
      <c r="AU201" s="310"/>
      <c r="AV201" s="310"/>
      <c r="AW201" s="310"/>
      <c r="AX201" s="310"/>
      <c r="AY201" s="310"/>
      <c r="AZ201" s="310"/>
      <c r="BA201" s="310"/>
      <c r="BB201" s="196"/>
      <c r="BC201" s="196"/>
      <c r="BD201" s="313"/>
      <c r="BE201" s="313"/>
      <c r="BF201" s="313"/>
      <c r="BG201" s="313"/>
      <c r="BH201" s="313"/>
      <c r="BI201" s="313"/>
      <c r="BJ201" s="313"/>
      <c r="BK201" s="313"/>
      <c r="BL201" s="313"/>
      <c r="BM201" s="313"/>
      <c r="BN201" s="313"/>
      <c r="BO201" s="313"/>
      <c r="BP201" s="313"/>
      <c r="BQ201" s="313"/>
      <c r="BR201" s="313"/>
      <c r="BS201" s="313"/>
      <c r="BT201" s="313"/>
      <c r="BU201" s="313"/>
      <c r="BV201" s="313"/>
      <c r="BW201" s="313"/>
      <c r="BX201" s="313"/>
      <c r="BY201" s="313"/>
      <c r="BZ201" s="313"/>
      <c r="CA201" s="313"/>
      <c r="CB201" s="313"/>
      <c r="CC201" s="313"/>
      <c r="CD201" s="313"/>
      <c r="CE201" s="313"/>
    </row>
    <row r="202" spans="1:83" s="101" customFormat="1" ht="12.75" customHeight="1" outlineLevel="1" x14ac:dyDescent="0.2">
      <c r="A202" s="382" t="s">
        <v>980</v>
      </c>
      <c r="B202" s="106"/>
      <c r="C202" s="94">
        <v>0</v>
      </c>
      <c r="D202" s="386"/>
      <c r="E202" s="95"/>
      <c r="F202" s="389">
        <f t="shared" si="121"/>
        <v>0</v>
      </c>
      <c r="G202" s="1259"/>
      <c r="H202" s="844" t="str">
        <f t="shared" si="135"/>
        <v/>
      </c>
      <c r="I202" s="847" t="str">
        <f t="shared" si="136"/>
        <v/>
      </c>
      <c r="J202" s="751"/>
      <c r="K202" s="751"/>
      <c r="L202" s="489">
        <f t="shared" si="129"/>
        <v>0</v>
      </c>
      <c r="M202" s="489">
        <f t="shared" si="130"/>
        <v>0</v>
      </c>
      <c r="N202" s="357" t="str">
        <f t="shared" si="131"/>
        <v/>
      </c>
      <c r="O202" s="512"/>
      <c r="P202" s="506"/>
      <c r="Q202" s="507"/>
      <c r="R202" s="505"/>
      <c r="S202" s="502"/>
      <c r="T202" s="507"/>
      <c r="U202" s="505"/>
      <c r="V202" s="831">
        <f t="shared" si="142"/>
        <v>0</v>
      </c>
      <c r="W202" s="397">
        <f t="shared" si="143"/>
        <v>0</v>
      </c>
      <c r="X202" s="512"/>
      <c r="Y202" s="508"/>
      <c r="Z202" s="507"/>
      <c r="AA202" s="505"/>
      <c r="AB202" s="295"/>
      <c r="AC202" s="336"/>
      <c r="AD202" s="813"/>
      <c r="AE202" s="800"/>
      <c r="AF202" s="801"/>
      <c r="AG202" s="831">
        <f t="shared" si="138"/>
        <v>0</v>
      </c>
      <c r="AH202" s="813"/>
      <c r="AI202" s="800"/>
      <c r="AJ202" s="801"/>
      <c r="AK202" s="831">
        <f t="shared" si="139"/>
        <v>0</v>
      </c>
      <c r="AL202" s="813"/>
      <c r="AM202" s="800"/>
      <c r="AN202" s="801"/>
      <c r="AO202" s="831">
        <f t="shared" si="140"/>
        <v>0</v>
      </c>
      <c r="AP202" s="1079">
        <f t="shared" si="132"/>
        <v>0</v>
      </c>
      <c r="AQ202" s="1079">
        <f t="shared" si="133"/>
        <v>0</v>
      </c>
      <c r="AR202" s="1080">
        <f t="shared" si="134"/>
        <v>0</v>
      </c>
      <c r="AS202" s="310"/>
      <c r="AT202" s="310"/>
      <c r="AU202" s="310"/>
      <c r="AV202" s="310"/>
      <c r="AW202" s="310"/>
      <c r="AX202" s="310"/>
      <c r="AY202" s="310"/>
      <c r="AZ202" s="310"/>
      <c r="BA202" s="310"/>
      <c r="BB202" s="196"/>
      <c r="BC202" s="196"/>
      <c r="BD202" s="313"/>
      <c r="BE202" s="313"/>
      <c r="BF202" s="313"/>
      <c r="BG202" s="313"/>
      <c r="BH202" s="313"/>
      <c r="BI202" s="313"/>
      <c r="BJ202" s="313"/>
      <c r="BK202" s="313"/>
      <c r="BL202" s="313"/>
      <c r="BM202" s="313"/>
      <c r="BN202" s="313"/>
      <c r="BO202" s="313"/>
      <c r="BP202" s="313"/>
      <c r="BQ202" s="313"/>
      <c r="BR202" s="313"/>
      <c r="BS202" s="313"/>
      <c r="BT202" s="313"/>
      <c r="BU202" s="313"/>
      <c r="BV202" s="313"/>
      <c r="BW202" s="313"/>
      <c r="BX202" s="313"/>
      <c r="BY202" s="313"/>
      <c r="BZ202" s="313"/>
      <c r="CA202" s="313"/>
      <c r="CB202" s="313"/>
      <c r="CC202" s="313"/>
      <c r="CD202" s="313"/>
      <c r="CE202" s="313"/>
    </row>
    <row r="203" spans="1:83" s="101" customFormat="1" ht="12.75" customHeight="1" outlineLevel="1" x14ac:dyDescent="0.2">
      <c r="A203" s="382" t="s">
        <v>981</v>
      </c>
      <c r="B203" s="106"/>
      <c r="C203" s="94">
        <v>0</v>
      </c>
      <c r="D203" s="386"/>
      <c r="E203" s="95"/>
      <c r="F203" s="389">
        <f t="shared" ref="F203:F234" si="144">C203*E203</f>
        <v>0</v>
      </c>
      <c r="G203" s="1259"/>
      <c r="H203" s="844" t="str">
        <f t="shared" si="135"/>
        <v/>
      </c>
      <c r="I203" s="847" t="str">
        <f t="shared" si="136"/>
        <v/>
      </c>
      <c r="J203" s="751"/>
      <c r="K203" s="751"/>
      <c r="L203" s="489">
        <f t="shared" si="129"/>
        <v>0</v>
      </c>
      <c r="M203" s="489">
        <f t="shared" si="130"/>
        <v>0</v>
      </c>
      <c r="N203" s="357" t="str">
        <f t="shared" si="131"/>
        <v/>
      </c>
      <c r="O203" s="512"/>
      <c r="P203" s="506"/>
      <c r="Q203" s="507"/>
      <c r="R203" s="505"/>
      <c r="S203" s="502"/>
      <c r="T203" s="507"/>
      <c r="U203" s="505"/>
      <c r="V203" s="831">
        <f t="shared" si="142"/>
        <v>0</v>
      </c>
      <c r="W203" s="397">
        <f t="shared" si="143"/>
        <v>0</v>
      </c>
      <c r="X203" s="512"/>
      <c r="Y203" s="508"/>
      <c r="Z203" s="507"/>
      <c r="AA203" s="505"/>
      <c r="AB203" s="295"/>
      <c r="AC203" s="336"/>
      <c r="AD203" s="813"/>
      <c r="AE203" s="800"/>
      <c r="AF203" s="801"/>
      <c r="AG203" s="831">
        <f t="shared" si="138"/>
        <v>0</v>
      </c>
      <c r="AH203" s="813"/>
      <c r="AI203" s="800"/>
      <c r="AJ203" s="801"/>
      <c r="AK203" s="831">
        <f t="shared" si="139"/>
        <v>0</v>
      </c>
      <c r="AL203" s="813"/>
      <c r="AM203" s="800"/>
      <c r="AN203" s="801"/>
      <c r="AO203" s="831">
        <f t="shared" si="140"/>
        <v>0</v>
      </c>
      <c r="AP203" s="1079">
        <f t="shared" si="132"/>
        <v>0</v>
      </c>
      <c r="AQ203" s="1079">
        <f t="shared" si="133"/>
        <v>0</v>
      </c>
      <c r="AR203" s="1080">
        <f t="shared" si="134"/>
        <v>0</v>
      </c>
      <c r="AS203" s="310"/>
      <c r="AT203" s="310"/>
      <c r="AU203" s="310"/>
      <c r="AV203" s="310"/>
      <c r="AW203" s="310"/>
      <c r="AX203" s="310"/>
      <c r="AY203" s="310"/>
      <c r="AZ203" s="310"/>
      <c r="BA203" s="310"/>
      <c r="BB203" s="196"/>
      <c r="BC203" s="196"/>
      <c r="BD203" s="313"/>
      <c r="BE203" s="313"/>
      <c r="BF203" s="313"/>
      <c r="BG203" s="313"/>
      <c r="BH203" s="313"/>
      <c r="BI203" s="313"/>
      <c r="BJ203" s="313"/>
      <c r="BK203" s="313"/>
      <c r="BL203" s="313"/>
      <c r="BM203" s="313"/>
      <c r="BN203" s="313"/>
      <c r="BO203" s="313"/>
      <c r="BP203" s="313"/>
      <c r="BQ203" s="313"/>
      <c r="BR203" s="313"/>
      <c r="BS203" s="313"/>
      <c r="BT203" s="313"/>
      <c r="BU203" s="313"/>
      <c r="BV203" s="313"/>
      <c r="BW203" s="313"/>
      <c r="BX203" s="313"/>
      <c r="BY203" s="313"/>
      <c r="BZ203" s="313"/>
      <c r="CA203" s="313"/>
      <c r="CB203" s="313"/>
      <c r="CC203" s="313"/>
      <c r="CD203" s="313"/>
      <c r="CE203" s="313"/>
    </row>
    <row r="204" spans="1:83" s="101" customFormat="1" ht="12.75" customHeight="1" outlineLevel="1" x14ac:dyDescent="0.2">
      <c r="A204" s="382" t="s">
        <v>982</v>
      </c>
      <c r="B204" s="106"/>
      <c r="C204" s="94">
        <v>0</v>
      </c>
      <c r="D204" s="386"/>
      <c r="E204" s="95"/>
      <c r="F204" s="389">
        <f t="shared" si="144"/>
        <v>0</v>
      </c>
      <c r="G204" s="1259"/>
      <c r="H204" s="844" t="str">
        <f t="shared" si="135"/>
        <v/>
      </c>
      <c r="I204" s="847" t="str">
        <f t="shared" si="136"/>
        <v/>
      </c>
      <c r="J204" s="751"/>
      <c r="K204" s="751"/>
      <c r="L204" s="489">
        <f t="shared" si="129"/>
        <v>0</v>
      </c>
      <c r="M204" s="489">
        <f t="shared" si="130"/>
        <v>0</v>
      </c>
      <c r="N204" s="357" t="str">
        <f t="shared" si="131"/>
        <v/>
      </c>
      <c r="O204" s="512"/>
      <c r="P204" s="506"/>
      <c r="Q204" s="507"/>
      <c r="R204" s="505"/>
      <c r="S204" s="502"/>
      <c r="T204" s="507"/>
      <c r="U204" s="505"/>
      <c r="V204" s="831">
        <f t="shared" ref="V204:V241" si="145">SUM(T204:U204)</f>
        <v>0</v>
      </c>
      <c r="W204" s="397">
        <f t="shared" ref="W204:W241" si="146">F204-V204</f>
        <v>0</v>
      </c>
      <c r="X204" s="512"/>
      <c r="Y204" s="508"/>
      <c r="Z204" s="507"/>
      <c r="AA204" s="505"/>
      <c r="AB204" s="295"/>
      <c r="AC204" s="336"/>
      <c r="AD204" s="813"/>
      <c r="AE204" s="800"/>
      <c r="AF204" s="801"/>
      <c r="AG204" s="831">
        <f t="shared" si="138"/>
        <v>0</v>
      </c>
      <c r="AH204" s="813"/>
      <c r="AI204" s="800"/>
      <c r="AJ204" s="801"/>
      <c r="AK204" s="831">
        <f t="shared" si="139"/>
        <v>0</v>
      </c>
      <c r="AL204" s="813"/>
      <c r="AM204" s="800"/>
      <c r="AN204" s="801"/>
      <c r="AO204" s="831">
        <f t="shared" si="140"/>
        <v>0</v>
      </c>
      <c r="AP204" s="1079">
        <f t="shared" si="132"/>
        <v>0</v>
      </c>
      <c r="AQ204" s="1079">
        <f t="shared" si="133"/>
        <v>0</v>
      </c>
      <c r="AR204" s="1080">
        <f t="shared" si="134"/>
        <v>0</v>
      </c>
      <c r="AS204" s="310"/>
      <c r="AT204" s="310"/>
      <c r="AU204" s="310"/>
      <c r="AV204" s="310"/>
      <c r="AW204" s="310"/>
      <c r="AX204" s="310"/>
      <c r="AY204" s="310"/>
      <c r="AZ204" s="310"/>
      <c r="BA204" s="310"/>
      <c r="BB204" s="196"/>
      <c r="BC204" s="196"/>
      <c r="BD204" s="313"/>
      <c r="BE204" s="313"/>
      <c r="BF204" s="313"/>
      <c r="BG204" s="313"/>
      <c r="BH204" s="313"/>
      <c r="BI204" s="313"/>
      <c r="BJ204" s="313"/>
      <c r="BK204" s="313"/>
      <c r="BL204" s="313"/>
      <c r="BM204" s="313"/>
      <c r="BN204" s="313"/>
      <c r="BO204" s="313"/>
      <c r="BP204" s="313"/>
      <c r="BQ204" s="313"/>
      <c r="BR204" s="313"/>
      <c r="BS204" s="313"/>
      <c r="BT204" s="313"/>
      <c r="BU204" s="313"/>
      <c r="BV204" s="313"/>
      <c r="BW204" s="313"/>
      <c r="BX204" s="313"/>
      <c r="BY204" s="313"/>
      <c r="BZ204" s="313"/>
      <c r="CA204" s="313"/>
      <c r="CB204" s="313"/>
      <c r="CC204" s="313"/>
      <c r="CD204" s="313"/>
      <c r="CE204" s="313"/>
    </row>
    <row r="205" spans="1:83" s="101" customFormat="1" ht="12.75" customHeight="1" outlineLevel="1" x14ac:dyDescent="0.2">
      <c r="A205" s="382" t="s">
        <v>983</v>
      </c>
      <c r="B205" s="106"/>
      <c r="C205" s="94">
        <v>0</v>
      </c>
      <c r="D205" s="386"/>
      <c r="E205" s="95"/>
      <c r="F205" s="389">
        <f t="shared" si="144"/>
        <v>0</v>
      </c>
      <c r="G205" s="1259"/>
      <c r="H205" s="844" t="str">
        <f t="shared" ref="H205:H236" si="147">IF(E205&gt;G205*1.1,C205*(E205-G205*1.1),"")</f>
        <v/>
      </c>
      <c r="I205" s="847" t="str">
        <f t="shared" ref="I205:I241" si="148">IF(AND(E205&gt;0,G205=0),"!!",IF(E205=0,"",E205/G205-1))</f>
        <v/>
      </c>
      <c r="J205" s="751"/>
      <c r="K205" s="751"/>
      <c r="L205" s="489">
        <f t="shared" si="129"/>
        <v>0</v>
      </c>
      <c r="M205" s="489">
        <f t="shared" si="130"/>
        <v>0</v>
      </c>
      <c r="N205" s="357" t="str">
        <f t="shared" si="131"/>
        <v/>
      </c>
      <c r="O205" s="512"/>
      <c r="P205" s="506"/>
      <c r="Q205" s="507"/>
      <c r="R205" s="505"/>
      <c r="S205" s="502"/>
      <c r="T205" s="507"/>
      <c r="U205" s="505"/>
      <c r="V205" s="831">
        <f t="shared" si="145"/>
        <v>0</v>
      </c>
      <c r="W205" s="397">
        <f t="shared" si="146"/>
        <v>0</v>
      </c>
      <c r="X205" s="512"/>
      <c r="Y205" s="508"/>
      <c r="Z205" s="507"/>
      <c r="AA205" s="505"/>
      <c r="AB205" s="295"/>
      <c r="AC205" s="336"/>
      <c r="AD205" s="813"/>
      <c r="AE205" s="800"/>
      <c r="AF205" s="801"/>
      <c r="AG205" s="831">
        <f t="shared" si="138"/>
        <v>0</v>
      </c>
      <c r="AH205" s="813"/>
      <c r="AI205" s="800"/>
      <c r="AJ205" s="801"/>
      <c r="AK205" s="831">
        <f t="shared" si="139"/>
        <v>0</v>
      </c>
      <c r="AL205" s="813"/>
      <c r="AM205" s="800"/>
      <c r="AN205" s="801"/>
      <c r="AO205" s="831">
        <f t="shared" si="140"/>
        <v>0</v>
      </c>
      <c r="AP205" s="1079">
        <f t="shared" si="132"/>
        <v>0</v>
      </c>
      <c r="AQ205" s="1079">
        <f t="shared" si="133"/>
        <v>0</v>
      </c>
      <c r="AR205" s="1080">
        <f t="shared" si="134"/>
        <v>0</v>
      </c>
      <c r="AS205" s="310"/>
      <c r="AT205" s="310"/>
      <c r="AU205" s="310"/>
      <c r="AV205" s="310"/>
      <c r="AW205" s="310"/>
      <c r="AX205" s="310"/>
      <c r="AY205" s="310"/>
      <c r="AZ205" s="310"/>
      <c r="BA205" s="310"/>
      <c r="BB205" s="196"/>
      <c r="BC205" s="196"/>
      <c r="BD205" s="313"/>
      <c r="BE205" s="313"/>
      <c r="BF205" s="313"/>
      <c r="BG205" s="313"/>
      <c r="BH205" s="313"/>
      <c r="BI205" s="313"/>
      <c r="BJ205" s="313"/>
      <c r="BK205" s="313"/>
      <c r="BL205" s="313"/>
      <c r="BM205" s="313"/>
      <c r="BN205" s="313"/>
      <c r="BO205" s="313"/>
      <c r="BP205" s="313"/>
      <c r="BQ205" s="313"/>
      <c r="BR205" s="313"/>
      <c r="BS205" s="313"/>
      <c r="BT205" s="313"/>
      <c r="BU205" s="313"/>
      <c r="BV205" s="313"/>
      <c r="BW205" s="313"/>
      <c r="BX205" s="313"/>
      <c r="BY205" s="313"/>
      <c r="BZ205" s="313"/>
      <c r="CA205" s="313"/>
      <c r="CB205" s="313"/>
      <c r="CC205" s="313"/>
      <c r="CD205" s="313"/>
      <c r="CE205" s="313"/>
    </row>
    <row r="206" spans="1:83" s="101" customFormat="1" ht="12.75" customHeight="1" outlineLevel="1" x14ac:dyDescent="0.2">
      <c r="A206" s="382" t="s">
        <v>984</v>
      </c>
      <c r="B206" s="106"/>
      <c r="C206" s="94">
        <v>0</v>
      </c>
      <c r="D206" s="386"/>
      <c r="E206" s="95"/>
      <c r="F206" s="389">
        <f t="shared" si="144"/>
        <v>0</v>
      </c>
      <c r="G206" s="1259"/>
      <c r="H206" s="844" t="str">
        <f t="shared" si="147"/>
        <v/>
      </c>
      <c r="I206" s="847" t="str">
        <f t="shared" si="148"/>
        <v/>
      </c>
      <c r="J206" s="751"/>
      <c r="K206" s="751"/>
      <c r="L206" s="489">
        <f t="shared" si="129"/>
        <v>0</v>
      </c>
      <c r="M206" s="489">
        <f t="shared" si="130"/>
        <v>0</v>
      </c>
      <c r="N206" s="357" t="str">
        <f t="shared" si="131"/>
        <v/>
      </c>
      <c r="O206" s="512"/>
      <c r="P206" s="506"/>
      <c r="Q206" s="507"/>
      <c r="R206" s="505"/>
      <c r="S206" s="502"/>
      <c r="T206" s="507"/>
      <c r="U206" s="505"/>
      <c r="V206" s="831">
        <f t="shared" si="145"/>
        <v>0</v>
      </c>
      <c r="W206" s="397">
        <f t="shared" si="146"/>
        <v>0</v>
      </c>
      <c r="X206" s="512"/>
      <c r="Y206" s="508"/>
      <c r="Z206" s="507"/>
      <c r="AA206" s="505"/>
      <c r="AB206" s="295"/>
      <c r="AC206" s="336"/>
      <c r="AD206" s="813"/>
      <c r="AE206" s="800"/>
      <c r="AF206" s="801"/>
      <c r="AG206" s="831">
        <f t="shared" si="138"/>
        <v>0</v>
      </c>
      <c r="AH206" s="813"/>
      <c r="AI206" s="800"/>
      <c r="AJ206" s="801"/>
      <c r="AK206" s="831">
        <f t="shared" si="139"/>
        <v>0</v>
      </c>
      <c r="AL206" s="813"/>
      <c r="AM206" s="800"/>
      <c r="AN206" s="801"/>
      <c r="AO206" s="831">
        <f t="shared" si="140"/>
        <v>0</v>
      </c>
      <c r="AP206" s="1079">
        <f t="shared" si="132"/>
        <v>0</v>
      </c>
      <c r="AQ206" s="1079">
        <f t="shared" si="133"/>
        <v>0</v>
      </c>
      <c r="AR206" s="1080">
        <f t="shared" si="134"/>
        <v>0</v>
      </c>
      <c r="AS206" s="310"/>
      <c r="AT206" s="310"/>
      <c r="AU206" s="310"/>
      <c r="AV206" s="310"/>
      <c r="AW206" s="310"/>
      <c r="AX206" s="310"/>
      <c r="AY206" s="310"/>
      <c r="AZ206" s="310"/>
      <c r="BA206" s="310"/>
      <c r="BB206" s="196"/>
      <c r="BC206" s="196"/>
      <c r="BD206" s="313"/>
      <c r="BE206" s="313"/>
      <c r="BF206" s="313"/>
      <c r="BG206" s="313"/>
      <c r="BH206" s="313"/>
      <c r="BI206" s="313"/>
      <c r="BJ206" s="313"/>
      <c r="BK206" s="313"/>
      <c r="BL206" s="313"/>
      <c r="BM206" s="313"/>
      <c r="BN206" s="313"/>
      <c r="BO206" s="313"/>
      <c r="BP206" s="313"/>
      <c r="BQ206" s="313"/>
      <c r="BR206" s="313"/>
      <c r="BS206" s="313"/>
      <c r="BT206" s="313"/>
      <c r="BU206" s="313"/>
      <c r="BV206" s="313"/>
      <c r="BW206" s="313"/>
      <c r="BX206" s="313"/>
      <c r="BY206" s="313"/>
      <c r="BZ206" s="313"/>
      <c r="CA206" s="313"/>
      <c r="CB206" s="313"/>
      <c r="CC206" s="313"/>
      <c r="CD206" s="313"/>
      <c r="CE206" s="313"/>
    </row>
    <row r="207" spans="1:83" s="101" customFormat="1" ht="12.75" customHeight="1" outlineLevel="1" x14ac:dyDescent="0.2">
      <c r="A207" s="382" t="s">
        <v>985</v>
      </c>
      <c r="B207" s="106"/>
      <c r="C207" s="94">
        <v>0</v>
      </c>
      <c r="D207" s="386"/>
      <c r="E207" s="95"/>
      <c r="F207" s="389">
        <f t="shared" si="144"/>
        <v>0</v>
      </c>
      <c r="G207" s="1259"/>
      <c r="H207" s="844" t="str">
        <f t="shared" si="147"/>
        <v/>
      </c>
      <c r="I207" s="847" t="str">
        <f t="shared" si="148"/>
        <v/>
      </c>
      <c r="J207" s="751"/>
      <c r="K207" s="751"/>
      <c r="L207" s="489">
        <f t="shared" ref="L207:L241" si="149">F207*J207</f>
        <v>0</v>
      </c>
      <c r="M207" s="489">
        <f t="shared" ref="M207:M241" si="150">F207*K207</f>
        <v>0</v>
      </c>
      <c r="N207" s="357" t="str">
        <f t="shared" si="131"/>
        <v/>
      </c>
      <c r="O207" s="512"/>
      <c r="P207" s="506"/>
      <c r="Q207" s="507"/>
      <c r="R207" s="505"/>
      <c r="S207" s="502"/>
      <c r="T207" s="507"/>
      <c r="U207" s="505"/>
      <c r="V207" s="831">
        <f t="shared" si="145"/>
        <v>0</v>
      </c>
      <c r="W207" s="397">
        <f t="shared" si="146"/>
        <v>0</v>
      </c>
      <c r="X207" s="512"/>
      <c r="Y207" s="508"/>
      <c r="Z207" s="507"/>
      <c r="AA207" s="505"/>
      <c r="AB207" s="295"/>
      <c r="AC207" s="336"/>
      <c r="AD207" s="813"/>
      <c r="AE207" s="800"/>
      <c r="AF207" s="801"/>
      <c r="AG207" s="831">
        <f t="shared" si="138"/>
        <v>0</v>
      </c>
      <c r="AH207" s="813"/>
      <c r="AI207" s="800"/>
      <c r="AJ207" s="801"/>
      <c r="AK207" s="831">
        <f t="shared" si="139"/>
        <v>0</v>
      </c>
      <c r="AL207" s="813"/>
      <c r="AM207" s="800"/>
      <c r="AN207" s="801"/>
      <c r="AO207" s="831">
        <f t="shared" si="140"/>
        <v>0</v>
      </c>
      <c r="AP207" s="1079">
        <f t="shared" si="132"/>
        <v>0</v>
      </c>
      <c r="AQ207" s="1079">
        <f t="shared" si="133"/>
        <v>0</v>
      </c>
      <c r="AR207" s="1080">
        <f t="shared" si="134"/>
        <v>0</v>
      </c>
      <c r="AS207" s="310"/>
      <c r="AT207" s="310"/>
      <c r="AU207" s="310"/>
      <c r="AV207" s="310"/>
      <c r="AW207" s="310"/>
      <c r="AX207" s="310"/>
      <c r="AY207" s="310"/>
      <c r="AZ207" s="310"/>
      <c r="BA207" s="310"/>
      <c r="BB207" s="196"/>
      <c r="BC207" s="196"/>
      <c r="BD207" s="313"/>
      <c r="BE207" s="313"/>
      <c r="BF207" s="313"/>
      <c r="BG207" s="313"/>
      <c r="BH207" s="313"/>
      <c r="BI207" s="313"/>
      <c r="BJ207" s="313"/>
      <c r="BK207" s="313"/>
      <c r="BL207" s="313"/>
      <c r="BM207" s="313"/>
      <c r="BN207" s="313"/>
      <c r="BO207" s="313"/>
      <c r="BP207" s="313"/>
      <c r="BQ207" s="313"/>
      <c r="BR207" s="313"/>
      <c r="BS207" s="313"/>
      <c r="BT207" s="313"/>
      <c r="BU207" s="313"/>
      <c r="BV207" s="313"/>
      <c r="BW207" s="313"/>
      <c r="BX207" s="313"/>
      <c r="BY207" s="313"/>
      <c r="BZ207" s="313"/>
      <c r="CA207" s="313"/>
      <c r="CB207" s="313"/>
      <c r="CC207" s="313"/>
      <c r="CD207" s="313"/>
      <c r="CE207" s="313"/>
    </row>
    <row r="208" spans="1:83" s="101" customFormat="1" ht="12.75" customHeight="1" outlineLevel="1" x14ac:dyDescent="0.2">
      <c r="A208" s="382" t="s">
        <v>986</v>
      </c>
      <c r="B208" s="106"/>
      <c r="C208" s="94">
        <v>0</v>
      </c>
      <c r="D208" s="386"/>
      <c r="E208" s="95"/>
      <c r="F208" s="389">
        <f t="shared" si="144"/>
        <v>0</v>
      </c>
      <c r="G208" s="1259"/>
      <c r="H208" s="844" t="str">
        <f t="shared" si="147"/>
        <v/>
      </c>
      <c r="I208" s="847" t="str">
        <f t="shared" si="148"/>
        <v/>
      </c>
      <c r="J208" s="751"/>
      <c r="K208" s="751"/>
      <c r="L208" s="489">
        <f t="shared" si="149"/>
        <v>0</v>
      </c>
      <c r="M208" s="489">
        <f t="shared" si="150"/>
        <v>0</v>
      </c>
      <c r="N208" s="357" t="str">
        <f t="shared" si="131"/>
        <v/>
      </c>
      <c r="O208" s="512"/>
      <c r="P208" s="506"/>
      <c r="Q208" s="507"/>
      <c r="R208" s="505"/>
      <c r="S208" s="502"/>
      <c r="T208" s="507"/>
      <c r="U208" s="505"/>
      <c r="V208" s="831">
        <f t="shared" si="145"/>
        <v>0</v>
      </c>
      <c r="W208" s="397">
        <f t="shared" si="146"/>
        <v>0</v>
      </c>
      <c r="X208" s="512"/>
      <c r="Y208" s="508"/>
      <c r="Z208" s="507"/>
      <c r="AA208" s="505"/>
      <c r="AB208" s="295"/>
      <c r="AC208" s="336"/>
      <c r="AD208" s="813"/>
      <c r="AE208" s="800"/>
      <c r="AF208" s="801"/>
      <c r="AG208" s="831">
        <f t="shared" si="138"/>
        <v>0</v>
      </c>
      <c r="AH208" s="813"/>
      <c r="AI208" s="800"/>
      <c r="AJ208" s="801"/>
      <c r="AK208" s="831">
        <f t="shared" si="139"/>
        <v>0</v>
      </c>
      <c r="AL208" s="813"/>
      <c r="AM208" s="800"/>
      <c r="AN208" s="801"/>
      <c r="AO208" s="831">
        <f t="shared" si="140"/>
        <v>0</v>
      </c>
      <c r="AP208" s="1079">
        <f t="shared" si="132"/>
        <v>0</v>
      </c>
      <c r="AQ208" s="1079">
        <f t="shared" si="133"/>
        <v>0</v>
      </c>
      <c r="AR208" s="1080">
        <f t="shared" si="134"/>
        <v>0</v>
      </c>
      <c r="AS208" s="310"/>
      <c r="AT208" s="310"/>
      <c r="AU208" s="310"/>
      <c r="AV208" s="310"/>
      <c r="AW208" s="310"/>
      <c r="AX208" s="310"/>
      <c r="AY208" s="310"/>
      <c r="AZ208" s="310"/>
      <c r="BA208" s="310"/>
      <c r="BB208" s="196"/>
      <c r="BC208" s="196"/>
      <c r="BD208" s="313"/>
      <c r="BE208" s="313"/>
      <c r="BF208" s="313"/>
      <c r="BG208" s="313"/>
      <c r="BH208" s="313"/>
      <c r="BI208" s="313"/>
      <c r="BJ208" s="313"/>
      <c r="BK208" s="313"/>
      <c r="BL208" s="313"/>
      <c r="BM208" s="313"/>
      <c r="BN208" s="313"/>
      <c r="BO208" s="313"/>
      <c r="BP208" s="313"/>
      <c r="BQ208" s="313"/>
      <c r="BR208" s="313"/>
      <c r="BS208" s="313"/>
      <c r="BT208" s="313"/>
      <c r="BU208" s="313"/>
      <c r="BV208" s="313"/>
      <c r="BW208" s="313"/>
      <c r="BX208" s="313"/>
      <c r="BY208" s="313"/>
      <c r="BZ208" s="313"/>
      <c r="CA208" s="313"/>
      <c r="CB208" s="313"/>
      <c r="CC208" s="313"/>
      <c r="CD208" s="313"/>
      <c r="CE208" s="313"/>
    </row>
    <row r="209" spans="1:83" s="101" customFormat="1" ht="12.75" customHeight="1" outlineLevel="1" x14ac:dyDescent="0.2">
      <c r="A209" s="382" t="s">
        <v>987</v>
      </c>
      <c r="B209" s="106"/>
      <c r="C209" s="94">
        <v>0</v>
      </c>
      <c r="D209" s="386"/>
      <c r="E209" s="95"/>
      <c r="F209" s="389">
        <f t="shared" si="144"/>
        <v>0</v>
      </c>
      <c r="G209" s="1259"/>
      <c r="H209" s="844" t="str">
        <f t="shared" si="147"/>
        <v/>
      </c>
      <c r="I209" s="847" t="str">
        <f t="shared" si="148"/>
        <v/>
      </c>
      <c r="J209" s="751"/>
      <c r="K209" s="751"/>
      <c r="L209" s="489">
        <f t="shared" si="149"/>
        <v>0</v>
      </c>
      <c r="M209" s="489">
        <f t="shared" si="150"/>
        <v>0</v>
      </c>
      <c r="N209" s="357" t="str">
        <f t="shared" si="131"/>
        <v/>
      </c>
      <c r="O209" s="512"/>
      <c r="P209" s="506"/>
      <c r="Q209" s="507"/>
      <c r="R209" s="505"/>
      <c r="S209" s="502"/>
      <c r="T209" s="507"/>
      <c r="U209" s="505"/>
      <c r="V209" s="831">
        <f t="shared" si="145"/>
        <v>0</v>
      </c>
      <c r="W209" s="397">
        <f t="shared" si="146"/>
        <v>0</v>
      </c>
      <c r="X209" s="512"/>
      <c r="Y209" s="508"/>
      <c r="Z209" s="507"/>
      <c r="AA209" s="505"/>
      <c r="AB209" s="295"/>
      <c r="AC209" s="336"/>
      <c r="AD209" s="813"/>
      <c r="AE209" s="800"/>
      <c r="AF209" s="801"/>
      <c r="AG209" s="831">
        <f t="shared" si="138"/>
        <v>0</v>
      </c>
      <c r="AH209" s="813"/>
      <c r="AI209" s="800"/>
      <c r="AJ209" s="801"/>
      <c r="AK209" s="831">
        <f t="shared" si="139"/>
        <v>0</v>
      </c>
      <c r="AL209" s="813"/>
      <c r="AM209" s="800"/>
      <c r="AN209" s="801"/>
      <c r="AO209" s="831">
        <f t="shared" si="140"/>
        <v>0</v>
      </c>
      <c r="AP209" s="1079">
        <f t="shared" si="132"/>
        <v>0</v>
      </c>
      <c r="AQ209" s="1079">
        <f t="shared" si="133"/>
        <v>0</v>
      </c>
      <c r="AR209" s="1080">
        <f t="shared" si="134"/>
        <v>0</v>
      </c>
      <c r="AS209" s="310"/>
      <c r="AT209" s="310"/>
      <c r="AU209" s="310"/>
      <c r="AV209" s="310"/>
      <c r="AW209" s="310"/>
      <c r="AX209" s="310"/>
      <c r="AY209" s="310"/>
      <c r="AZ209" s="310"/>
      <c r="BA209" s="310"/>
      <c r="BB209" s="196"/>
      <c r="BC209" s="196"/>
      <c r="BD209" s="313"/>
      <c r="BE209" s="313"/>
      <c r="BF209" s="313"/>
      <c r="BG209" s="313"/>
      <c r="BH209" s="313"/>
      <c r="BI209" s="313"/>
      <c r="BJ209" s="313"/>
      <c r="BK209" s="313"/>
      <c r="BL209" s="313"/>
      <c r="BM209" s="313"/>
      <c r="BN209" s="313"/>
      <c r="BO209" s="313"/>
      <c r="BP209" s="313"/>
      <c r="BQ209" s="313"/>
      <c r="BR209" s="313"/>
      <c r="BS209" s="313"/>
      <c r="BT209" s="313"/>
      <c r="BU209" s="313"/>
      <c r="BV209" s="313"/>
      <c r="BW209" s="313"/>
      <c r="BX209" s="313"/>
      <c r="BY209" s="313"/>
      <c r="BZ209" s="313"/>
      <c r="CA209" s="313"/>
      <c r="CB209" s="313"/>
      <c r="CC209" s="313"/>
      <c r="CD209" s="313"/>
      <c r="CE209" s="313"/>
    </row>
    <row r="210" spans="1:83" s="101" customFormat="1" ht="12.75" customHeight="1" outlineLevel="1" x14ac:dyDescent="0.2">
      <c r="A210" s="382" t="s">
        <v>988</v>
      </c>
      <c r="B210" s="106"/>
      <c r="C210" s="94">
        <v>0</v>
      </c>
      <c r="D210" s="386"/>
      <c r="E210" s="95"/>
      <c r="F210" s="389">
        <f t="shared" si="144"/>
        <v>0</v>
      </c>
      <c r="G210" s="1259"/>
      <c r="H210" s="844" t="str">
        <f t="shared" si="147"/>
        <v/>
      </c>
      <c r="I210" s="847" t="str">
        <f t="shared" si="148"/>
        <v/>
      </c>
      <c r="J210" s="751"/>
      <c r="K210" s="751"/>
      <c r="L210" s="489">
        <f t="shared" si="149"/>
        <v>0</v>
      </c>
      <c r="M210" s="489">
        <f t="shared" si="150"/>
        <v>0</v>
      </c>
      <c r="N210" s="357" t="str">
        <f t="shared" si="131"/>
        <v/>
      </c>
      <c r="O210" s="512"/>
      <c r="P210" s="506"/>
      <c r="Q210" s="507"/>
      <c r="R210" s="505"/>
      <c r="S210" s="502"/>
      <c r="T210" s="507"/>
      <c r="U210" s="505"/>
      <c r="V210" s="831">
        <f t="shared" si="145"/>
        <v>0</v>
      </c>
      <c r="W210" s="397">
        <f t="shared" si="146"/>
        <v>0</v>
      </c>
      <c r="X210" s="512"/>
      <c r="Y210" s="508"/>
      <c r="Z210" s="507"/>
      <c r="AA210" s="505"/>
      <c r="AB210" s="295"/>
      <c r="AC210" s="336"/>
      <c r="AD210" s="813"/>
      <c r="AE210" s="800"/>
      <c r="AF210" s="801"/>
      <c r="AG210" s="831">
        <f t="shared" si="138"/>
        <v>0</v>
      </c>
      <c r="AH210" s="813"/>
      <c r="AI210" s="800"/>
      <c r="AJ210" s="801"/>
      <c r="AK210" s="831">
        <f t="shared" si="139"/>
        <v>0</v>
      </c>
      <c r="AL210" s="813"/>
      <c r="AM210" s="800"/>
      <c r="AN210" s="801"/>
      <c r="AO210" s="831">
        <f t="shared" si="140"/>
        <v>0</v>
      </c>
      <c r="AP210" s="1079">
        <f t="shared" si="132"/>
        <v>0</v>
      </c>
      <c r="AQ210" s="1079">
        <f t="shared" si="133"/>
        <v>0</v>
      </c>
      <c r="AR210" s="1080">
        <f t="shared" si="134"/>
        <v>0</v>
      </c>
      <c r="AS210" s="310"/>
      <c r="AT210" s="310"/>
      <c r="AU210" s="310"/>
      <c r="AV210" s="310"/>
      <c r="AW210" s="310"/>
      <c r="AX210" s="310"/>
      <c r="AY210" s="310"/>
      <c r="AZ210" s="310"/>
      <c r="BA210" s="310"/>
      <c r="BB210" s="196"/>
      <c r="BC210" s="196"/>
      <c r="BD210" s="313"/>
      <c r="BE210" s="313"/>
      <c r="BF210" s="313"/>
      <c r="BG210" s="313"/>
      <c r="BH210" s="313"/>
      <c r="BI210" s="313"/>
      <c r="BJ210" s="313"/>
      <c r="BK210" s="313"/>
      <c r="BL210" s="313"/>
      <c r="BM210" s="313"/>
      <c r="BN210" s="313"/>
      <c r="BO210" s="313"/>
      <c r="BP210" s="313"/>
      <c r="BQ210" s="313"/>
      <c r="BR210" s="313"/>
      <c r="BS210" s="313"/>
      <c r="BT210" s="313"/>
      <c r="BU210" s="313"/>
      <c r="BV210" s="313"/>
      <c r="BW210" s="313"/>
      <c r="BX210" s="313"/>
      <c r="BY210" s="313"/>
      <c r="BZ210" s="313"/>
      <c r="CA210" s="313"/>
      <c r="CB210" s="313"/>
      <c r="CC210" s="313"/>
      <c r="CD210" s="313"/>
      <c r="CE210" s="313"/>
    </row>
    <row r="211" spans="1:83" s="101" customFormat="1" ht="12.75" customHeight="1" outlineLevel="1" x14ac:dyDescent="0.2">
      <c r="A211" s="382" t="s">
        <v>989</v>
      </c>
      <c r="B211" s="106"/>
      <c r="C211" s="94">
        <v>0</v>
      </c>
      <c r="D211" s="386"/>
      <c r="E211" s="95"/>
      <c r="F211" s="389">
        <f t="shared" si="144"/>
        <v>0</v>
      </c>
      <c r="G211" s="1259"/>
      <c r="H211" s="844" t="str">
        <f t="shared" si="147"/>
        <v/>
      </c>
      <c r="I211" s="847" t="str">
        <f t="shared" si="148"/>
        <v/>
      </c>
      <c r="J211" s="751"/>
      <c r="K211" s="751"/>
      <c r="L211" s="489">
        <f t="shared" si="149"/>
        <v>0</v>
      </c>
      <c r="M211" s="489">
        <f t="shared" si="150"/>
        <v>0</v>
      </c>
      <c r="N211" s="357" t="str">
        <f t="shared" si="131"/>
        <v/>
      </c>
      <c r="O211" s="512"/>
      <c r="P211" s="506"/>
      <c r="Q211" s="507"/>
      <c r="R211" s="505"/>
      <c r="S211" s="502"/>
      <c r="T211" s="507"/>
      <c r="U211" s="505"/>
      <c r="V211" s="831">
        <f t="shared" si="145"/>
        <v>0</v>
      </c>
      <c r="W211" s="397">
        <f t="shared" si="146"/>
        <v>0</v>
      </c>
      <c r="X211" s="512"/>
      <c r="Y211" s="508"/>
      <c r="Z211" s="507"/>
      <c r="AA211" s="505"/>
      <c r="AB211" s="295"/>
      <c r="AC211" s="336"/>
      <c r="AD211" s="813"/>
      <c r="AE211" s="800"/>
      <c r="AF211" s="801"/>
      <c r="AG211" s="831">
        <f t="shared" si="138"/>
        <v>0</v>
      </c>
      <c r="AH211" s="813"/>
      <c r="AI211" s="800"/>
      <c r="AJ211" s="801"/>
      <c r="AK211" s="831">
        <f t="shared" si="139"/>
        <v>0</v>
      </c>
      <c r="AL211" s="813"/>
      <c r="AM211" s="800"/>
      <c r="AN211" s="801"/>
      <c r="AO211" s="831">
        <f t="shared" si="140"/>
        <v>0</v>
      </c>
      <c r="AP211" s="1079">
        <f t="shared" si="132"/>
        <v>0</v>
      </c>
      <c r="AQ211" s="1079">
        <f t="shared" si="133"/>
        <v>0</v>
      </c>
      <c r="AR211" s="1080">
        <f t="shared" si="134"/>
        <v>0</v>
      </c>
      <c r="AS211" s="310"/>
      <c r="AT211" s="310"/>
      <c r="AU211" s="310"/>
      <c r="AV211" s="310"/>
      <c r="AW211" s="310"/>
      <c r="AX211" s="310"/>
      <c r="AY211" s="310"/>
      <c r="AZ211" s="310"/>
      <c r="BA211" s="310"/>
      <c r="BB211" s="196"/>
      <c r="BC211" s="196"/>
      <c r="BD211" s="313"/>
      <c r="BE211" s="313"/>
      <c r="BF211" s="313"/>
      <c r="BG211" s="313"/>
      <c r="BH211" s="313"/>
      <c r="BI211" s="313"/>
      <c r="BJ211" s="313"/>
      <c r="BK211" s="313"/>
      <c r="BL211" s="313"/>
      <c r="BM211" s="313"/>
      <c r="BN211" s="313"/>
      <c r="BO211" s="313"/>
      <c r="BP211" s="313"/>
      <c r="BQ211" s="313"/>
      <c r="BR211" s="313"/>
      <c r="BS211" s="313"/>
      <c r="BT211" s="313"/>
      <c r="BU211" s="313"/>
      <c r="BV211" s="313"/>
      <c r="BW211" s="313"/>
      <c r="BX211" s="313"/>
      <c r="BY211" s="313"/>
      <c r="BZ211" s="313"/>
      <c r="CA211" s="313"/>
      <c r="CB211" s="313"/>
      <c r="CC211" s="313"/>
      <c r="CD211" s="313"/>
      <c r="CE211" s="313"/>
    </row>
    <row r="212" spans="1:83" s="101" customFormat="1" ht="12.75" customHeight="1" outlineLevel="1" x14ac:dyDescent="0.2">
      <c r="A212" s="382" t="s">
        <v>990</v>
      </c>
      <c r="B212" s="106"/>
      <c r="C212" s="94">
        <v>0</v>
      </c>
      <c r="D212" s="386"/>
      <c r="E212" s="95"/>
      <c r="F212" s="389">
        <f t="shared" si="144"/>
        <v>0</v>
      </c>
      <c r="G212" s="1259"/>
      <c r="H212" s="844" t="str">
        <f t="shared" si="147"/>
        <v/>
      </c>
      <c r="I212" s="847" t="str">
        <f t="shared" si="148"/>
        <v/>
      </c>
      <c r="J212" s="751"/>
      <c r="K212" s="751"/>
      <c r="L212" s="489">
        <f t="shared" si="149"/>
        <v>0</v>
      </c>
      <c r="M212" s="489">
        <f t="shared" si="150"/>
        <v>0</v>
      </c>
      <c r="N212" s="357" t="str">
        <f t="shared" si="131"/>
        <v/>
      </c>
      <c r="O212" s="512"/>
      <c r="P212" s="506"/>
      <c r="Q212" s="507"/>
      <c r="R212" s="505"/>
      <c r="S212" s="502"/>
      <c r="T212" s="507"/>
      <c r="U212" s="505"/>
      <c r="V212" s="831">
        <f t="shared" si="145"/>
        <v>0</v>
      </c>
      <c r="W212" s="397">
        <f t="shared" si="146"/>
        <v>0</v>
      </c>
      <c r="X212" s="512"/>
      <c r="Y212" s="508"/>
      <c r="Z212" s="507"/>
      <c r="AA212" s="505"/>
      <c r="AB212" s="295"/>
      <c r="AC212" s="336"/>
      <c r="AD212" s="813"/>
      <c r="AE212" s="800"/>
      <c r="AF212" s="801"/>
      <c r="AG212" s="831">
        <f t="shared" si="138"/>
        <v>0</v>
      </c>
      <c r="AH212" s="813"/>
      <c r="AI212" s="800"/>
      <c r="AJ212" s="801"/>
      <c r="AK212" s="831">
        <f t="shared" si="139"/>
        <v>0</v>
      </c>
      <c r="AL212" s="813"/>
      <c r="AM212" s="800"/>
      <c r="AN212" s="801"/>
      <c r="AO212" s="831">
        <f t="shared" si="140"/>
        <v>0</v>
      </c>
      <c r="AP212" s="1079">
        <f t="shared" si="132"/>
        <v>0</v>
      </c>
      <c r="AQ212" s="1079">
        <f t="shared" si="133"/>
        <v>0</v>
      </c>
      <c r="AR212" s="1080">
        <f t="shared" si="134"/>
        <v>0</v>
      </c>
      <c r="AS212" s="310"/>
      <c r="AT212" s="310"/>
      <c r="AU212" s="310"/>
      <c r="AV212" s="310"/>
      <c r="AW212" s="310"/>
      <c r="AX212" s="310"/>
      <c r="AY212" s="310"/>
      <c r="AZ212" s="310"/>
      <c r="BA212" s="310"/>
      <c r="BB212" s="196"/>
      <c r="BC212" s="196"/>
      <c r="BD212" s="313"/>
      <c r="BE212" s="313"/>
      <c r="BF212" s="313"/>
      <c r="BG212" s="313"/>
      <c r="BH212" s="313"/>
      <c r="BI212" s="313"/>
      <c r="BJ212" s="313"/>
      <c r="BK212" s="313"/>
      <c r="BL212" s="313"/>
      <c r="BM212" s="313"/>
      <c r="BN212" s="313"/>
      <c r="BO212" s="313"/>
      <c r="BP212" s="313"/>
      <c r="BQ212" s="313"/>
      <c r="BR212" s="313"/>
      <c r="BS212" s="313"/>
      <c r="BT212" s="313"/>
      <c r="BU212" s="313"/>
      <c r="BV212" s="313"/>
      <c r="BW212" s="313"/>
      <c r="BX212" s="313"/>
      <c r="BY212" s="313"/>
      <c r="BZ212" s="313"/>
      <c r="CA212" s="313"/>
      <c r="CB212" s="313"/>
      <c r="CC212" s="313"/>
      <c r="CD212" s="313"/>
      <c r="CE212" s="313"/>
    </row>
    <row r="213" spans="1:83" s="101" customFormat="1" ht="12.75" customHeight="1" outlineLevel="1" x14ac:dyDescent="0.2">
      <c r="A213" s="382" t="s">
        <v>991</v>
      </c>
      <c r="B213" s="106"/>
      <c r="C213" s="94">
        <v>0</v>
      </c>
      <c r="D213" s="386"/>
      <c r="E213" s="95"/>
      <c r="F213" s="389">
        <f t="shared" si="144"/>
        <v>0</v>
      </c>
      <c r="G213" s="1259"/>
      <c r="H213" s="844" t="str">
        <f t="shared" si="147"/>
        <v/>
      </c>
      <c r="I213" s="847" t="str">
        <f t="shared" si="148"/>
        <v/>
      </c>
      <c r="J213" s="751"/>
      <c r="K213" s="751"/>
      <c r="L213" s="489">
        <f t="shared" si="149"/>
        <v>0</v>
      </c>
      <c r="M213" s="489">
        <f t="shared" si="150"/>
        <v>0</v>
      </c>
      <c r="N213" s="357" t="str">
        <f t="shared" si="131"/>
        <v/>
      </c>
      <c r="O213" s="512"/>
      <c r="P213" s="506"/>
      <c r="Q213" s="507"/>
      <c r="R213" s="505"/>
      <c r="S213" s="502"/>
      <c r="T213" s="507"/>
      <c r="U213" s="505"/>
      <c r="V213" s="831">
        <f t="shared" si="145"/>
        <v>0</v>
      </c>
      <c r="W213" s="397">
        <f t="shared" si="146"/>
        <v>0</v>
      </c>
      <c r="X213" s="512"/>
      <c r="Y213" s="508"/>
      <c r="Z213" s="507"/>
      <c r="AA213" s="505"/>
      <c r="AB213" s="295"/>
      <c r="AC213" s="336"/>
      <c r="AD213" s="813"/>
      <c r="AE213" s="800"/>
      <c r="AF213" s="801"/>
      <c r="AG213" s="831">
        <f t="shared" si="138"/>
        <v>0</v>
      </c>
      <c r="AH213" s="813"/>
      <c r="AI213" s="800"/>
      <c r="AJ213" s="801"/>
      <c r="AK213" s="831">
        <f t="shared" si="139"/>
        <v>0</v>
      </c>
      <c r="AL213" s="813"/>
      <c r="AM213" s="800"/>
      <c r="AN213" s="801"/>
      <c r="AO213" s="831">
        <f t="shared" si="140"/>
        <v>0</v>
      </c>
      <c r="AP213" s="1079">
        <f t="shared" si="132"/>
        <v>0</v>
      </c>
      <c r="AQ213" s="1079">
        <f t="shared" si="133"/>
        <v>0</v>
      </c>
      <c r="AR213" s="1080">
        <f t="shared" si="134"/>
        <v>0</v>
      </c>
      <c r="AS213" s="310"/>
      <c r="AT213" s="310"/>
      <c r="AU213" s="310"/>
      <c r="AV213" s="310"/>
      <c r="AW213" s="310"/>
      <c r="AX213" s="310"/>
      <c r="AY213" s="310"/>
      <c r="AZ213" s="310"/>
      <c r="BA213" s="310"/>
      <c r="BB213" s="196"/>
      <c r="BC213" s="196"/>
      <c r="BD213" s="313"/>
      <c r="BE213" s="313"/>
      <c r="BF213" s="313"/>
      <c r="BG213" s="313"/>
      <c r="BH213" s="313"/>
      <c r="BI213" s="313"/>
      <c r="BJ213" s="313"/>
      <c r="BK213" s="313"/>
      <c r="BL213" s="313"/>
      <c r="BM213" s="313"/>
      <c r="BN213" s="313"/>
      <c r="BO213" s="313"/>
      <c r="BP213" s="313"/>
      <c r="BQ213" s="313"/>
      <c r="BR213" s="313"/>
      <c r="BS213" s="313"/>
      <c r="BT213" s="313"/>
      <c r="BU213" s="313"/>
      <c r="BV213" s="313"/>
      <c r="BW213" s="313"/>
      <c r="BX213" s="313"/>
      <c r="BY213" s="313"/>
      <c r="BZ213" s="313"/>
      <c r="CA213" s="313"/>
      <c r="CB213" s="313"/>
      <c r="CC213" s="313"/>
      <c r="CD213" s="313"/>
      <c r="CE213" s="313"/>
    </row>
    <row r="214" spans="1:83" s="101" customFormat="1" ht="12.75" customHeight="1" outlineLevel="1" x14ac:dyDescent="0.2">
      <c r="A214" s="382" t="s">
        <v>992</v>
      </c>
      <c r="B214" s="106"/>
      <c r="C214" s="94">
        <v>0</v>
      </c>
      <c r="D214" s="386"/>
      <c r="E214" s="95"/>
      <c r="F214" s="389">
        <f t="shared" si="144"/>
        <v>0</v>
      </c>
      <c r="G214" s="1259"/>
      <c r="H214" s="844" t="str">
        <f t="shared" si="147"/>
        <v/>
      </c>
      <c r="I214" s="847" t="str">
        <f t="shared" si="148"/>
        <v/>
      </c>
      <c r="J214" s="751"/>
      <c r="K214" s="751"/>
      <c r="L214" s="489">
        <f t="shared" si="149"/>
        <v>0</v>
      </c>
      <c r="M214" s="489">
        <f t="shared" si="150"/>
        <v>0</v>
      </c>
      <c r="N214" s="357" t="str">
        <f t="shared" si="131"/>
        <v/>
      </c>
      <c r="O214" s="512"/>
      <c r="P214" s="506"/>
      <c r="Q214" s="507"/>
      <c r="R214" s="505"/>
      <c r="S214" s="502"/>
      <c r="T214" s="507"/>
      <c r="U214" s="505"/>
      <c r="V214" s="831">
        <f t="shared" si="145"/>
        <v>0</v>
      </c>
      <c r="W214" s="397">
        <f t="shared" si="146"/>
        <v>0</v>
      </c>
      <c r="X214" s="512"/>
      <c r="Y214" s="508"/>
      <c r="Z214" s="507"/>
      <c r="AA214" s="505"/>
      <c r="AB214" s="295"/>
      <c r="AC214" s="336"/>
      <c r="AD214" s="813"/>
      <c r="AE214" s="800"/>
      <c r="AF214" s="801"/>
      <c r="AG214" s="831">
        <f t="shared" si="138"/>
        <v>0</v>
      </c>
      <c r="AH214" s="813"/>
      <c r="AI214" s="800"/>
      <c r="AJ214" s="801"/>
      <c r="AK214" s="831">
        <f t="shared" si="139"/>
        <v>0</v>
      </c>
      <c r="AL214" s="813"/>
      <c r="AM214" s="800"/>
      <c r="AN214" s="801"/>
      <c r="AO214" s="831">
        <f t="shared" si="140"/>
        <v>0</v>
      </c>
      <c r="AP214" s="1079">
        <f t="shared" si="132"/>
        <v>0</v>
      </c>
      <c r="AQ214" s="1079">
        <f t="shared" si="133"/>
        <v>0</v>
      </c>
      <c r="AR214" s="1080">
        <f t="shared" si="134"/>
        <v>0</v>
      </c>
      <c r="AS214" s="310"/>
      <c r="AT214" s="310"/>
      <c r="AU214" s="310"/>
      <c r="AV214" s="310"/>
      <c r="AW214" s="310"/>
      <c r="AX214" s="310"/>
      <c r="AY214" s="310"/>
      <c r="AZ214" s="310"/>
      <c r="BA214" s="310"/>
      <c r="BB214" s="196"/>
      <c r="BC214" s="196"/>
      <c r="BD214" s="313"/>
      <c r="BE214" s="313"/>
      <c r="BF214" s="313"/>
      <c r="BG214" s="313"/>
      <c r="BH214" s="313"/>
      <c r="BI214" s="313"/>
      <c r="BJ214" s="313"/>
      <c r="BK214" s="313"/>
      <c r="BL214" s="313"/>
      <c r="BM214" s="313"/>
      <c r="BN214" s="313"/>
      <c r="BO214" s="313"/>
      <c r="BP214" s="313"/>
      <c r="BQ214" s="313"/>
      <c r="BR214" s="313"/>
      <c r="BS214" s="313"/>
      <c r="BT214" s="313"/>
      <c r="BU214" s="313"/>
      <c r="BV214" s="313"/>
      <c r="BW214" s="313"/>
      <c r="BX214" s="313"/>
      <c r="BY214" s="313"/>
      <c r="BZ214" s="313"/>
      <c r="CA214" s="313"/>
      <c r="CB214" s="313"/>
      <c r="CC214" s="313"/>
      <c r="CD214" s="313"/>
      <c r="CE214" s="313"/>
    </row>
    <row r="215" spans="1:83" s="101" customFormat="1" ht="12.75" customHeight="1" outlineLevel="1" x14ac:dyDescent="0.2">
      <c r="A215" s="382" t="s">
        <v>993</v>
      </c>
      <c r="B215" s="106"/>
      <c r="C215" s="94">
        <v>0</v>
      </c>
      <c r="D215" s="386"/>
      <c r="E215" s="95"/>
      <c r="F215" s="389">
        <f t="shared" si="144"/>
        <v>0</v>
      </c>
      <c r="G215" s="1259"/>
      <c r="H215" s="844" t="str">
        <f t="shared" si="147"/>
        <v/>
      </c>
      <c r="I215" s="847" t="str">
        <f t="shared" si="148"/>
        <v/>
      </c>
      <c r="J215" s="751"/>
      <c r="K215" s="751"/>
      <c r="L215" s="489">
        <f t="shared" si="149"/>
        <v>0</v>
      </c>
      <c r="M215" s="489">
        <f t="shared" si="150"/>
        <v>0</v>
      </c>
      <c r="N215" s="357" t="str">
        <f t="shared" si="131"/>
        <v/>
      </c>
      <c r="O215" s="512"/>
      <c r="P215" s="506"/>
      <c r="Q215" s="507"/>
      <c r="R215" s="505"/>
      <c r="S215" s="502"/>
      <c r="T215" s="507"/>
      <c r="U215" s="505"/>
      <c r="V215" s="831">
        <f t="shared" si="145"/>
        <v>0</v>
      </c>
      <c r="W215" s="397">
        <f t="shared" si="146"/>
        <v>0</v>
      </c>
      <c r="X215" s="512"/>
      <c r="Y215" s="508"/>
      <c r="Z215" s="507"/>
      <c r="AA215" s="505"/>
      <c r="AB215" s="295"/>
      <c r="AC215" s="336"/>
      <c r="AD215" s="813"/>
      <c r="AE215" s="800"/>
      <c r="AF215" s="801"/>
      <c r="AG215" s="831">
        <f t="shared" si="138"/>
        <v>0</v>
      </c>
      <c r="AH215" s="813"/>
      <c r="AI215" s="800"/>
      <c r="AJ215" s="801"/>
      <c r="AK215" s="831">
        <f t="shared" si="139"/>
        <v>0</v>
      </c>
      <c r="AL215" s="813"/>
      <c r="AM215" s="800"/>
      <c r="AN215" s="801"/>
      <c r="AO215" s="831">
        <f t="shared" si="140"/>
        <v>0</v>
      </c>
      <c r="AP215" s="1079">
        <f t="shared" si="132"/>
        <v>0</v>
      </c>
      <c r="AQ215" s="1079">
        <f t="shared" si="133"/>
        <v>0</v>
      </c>
      <c r="AR215" s="1080">
        <f t="shared" si="134"/>
        <v>0</v>
      </c>
      <c r="AS215" s="310"/>
      <c r="AT215" s="310"/>
      <c r="AU215" s="310"/>
      <c r="AV215" s="310"/>
      <c r="AW215" s="310"/>
      <c r="AX215" s="310"/>
      <c r="AY215" s="310"/>
      <c r="AZ215" s="310"/>
      <c r="BA215" s="310"/>
      <c r="BB215" s="196"/>
      <c r="BC215" s="196"/>
      <c r="BD215" s="313"/>
      <c r="BE215" s="313"/>
      <c r="BF215" s="313"/>
      <c r="BG215" s="313"/>
      <c r="BH215" s="313"/>
      <c r="BI215" s="313"/>
      <c r="BJ215" s="313"/>
      <c r="BK215" s="313"/>
      <c r="BL215" s="313"/>
      <c r="BM215" s="313"/>
      <c r="BN215" s="313"/>
      <c r="BO215" s="313"/>
      <c r="BP215" s="313"/>
      <c r="BQ215" s="313"/>
      <c r="BR215" s="313"/>
      <c r="BS215" s="313"/>
      <c r="BT215" s="313"/>
      <c r="BU215" s="313"/>
      <c r="BV215" s="313"/>
      <c r="BW215" s="313"/>
      <c r="BX215" s="313"/>
      <c r="BY215" s="313"/>
      <c r="BZ215" s="313"/>
      <c r="CA215" s="313"/>
      <c r="CB215" s="313"/>
      <c r="CC215" s="313"/>
      <c r="CD215" s="313"/>
      <c r="CE215" s="313"/>
    </row>
    <row r="216" spans="1:83" s="101" customFormat="1" ht="12.75" customHeight="1" outlineLevel="1" x14ac:dyDescent="0.2">
      <c r="A216" s="382" t="s">
        <v>994</v>
      </c>
      <c r="B216" s="106"/>
      <c r="C216" s="94">
        <v>0</v>
      </c>
      <c r="D216" s="386"/>
      <c r="E216" s="95"/>
      <c r="F216" s="389">
        <f t="shared" si="144"/>
        <v>0</v>
      </c>
      <c r="G216" s="1259"/>
      <c r="H216" s="844" t="str">
        <f t="shared" si="147"/>
        <v/>
      </c>
      <c r="I216" s="847" t="str">
        <f t="shared" si="148"/>
        <v/>
      </c>
      <c r="J216" s="751"/>
      <c r="K216" s="751"/>
      <c r="L216" s="489">
        <f t="shared" si="149"/>
        <v>0</v>
      </c>
      <c r="M216" s="489">
        <f t="shared" si="150"/>
        <v>0</v>
      </c>
      <c r="N216" s="357" t="str">
        <f t="shared" si="131"/>
        <v/>
      </c>
      <c r="O216" s="512"/>
      <c r="P216" s="506"/>
      <c r="Q216" s="507"/>
      <c r="R216" s="505"/>
      <c r="S216" s="502"/>
      <c r="T216" s="507"/>
      <c r="U216" s="505"/>
      <c r="V216" s="831">
        <f t="shared" si="145"/>
        <v>0</v>
      </c>
      <c r="W216" s="397">
        <f t="shared" si="146"/>
        <v>0</v>
      </c>
      <c r="X216" s="512"/>
      <c r="Y216" s="508"/>
      <c r="Z216" s="507"/>
      <c r="AA216" s="505"/>
      <c r="AB216" s="295"/>
      <c r="AC216" s="336"/>
      <c r="AD216" s="813"/>
      <c r="AE216" s="800"/>
      <c r="AF216" s="801"/>
      <c r="AG216" s="831">
        <f t="shared" si="138"/>
        <v>0</v>
      </c>
      <c r="AH216" s="813"/>
      <c r="AI216" s="800"/>
      <c r="AJ216" s="801"/>
      <c r="AK216" s="831">
        <f t="shared" si="139"/>
        <v>0</v>
      </c>
      <c r="AL216" s="813"/>
      <c r="AM216" s="800"/>
      <c r="AN216" s="801"/>
      <c r="AO216" s="831">
        <f t="shared" si="140"/>
        <v>0</v>
      </c>
      <c r="AP216" s="1079">
        <f t="shared" si="132"/>
        <v>0</v>
      </c>
      <c r="AQ216" s="1079">
        <f t="shared" si="133"/>
        <v>0</v>
      </c>
      <c r="AR216" s="1080">
        <f t="shared" si="134"/>
        <v>0</v>
      </c>
      <c r="AS216" s="310"/>
      <c r="AT216" s="310"/>
      <c r="AU216" s="310"/>
      <c r="AV216" s="310"/>
      <c r="AW216" s="310"/>
      <c r="AX216" s="310"/>
      <c r="AY216" s="310"/>
      <c r="AZ216" s="310"/>
      <c r="BA216" s="310"/>
      <c r="BB216" s="196"/>
      <c r="BC216" s="196"/>
      <c r="BD216" s="313"/>
      <c r="BE216" s="313"/>
      <c r="BF216" s="313"/>
      <c r="BG216" s="313"/>
      <c r="BH216" s="313"/>
      <c r="BI216" s="313"/>
      <c r="BJ216" s="313"/>
      <c r="BK216" s="313"/>
      <c r="BL216" s="313"/>
      <c r="BM216" s="313"/>
      <c r="BN216" s="313"/>
      <c r="BO216" s="313"/>
      <c r="BP216" s="313"/>
      <c r="BQ216" s="313"/>
      <c r="BR216" s="313"/>
      <c r="BS216" s="313"/>
      <c r="BT216" s="313"/>
      <c r="BU216" s="313"/>
      <c r="BV216" s="313"/>
      <c r="BW216" s="313"/>
      <c r="BX216" s="313"/>
      <c r="BY216" s="313"/>
      <c r="BZ216" s="313"/>
      <c r="CA216" s="313"/>
      <c r="CB216" s="313"/>
      <c r="CC216" s="313"/>
      <c r="CD216" s="313"/>
      <c r="CE216" s="313"/>
    </row>
    <row r="217" spans="1:83" s="101" customFormat="1" ht="12.75" customHeight="1" outlineLevel="1" x14ac:dyDescent="0.2">
      <c r="A217" s="382" t="s">
        <v>995</v>
      </c>
      <c r="B217" s="106"/>
      <c r="C217" s="94">
        <v>0</v>
      </c>
      <c r="D217" s="386"/>
      <c r="E217" s="95"/>
      <c r="F217" s="389">
        <f t="shared" si="144"/>
        <v>0</v>
      </c>
      <c r="G217" s="1259"/>
      <c r="H217" s="844" t="str">
        <f t="shared" si="147"/>
        <v/>
      </c>
      <c r="I217" s="847" t="str">
        <f t="shared" si="148"/>
        <v/>
      </c>
      <c r="J217" s="751"/>
      <c r="K217" s="751"/>
      <c r="L217" s="489">
        <f t="shared" si="149"/>
        <v>0</v>
      </c>
      <c r="M217" s="489">
        <f t="shared" si="150"/>
        <v>0</v>
      </c>
      <c r="N217" s="357" t="str">
        <f t="shared" si="131"/>
        <v/>
      </c>
      <c r="O217" s="512"/>
      <c r="P217" s="506"/>
      <c r="Q217" s="507"/>
      <c r="R217" s="505"/>
      <c r="S217" s="502"/>
      <c r="T217" s="507"/>
      <c r="U217" s="505"/>
      <c r="V217" s="831">
        <f t="shared" si="145"/>
        <v>0</v>
      </c>
      <c r="W217" s="397">
        <f t="shared" si="146"/>
        <v>0</v>
      </c>
      <c r="X217" s="512"/>
      <c r="Y217" s="508"/>
      <c r="Z217" s="507"/>
      <c r="AA217" s="505"/>
      <c r="AB217" s="295"/>
      <c r="AC217" s="336"/>
      <c r="AD217" s="813"/>
      <c r="AE217" s="800"/>
      <c r="AF217" s="801"/>
      <c r="AG217" s="831">
        <f t="shared" si="138"/>
        <v>0</v>
      </c>
      <c r="AH217" s="813"/>
      <c r="AI217" s="800"/>
      <c r="AJ217" s="801"/>
      <c r="AK217" s="831">
        <f t="shared" si="139"/>
        <v>0</v>
      </c>
      <c r="AL217" s="813"/>
      <c r="AM217" s="800"/>
      <c r="AN217" s="801"/>
      <c r="AO217" s="831">
        <f t="shared" si="140"/>
        <v>0</v>
      </c>
      <c r="AP217" s="1079">
        <f t="shared" si="132"/>
        <v>0</v>
      </c>
      <c r="AQ217" s="1079">
        <f t="shared" si="133"/>
        <v>0</v>
      </c>
      <c r="AR217" s="1080">
        <f t="shared" si="134"/>
        <v>0</v>
      </c>
      <c r="AS217" s="310"/>
      <c r="AT217" s="310"/>
      <c r="AU217" s="310"/>
      <c r="AV217" s="310"/>
      <c r="AW217" s="310"/>
      <c r="AX217" s="310"/>
      <c r="AY217" s="310"/>
      <c r="AZ217" s="310"/>
      <c r="BA217" s="310"/>
      <c r="BB217" s="196"/>
      <c r="BC217" s="196"/>
      <c r="BD217" s="313"/>
      <c r="BE217" s="313"/>
      <c r="BF217" s="313"/>
      <c r="BG217" s="313"/>
      <c r="BH217" s="313"/>
      <c r="BI217" s="313"/>
      <c r="BJ217" s="313"/>
      <c r="BK217" s="313"/>
      <c r="BL217" s="313"/>
      <c r="BM217" s="313"/>
      <c r="BN217" s="313"/>
      <c r="BO217" s="313"/>
      <c r="BP217" s="313"/>
      <c r="BQ217" s="313"/>
      <c r="BR217" s="313"/>
      <c r="BS217" s="313"/>
      <c r="BT217" s="313"/>
      <c r="BU217" s="313"/>
      <c r="BV217" s="313"/>
      <c r="BW217" s="313"/>
      <c r="BX217" s="313"/>
      <c r="BY217" s="313"/>
      <c r="BZ217" s="313"/>
      <c r="CA217" s="313"/>
      <c r="CB217" s="313"/>
      <c r="CC217" s="313"/>
      <c r="CD217" s="313"/>
      <c r="CE217" s="313"/>
    </row>
    <row r="218" spans="1:83" s="101" customFormat="1" ht="12.75" customHeight="1" outlineLevel="1" x14ac:dyDescent="0.2">
      <c r="A218" s="382" t="s">
        <v>996</v>
      </c>
      <c r="B218" s="106"/>
      <c r="C218" s="94">
        <v>0</v>
      </c>
      <c r="D218" s="386"/>
      <c r="E218" s="95"/>
      <c r="F218" s="389">
        <f t="shared" si="144"/>
        <v>0</v>
      </c>
      <c r="G218" s="1259"/>
      <c r="H218" s="844" t="str">
        <f t="shared" si="147"/>
        <v/>
      </c>
      <c r="I218" s="847" t="str">
        <f t="shared" si="148"/>
        <v/>
      </c>
      <c r="J218" s="751"/>
      <c r="K218" s="751"/>
      <c r="L218" s="489">
        <f t="shared" si="149"/>
        <v>0</v>
      </c>
      <c r="M218" s="489">
        <f t="shared" si="150"/>
        <v>0</v>
      </c>
      <c r="N218" s="357" t="str">
        <f t="shared" si="131"/>
        <v/>
      </c>
      <c r="O218" s="512"/>
      <c r="P218" s="506"/>
      <c r="Q218" s="507"/>
      <c r="R218" s="505"/>
      <c r="S218" s="502"/>
      <c r="T218" s="507"/>
      <c r="U218" s="505"/>
      <c r="V218" s="831">
        <f t="shared" si="145"/>
        <v>0</v>
      </c>
      <c r="W218" s="397">
        <f t="shared" si="146"/>
        <v>0</v>
      </c>
      <c r="X218" s="512"/>
      <c r="Y218" s="508"/>
      <c r="Z218" s="507"/>
      <c r="AA218" s="505"/>
      <c r="AB218" s="295"/>
      <c r="AC218" s="336"/>
      <c r="AD218" s="813"/>
      <c r="AE218" s="800"/>
      <c r="AF218" s="801"/>
      <c r="AG218" s="831">
        <f t="shared" si="138"/>
        <v>0</v>
      </c>
      <c r="AH218" s="813"/>
      <c r="AI218" s="800"/>
      <c r="AJ218" s="801"/>
      <c r="AK218" s="831">
        <f t="shared" si="139"/>
        <v>0</v>
      </c>
      <c r="AL218" s="813"/>
      <c r="AM218" s="800"/>
      <c r="AN218" s="801"/>
      <c r="AO218" s="831">
        <f t="shared" si="140"/>
        <v>0</v>
      </c>
      <c r="AP218" s="1079">
        <f t="shared" si="132"/>
        <v>0</v>
      </c>
      <c r="AQ218" s="1079">
        <f t="shared" si="133"/>
        <v>0</v>
      </c>
      <c r="AR218" s="1080">
        <f t="shared" si="134"/>
        <v>0</v>
      </c>
      <c r="AS218" s="310"/>
      <c r="AT218" s="310"/>
      <c r="AU218" s="310"/>
      <c r="AV218" s="310"/>
      <c r="AW218" s="310"/>
      <c r="AX218" s="310"/>
      <c r="AY218" s="310"/>
      <c r="AZ218" s="310"/>
      <c r="BA218" s="310"/>
      <c r="BB218" s="196"/>
      <c r="BC218" s="196"/>
      <c r="BD218" s="313"/>
      <c r="BE218" s="313"/>
      <c r="BF218" s="313"/>
      <c r="BG218" s="313"/>
      <c r="BH218" s="313"/>
      <c r="BI218" s="313"/>
      <c r="BJ218" s="313"/>
      <c r="BK218" s="313"/>
      <c r="BL218" s="313"/>
      <c r="BM218" s="313"/>
      <c r="BN218" s="313"/>
      <c r="BO218" s="313"/>
      <c r="BP218" s="313"/>
      <c r="BQ218" s="313"/>
      <c r="BR218" s="313"/>
      <c r="BS218" s="313"/>
      <c r="BT218" s="313"/>
      <c r="BU218" s="313"/>
      <c r="BV218" s="313"/>
      <c r="BW218" s="313"/>
      <c r="BX218" s="313"/>
      <c r="BY218" s="313"/>
      <c r="BZ218" s="313"/>
      <c r="CA218" s="313"/>
      <c r="CB218" s="313"/>
      <c r="CC218" s="313"/>
      <c r="CD218" s="313"/>
      <c r="CE218" s="313"/>
    </row>
    <row r="219" spans="1:83" s="101" customFormat="1" ht="12.75" customHeight="1" outlineLevel="1" x14ac:dyDescent="0.2">
      <c r="A219" s="382" t="s">
        <v>997</v>
      </c>
      <c r="B219" s="106"/>
      <c r="C219" s="94">
        <v>0</v>
      </c>
      <c r="D219" s="386"/>
      <c r="E219" s="95"/>
      <c r="F219" s="389">
        <f t="shared" si="144"/>
        <v>0</v>
      </c>
      <c r="G219" s="1259"/>
      <c r="H219" s="844" t="str">
        <f t="shared" si="147"/>
        <v/>
      </c>
      <c r="I219" s="847" t="str">
        <f t="shared" si="148"/>
        <v/>
      </c>
      <c r="J219" s="751"/>
      <c r="K219" s="751"/>
      <c r="L219" s="489">
        <f t="shared" si="149"/>
        <v>0</v>
      </c>
      <c r="M219" s="489">
        <f t="shared" si="150"/>
        <v>0</v>
      </c>
      <c r="N219" s="357" t="str">
        <f t="shared" si="131"/>
        <v/>
      </c>
      <c r="O219" s="512"/>
      <c r="P219" s="506"/>
      <c r="Q219" s="507"/>
      <c r="R219" s="505"/>
      <c r="S219" s="502"/>
      <c r="T219" s="507"/>
      <c r="U219" s="505"/>
      <c r="V219" s="831">
        <f t="shared" si="145"/>
        <v>0</v>
      </c>
      <c r="W219" s="397">
        <f t="shared" si="146"/>
        <v>0</v>
      </c>
      <c r="X219" s="512"/>
      <c r="Y219" s="508"/>
      <c r="Z219" s="507"/>
      <c r="AA219" s="505"/>
      <c r="AB219" s="295"/>
      <c r="AC219" s="336"/>
      <c r="AD219" s="813"/>
      <c r="AE219" s="800"/>
      <c r="AF219" s="801"/>
      <c r="AG219" s="831">
        <f t="shared" si="138"/>
        <v>0</v>
      </c>
      <c r="AH219" s="813"/>
      <c r="AI219" s="800"/>
      <c r="AJ219" s="801"/>
      <c r="AK219" s="831">
        <f t="shared" si="139"/>
        <v>0</v>
      </c>
      <c r="AL219" s="813"/>
      <c r="AM219" s="800"/>
      <c r="AN219" s="801"/>
      <c r="AO219" s="831">
        <f t="shared" si="140"/>
        <v>0</v>
      </c>
      <c r="AP219" s="1079">
        <f t="shared" si="132"/>
        <v>0</v>
      </c>
      <c r="AQ219" s="1079">
        <f t="shared" si="133"/>
        <v>0</v>
      </c>
      <c r="AR219" s="1080">
        <f t="shared" si="134"/>
        <v>0</v>
      </c>
      <c r="AS219" s="310"/>
      <c r="AT219" s="310"/>
      <c r="AU219" s="310"/>
      <c r="AV219" s="310"/>
      <c r="AW219" s="310"/>
      <c r="AX219" s="310"/>
      <c r="AY219" s="310"/>
      <c r="AZ219" s="310"/>
      <c r="BA219" s="310"/>
      <c r="BB219" s="196"/>
      <c r="BC219" s="196"/>
      <c r="BD219" s="313"/>
      <c r="BE219" s="313"/>
      <c r="BF219" s="313"/>
      <c r="BG219" s="313"/>
      <c r="BH219" s="313"/>
      <c r="BI219" s="313"/>
      <c r="BJ219" s="313"/>
      <c r="BK219" s="313"/>
      <c r="BL219" s="313"/>
      <c r="BM219" s="313"/>
      <c r="BN219" s="313"/>
      <c r="BO219" s="313"/>
      <c r="BP219" s="313"/>
      <c r="BQ219" s="313"/>
      <c r="BR219" s="313"/>
      <c r="BS219" s="313"/>
      <c r="BT219" s="313"/>
      <c r="BU219" s="313"/>
      <c r="BV219" s="313"/>
      <c r="BW219" s="313"/>
      <c r="BX219" s="313"/>
      <c r="BY219" s="313"/>
      <c r="BZ219" s="313"/>
      <c r="CA219" s="313"/>
      <c r="CB219" s="313"/>
      <c r="CC219" s="313"/>
      <c r="CD219" s="313"/>
      <c r="CE219" s="313"/>
    </row>
    <row r="220" spans="1:83" s="101" customFormat="1" ht="12.75" customHeight="1" outlineLevel="1" x14ac:dyDescent="0.2">
      <c r="A220" s="382" t="s">
        <v>998</v>
      </c>
      <c r="B220" s="106"/>
      <c r="C220" s="94">
        <v>0</v>
      </c>
      <c r="D220" s="386"/>
      <c r="E220" s="95"/>
      <c r="F220" s="389">
        <f t="shared" si="144"/>
        <v>0</v>
      </c>
      <c r="G220" s="1259"/>
      <c r="H220" s="844" t="str">
        <f t="shared" si="147"/>
        <v/>
      </c>
      <c r="I220" s="847" t="str">
        <f t="shared" si="148"/>
        <v/>
      </c>
      <c r="J220" s="751"/>
      <c r="K220" s="751"/>
      <c r="L220" s="489">
        <f t="shared" si="149"/>
        <v>0</v>
      </c>
      <c r="M220" s="489">
        <f t="shared" si="150"/>
        <v>0</v>
      </c>
      <c r="N220" s="357" t="str">
        <f t="shared" si="131"/>
        <v/>
      </c>
      <c r="O220" s="512"/>
      <c r="P220" s="506"/>
      <c r="Q220" s="507"/>
      <c r="R220" s="505"/>
      <c r="S220" s="502"/>
      <c r="T220" s="507"/>
      <c r="U220" s="505"/>
      <c r="V220" s="831">
        <f t="shared" si="145"/>
        <v>0</v>
      </c>
      <c r="W220" s="397">
        <f t="shared" si="146"/>
        <v>0</v>
      </c>
      <c r="X220" s="512"/>
      <c r="Y220" s="508"/>
      <c r="Z220" s="507"/>
      <c r="AA220" s="505"/>
      <c r="AB220" s="295"/>
      <c r="AC220" s="336"/>
      <c r="AD220" s="813"/>
      <c r="AE220" s="800"/>
      <c r="AF220" s="801"/>
      <c r="AG220" s="831">
        <f t="shared" si="138"/>
        <v>0</v>
      </c>
      <c r="AH220" s="813"/>
      <c r="AI220" s="800"/>
      <c r="AJ220" s="801"/>
      <c r="AK220" s="831">
        <f t="shared" si="139"/>
        <v>0</v>
      </c>
      <c r="AL220" s="813"/>
      <c r="AM220" s="800"/>
      <c r="AN220" s="801"/>
      <c r="AO220" s="831">
        <f t="shared" si="140"/>
        <v>0</v>
      </c>
      <c r="AP220" s="1079">
        <f t="shared" si="132"/>
        <v>0</v>
      </c>
      <c r="AQ220" s="1079">
        <f t="shared" si="133"/>
        <v>0</v>
      </c>
      <c r="AR220" s="1080">
        <f t="shared" si="134"/>
        <v>0</v>
      </c>
      <c r="AS220" s="310"/>
      <c r="AT220" s="310"/>
      <c r="AU220" s="310"/>
      <c r="AV220" s="310"/>
      <c r="AW220" s="310"/>
      <c r="AX220" s="310"/>
      <c r="AY220" s="310"/>
      <c r="AZ220" s="310"/>
      <c r="BA220" s="310"/>
      <c r="BB220" s="196"/>
      <c r="BC220" s="196"/>
      <c r="BD220" s="313"/>
      <c r="BE220" s="313"/>
      <c r="BF220" s="313"/>
      <c r="BG220" s="313"/>
      <c r="BH220" s="313"/>
      <c r="BI220" s="313"/>
      <c r="BJ220" s="313"/>
      <c r="BK220" s="313"/>
      <c r="BL220" s="313"/>
      <c r="BM220" s="313"/>
      <c r="BN220" s="313"/>
      <c r="BO220" s="313"/>
      <c r="BP220" s="313"/>
      <c r="BQ220" s="313"/>
      <c r="BR220" s="313"/>
      <c r="BS220" s="313"/>
      <c r="BT220" s="313"/>
      <c r="BU220" s="313"/>
      <c r="BV220" s="313"/>
      <c r="BW220" s="313"/>
      <c r="BX220" s="313"/>
      <c r="BY220" s="313"/>
      <c r="BZ220" s="313"/>
      <c r="CA220" s="313"/>
      <c r="CB220" s="313"/>
      <c r="CC220" s="313"/>
      <c r="CD220" s="313"/>
      <c r="CE220" s="313"/>
    </row>
    <row r="221" spans="1:83" s="101" customFormat="1" ht="12.75" customHeight="1" outlineLevel="1" x14ac:dyDescent="0.2">
      <c r="A221" s="382" t="s">
        <v>999</v>
      </c>
      <c r="B221" s="106"/>
      <c r="C221" s="94">
        <v>0</v>
      </c>
      <c r="D221" s="386"/>
      <c r="E221" s="95"/>
      <c r="F221" s="389">
        <f t="shared" si="144"/>
        <v>0</v>
      </c>
      <c r="G221" s="1259"/>
      <c r="H221" s="844" t="str">
        <f t="shared" si="147"/>
        <v/>
      </c>
      <c r="I221" s="847" t="str">
        <f t="shared" si="148"/>
        <v/>
      </c>
      <c r="J221" s="751"/>
      <c r="K221" s="751"/>
      <c r="L221" s="489">
        <f t="shared" si="149"/>
        <v>0</v>
      </c>
      <c r="M221" s="489">
        <f t="shared" si="150"/>
        <v>0</v>
      </c>
      <c r="N221" s="357" t="str">
        <f t="shared" si="131"/>
        <v/>
      </c>
      <c r="O221" s="512"/>
      <c r="P221" s="506"/>
      <c r="Q221" s="507"/>
      <c r="R221" s="505"/>
      <c r="S221" s="502"/>
      <c r="T221" s="507"/>
      <c r="U221" s="505"/>
      <c r="V221" s="831">
        <f t="shared" si="145"/>
        <v>0</v>
      </c>
      <c r="W221" s="397">
        <f t="shared" si="146"/>
        <v>0</v>
      </c>
      <c r="X221" s="512"/>
      <c r="Y221" s="508"/>
      <c r="Z221" s="507"/>
      <c r="AA221" s="505"/>
      <c r="AB221" s="295"/>
      <c r="AC221" s="336"/>
      <c r="AD221" s="813"/>
      <c r="AE221" s="800"/>
      <c r="AF221" s="801"/>
      <c r="AG221" s="831">
        <f t="shared" si="138"/>
        <v>0</v>
      </c>
      <c r="AH221" s="813"/>
      <c r="AI221" s="800"/>
      <c r="AJ221" s="801"/>
      <c r="AK221" s="831">
        <f t="shared" si="139"/>
        <v>0</v>
      </c>
      <c r="AL221" s="813"/>
      <c r="AM221" s="800"/>
      <c r="AN221" s="801"/>
      <c r="AO221" s="831">
        <f t="shared" si="140"/>
        <v>0</v>
      </c>
      <c r="AP221" s="1079">
        <f t="shared" si="132"/>
        <v>0</v>
      </c>
      <c r="AQ221" s="1079">
        <f t="shared" si="133"/>
        <v>0</v>
      </c>
      <c r="AR221" s="1080">
        <f t="shared" si="134"/>
        <v>0</v>
      </c>
      <c r="AS221" s="310"/>
      <c r="AT221" s="310"/>
      <c r="AU221" s="310"/>
      <c r="AV221" s="310"/>
      <c r="AW221" s="310"/>
      <c r="AX221" s="310"/>
      <c r="AY221" s="310"/>
      <c r="AZ221" s="310"/>
      <c r="BA221" s="310"/>
      <c r="BB221" s="196"/>
      <c r="BC221" s="196"/>
      <c r="BD221" s="313"/>
      <c r="BE221" s="313"/>
      <c r="BF221" s="313"/>
      <c r="BG221" s="313"/>
      <c r="BH221" s="313"/>
      <c r="BI221" s="313"/>
      <c r="BJ221" s="313"/>
      <c r="BK221" s="313"/>
      <c r="BL221" s="313"/>
      <c r="BM221" s="313"/>
      <c r="BN221" s="313"/>
      <c r="BO221" s="313"/>
      <c r="BP221" s="313"/>
      <c r="BQ221" s="313"/>
      <c r="BR221" s="313"/>
      <c r="BS221" s="313"/>
      <c r="BT221" s="313"/>
      <c r="BU221" s="313"/>
      <c r="BV221" s="313"/>
      <c r="BW221" s="313"/>
      <c r="BX221" s="313"/>
      <c r="BY221" s="313"/>
      <c r="BZ221" s="313"/>
      <c r="CA221" s="313"/>
      <c r="CB221" s="313"/>
      <c r="CC221" s="313"/>
      <c r="CD221" s="313"/>
      <c r="CE221" s="313"/>
    </row>
    <row r="222" spans="1:83" s="101" customFormat="1" ht="12.75" customHeight="1" outlineLevel="1" x14ac:dyDescent="0.2">
      <c r="A222" s="382" t="s">
        <v>1000</v>
      </c>
      <c r="B222" s="106"/>
      <c r="C222" s="94">
        <v>0</v>
      </c>
      <c r="D222" s="386"/>
      <c r="E222" s="95"/>
      <c r="F222" s="389">
        <f t="shared" si="144"/>
        <v>0</v>
      </c>
      <c r="G222" s="1259"/>
      <c r="H222" s="844" t="str">
        <f t="shared" si="147"/>
        <v/>
      </c>
      <c r="I222" s="847" t="str">
        <f t="shared" si="148"/>
        <v/>
      </c>
      <c r="J222" s="751"/>
      <c r="K222" s="751"/>
      <c r="L222" s="489">
        <f t="shared" si="149"/>
        <v>0</v>
      </c>
      <c r="M222" s="489">
        <f t="shared" si="150"/>
        <v>0</v>
      </c>
      <c r="N222" s="357" t="str">
        <f t="shared" si="131"/>
        <v/>
      </c>
      <c r="O222" s="512"/>
      <c r="P222" s="506"/>
      <c r="Q222" s="507"/>
      <c r="R222" s="505"/>
      <c r="S222" s="502"/>
      <c r="T222" s="507"/>
      <c r="U222" s="505"/>
      <c r="V222" s="831">
        <f t="shared" si="145"/>
        <v>0</v>
      </c>
      <c r="W222" s="397">
        <f t="shared" si="146"/>
        <v>0</v>
      </c>
      <c r="X222" s="512"/>
      <c r="Y222" s="508"/>
      <c r="Z222" s="507"/>
      <c r="AA222" s="505"/>
      <c r="AB222" s="295"/>
      <c r="AC222" s="336"/>
      <c r="AD222" s="813"/>
      <c r="AE222" s="800"/>
      <c r="AF222" s="801"/>
      <c r="AG222" s="831">
        <f t="shared" si="138"/>
        <v>0</v>
      </c>
      <c r="AH222" s="813"/>
      <c r="AI222" s="800"/>
      <c r="AJ222" s="801"/>
      <c r="AK222" s="831">
        <f t="shared" si="139"/>
        <v>0</v>
      </c>
      <c r="AL222" s="813"/>
      <c r="AM222" s="800"/>
      <c r="AN222" s="801"/>
      <c r="AO222" s="831">
        <f t="shared" si="140"/>
        <v>0</v>
      </c>
      <c r="AP222" s="1079">
        <f t="shared" si="132"/>
        <v>0</v>
      </c>
      <c r="AQ222" s="1079">
        <f t="shared" si="133"/>
        <v>0</v>
      </c>
      <c r="AR222" s="1080">
        <f t="shared" si="134"/>
        <v>0</v>
      </c>
      <c r="AS222" s="310"/>
      <c r="AT222" s="310"/>
      <c r="AU222" s="310"/>
      <c r="AV222" s="310"/>
      <c r="AW222" s="310"/>
      <c r="AX222" s="310"/>
      <c r="AY222" s="310"/>
      <c r="AZ222" s="310"/>
      <c r="BA222" s="310"/>
      <c r="BB222" s="196"/>
      <c r="BC222" s="196"/>
      <c r="BD222" s="313"/>
      <c r="BE222" s="313"/>
      <c r="BF222" s="313"/>
      <c r="BG222" s="313"/>
      <c r="BH222" s="313"/>
      <c r="BI222" s="313"/>
      <c r="BJ222" s="313"/>
      <c r="BK222" s="313"/>
      <c r="BL222" s="313"/>
      <c r="BM222" s="313"/>
      <c r="BN222" s="313"/>
      <c r="BO222" s="313"/>
      <c r="BP222" s="313"/>
      <c r="BQ222" s="313"/>
      <c r="BR222" s="313"/>
      <c r="BS222" s="313"/>
      <c r="BT222" s="313"/>
      <c r="BU222" s="313"/>
      <c r="BV222" s="313"/>
      <c r="BW222" s="313"/>
      <c r="BX222" s="313"/>
      <c r="BY222" s="313"/>
      <c r="BZ222" s="313"/>
      <c r="CA222" s="313"/>
      <c r="CB222" s="313"/>
      <c r="CC222" s="313"/>
      <c r="CD222" s="313"/>
      <c r="CE222" s="313"/>
    </row>
    <row r="223" spans="1:83" s="101" customFormat="1" ht="12.75" customHeight="1" outlineLevel="1" x14ac:dyDescent="0.2">
      <c r="A223" s="382" t="s">
        <v>1001</v>
      </c>
      <c r="B223" s="106"/>
      <c r="C223" s="94">
        <v>0</v>
      </c>
      <c r="D223" s="386"/>
      <c r="E223" s="95"/>
      <c r="F223" s="389">
        <f t="shared" si="144"/>
        <v>0</v>
      </c>
      <c r="G223" s="1259"/>
      <c r="H223" s="844" t="str">
        <f t="shared" si="147"/>
        <v/>
      </c>
      <c r="I223" s="847" t="str">
        <f t="shared" si="148"/>
        <v/>
      </c>
      <c r="J223" s="751"/>
      <c r="K223" s="751"/>
      <c r="L223" s="489">
        <f t="shared" si="149"/>
        <v>0</v>
      </c>
      <c r="M223" s="489">
        <f t="shared" si="150"/>
        <v>0</v>
      </c>
      <c r="N223" s="357" t="str">
        <f t="shared" si="131"/>
        <v/>
      </c>
      <c r="O223" s="512"/>
      <c r="P223" s="506"/>
      <c r="Q223" s="507"/>
      <c r="R223" s="505"/>
      <c r="S223" s="502"/>
      <c r="T223" s="507"/>
      <c r="U223" s="505"/>
      <c r="V223" s="831">
        <f t="shared" si="145"/>
        <v>0</v>
      </c>
      <c r="W223" s="397">
        <f t="shared" si="146"/>
        <v>0</v>
      </c>
      <c r="X223" s="512"/>
      <c r="Y223" s="508"/>
      <c r="Z223" s="507"/>
      <c r="AA223" s="505"/>
      <c r="AB223" s="295"/>
      <c r="AC223" s="336"/>
      <c r="AD223" s="813"/>
      <c r="AE223" s="800"/>
      <c r="AF223" s="801"/>
      <c r="AG223" s="831">
        <f t="shared" si="138"/>
        <v>0</v>
      </c>
      <c r="AH223" s="813"/>
      <c r="AI223" s="800"/>
      <c r="AJ223" s="801"/>
      <c r="AK223" s="831">
        <f t="shared" si="139"/>
        <v>0</v>
      </c>
      <c r="AL223" s="813"/>
      <c r="AM223" s="800"/>
      <c r="AN223" s="801"/>
      <c r="AO223" s="831">
        <f t="shared" si="140"/>
        <v>0</v>
      </c>
      <c r="AP223" s="1079">
        <f t="shared" si="132"/>
        <v>0</v>
      </c>
      <c r="AQ223" s="1079">
        <f t="shared" si="133"/>
        <v>0</v>
      </c>
      <c r="AR223" s="1080">
        <f t="shared" si="134"/>
        <v>0</v>
      </c>
      <c r="AS223" s="310"/>
      <c r="AT223" s="310"/>
      <c r="AU223" s="310"/>
      <c r="AV223" s="310"/>
      <c r="AW223" s="310"/>
      <c r="AX223" s="310"/>
      <c r="AY223" s="310"/>
      <c r="AZ223" s="310"/>
      <c r="BA223" s="310"/>
      <c r="BB223" s="196"/>
      <c r="BC223" s="196"/>
      <c r="BD223" s="313"/>
      <c r="BE223" s="313"/>
      <c r="BF223" s="313"/>
      <c r="BG223" s="313"/>
      <c r="BH223" s="313"/>
      <c r="BI223" s="313"/>
      <c r="BJ223" s="313"/>
      <c r="BK223" s="313"/>
      <c r="BL223" s="313"/>
      <c r="BM223" s="313"/>
      <c r="BN223" s="313"/>
      <c r="BO223" s="313"/>
      <c r="BP223" s="313"/>
      <c r="BQ223" s="313"/>
      <c r="BR223" s="313"/>
      <c r="BS223" s="313"/>
      <c r="BT223" s="313"/>
      <c r="BU223" s="313"/>
      <c r="BV223" s="313"/>
      <c r="BW223" s="313"/>
      <c r="BX223" s="313"/>
      <c r="BY223" s="313"/>
      <c r="BZ223" s="313"/>
      <c r="CA223" s="313"/>
      <c r="CB223" s="313"/>
      <c r="CC223" s="313"/>
      <c r="CD223" s="313"/>
      <c r="CE223" s="313"/>
    </row>
    <row r="224" spans="1:83" s="101" customFormat="1" ht="12.75" customHeight="1" outlineLevel="1" x14ac:dyDescent="0.2">
      <c r="A224" s="382" t="s">
        <v>1002</v>
      </c>
      <c r="B224" s="106"/>
      <c r="C224" s="94">
        <v>0</v>
      </c>
      <c r="D224" s="386"/>
      <c r="E224" s="95"/>
      <c r="F224" s="389">
        <f t="shared" si="144"/>
        <v>0</v>
      </c>
      <c r="G224" s="1259"/>
      <c r="H224" s="844" t="str">
        <f t="shared" si="147"/>
        <v/>
      </c>
      <c r="I224" s="847" t="str">
        <f t="shared" si="148"/>
        <v/>
      </c>
      <c r="J224" s="751"/>
      <c r="K224" s="751"/>
      <c r="L224" s="489">
        <f t="shared" si="149"/>
        <v>0</v>
      </c>
      <c r="M224" s="489">
        <f t="shared" si="150"/>
        <v>0</v>
      </c>
      <c r="N224" s="357" t="str">
        <f t="shared" si="131"/>
        <v/>
      </c>
      <c r="O224" s="512"/>
      <c r="P224" s="506"/>
      <c r="Q224" s="507"/>
      <c r="R224" s="505"/>
      <c r="S224" s="502"/>
      <c r="T224" s="507"/>
      <c r="U224" s="505"/>
      <c r="V224" s="831">
        <f t="shared" si="145"/>
        <v>0</v>
      </c>
      <c r="W224" s="397">
        <f t="shared" si="146"/>
        <v>0</v>
      </c>
      <c r="X224" s="512"/>
      <c r="Y224" s="508"/>
      <c r="Z224" s="507"/>
      <c r="AA224" s="505"/>
      <c r="AB224" s="295"/>
      <c r="AC224" s="336"/>
      <c r="AD224" s="813"/>
      <c r="AE224" s="800"/>
      <c r="AF224" s="801"/>
      <c r="AG224" s="831">
        <f t="shared" si="138"/>
        <v>0</v>
      </c>
      <c r="AH224" s="813"/>
      <c r="AI224" s="800"/>
      <c r="AJ224" s="801"/>
      <c r="AK224" s="831">
        <f t="shared" si="139"/>
        <v>0</v>
      </c>
      <c r="AL224" s="813"/>
      <c r="AM224" s="800"/>
      <c r="AN224" s="801"/>
      <c r="AO224" s="831">
        <f t="shared" si="140"/>
        <v>0</v>
      </c>
      <c r="AP224" s="1079">
        <f t="shared" si="132"/>
        <v>0</v>
      </c>
      <c r="AQ224" s="1079">
        <f t="shared" si="133"/>
        <v>0</v>
      </c>
      <c r="AR224" s="1080">
        <f t="shared" si="134"/>
        <v>0</v>
      </c>
      <c r="AS224" s="310"/>
      <c r="AT224" s="310"/>
      <c r="AU224" s="310"/>
      <c r="AV224" s="310"/>
      <c r="AW224" s="310"/>
      <c r="AX224" s="310"/>
      <c r="AY224" s="310"/>
      <c r="AZ224" s="310"/>
      <c r="BA224" s="310"/>
      <c r="BB224" s="196"/>
      <c r="BC224" s="196"/>
      <c r="BD224" s="313"/>
      <c r="BE224" s="313"/>
      <c r="BF224" s="313"/>
      <c r="BG224" s="313"/>
      <c r="BH224" s="313"/>
      <c r="BI224" s="313"/>
      <c r="BJ224" s="313"/>
      <c r="BK224" s="313"/>
      <c r="BL224" s="313"/>
      <c r="BM224" s="313"/>
      <c r="BN224" s="313"/>
      <c r="BO224" s="313"/>
      <c r="BP224" s="313"/>
      <c r="BQ224" s="313"/>
      <c r="BR224" s="313"/>
      <c r="BS224" s="313"/>
      <c r="BT224" s="313"/>
      <c r="BU224" s="313"/>
      <c r="BV224" s="313"/>
      <c r="BW224" s="313"/>
      <c r="BX224" s="313"/>
      <c r="BY224" s="313"/>
      <c r="BZ224" s="313"/>
      <c r="CA224" s="313"/>
      <c r="CB224" s="313"/>
      <c r="CC224" s="313"/>
      <c r="CD224" s="313"/>
      <c r="CE224" s="313"/>
    </row>
    <row r="225" spans="1:83" s="101" customFormat="1" ht="12.75" customHeight="1" outlineLevel="1" x14ac:dyDescent="0.2">
      <c r="A225" s="382" t="s">
        <v>1003</v>
      </c>
      <c r="B225" s="106"/>
      <c r="C225" s="94">
        <v>0</v>
      </c>
      <c r="D225" s="386"/>
      <c r="E225" s="95"/>
      <c r="F225" s="389">
        <f t="shared" si="144"/>
        <v>0</v>
      </c>
      <c r="G225" s="1259"/>
      <c r="H225" s="844" t="str">
        <f t="shared" si="147"/>
        <v/>
      </c>
      <c r="I225" s="847" t="str">
        <f t="shared" si="148"/>
        <v/>
      </c>
      <c r="J225" s="751"/>
      <c r="K225" s="751"/>
      <c r="L225" s="489">
        <f t="shared" si="149"/>
        <v>0</v>
      </c>
      <c r="M225" s="489">
        <f t="shared" si="150"/>
        <v>0</v>
      </c>
      <c r="N225" s="357" t="str">
        <f t="shared" si="131"/>
        <v/>
      </c>
      <c r="O225" s="512"/>
      <c r="P225" s="506"/>
      <c r="Q225" s="507"/>
      <c r="R225" s="505"/>
      <c r="S225" s="502"/>
      <c r="T225" s="507"/>
      <c r="U225" s="505"/>
      <c r="V225" s="831">
        <f t="shared" si="145"/>
        <v>0</v>
      </c>
      <c r="W225" s="397">
        <f t="shared" si="146"/>
        <v>0</v>
      </c>
      <c r="X225" s="512"/>
      <c r="Y225" s="508"/>
      <c r="Z225" s="507"/>
      <c r="AA225" s="505"/>
      <c r="AB225" s="295"/>
      <c r="AC225" s="336"/>
      <c r="AD225" s="813"/>
      <c r="AE225" s="800"/>
      <c r="AF225" s="801"/>
      <c r="AG225" s="831">
        <f t="shared" si="138"/>
        <v>0</v>
      </c>
      <c r="AH225" s="813"/>
      <c r="AI225" s="800"/>
      <c r="AJ225" s="801"/>
      <c r="AK225" s="831">
        <f t="shared" si="139"/>
        <v>0</v>
      </c>
      <c r="AL225" s="813"/>
      <c r="AM225" s="800"/>
      <c r="AN225" s="801"/>
      <c r="AO225" s="831">
        <f t="shared" si="140"/>
        <v>0</v>
      </c>
      <c r="AP225" s="1079">
        <f t="shared" si="132"/>
        <v>0</v>
      </c>
      <c r="AQ225" s="1079">
        <f t="shared" si="133"/>
        <v>0</v>
      </c>
      <c r="AR225" s="1080">
        <f t="shared" si="134"/>
        <v>0</v>
      </c>
      <c r="AS225" s="310"/>
      <c r="AT225" s="310"/>
      <c r="AU225" s="310"/>
      <c r="AV225" s="310"/>
      <c r="AW225" s="310"/>
      <c r="AX225" s="310"/>
      <c r="AY225" s="310"/>
      <c r="AZ225" s="310"/>
      <c r="BA225" s="310"/>
      <c r="BB225" s="196"/>
      <c r="BC225" s="196"/>
      <c r="BD225" s="313"/>
      <c r="BE225" s="313"/>
      <c r="BF225" s="313"/>
      <c r="BG225" s="313"/>
      <c r="BH225" s="313"/>
      <c r="BI225" s="313"/>
      <c r="BJ225" s="313"/>
      <c r="BK225" s="313"/>
      <c r="BL225" s="313"/>
      <c r="BM225" s="313"/>
      <c r="BN225" s="313"/>
      <c r="BO225" s="313"/>
      <c r="BP225" s="313"/>
      <c r="BQ225" s="313"/>
      <c r="BR225" s="313"/>
      <c r="BS225" s="313"/>
      <c r="BT225" s="313"/>
      <c r="BU225" s="313"/>
      <c r="BV225" s="313"/>
      <c r="BW225" s="313"/>
      <c r="BX225" s="313"/>
      <c r="BY225" s="313"/>
      <c r="BZ225" s="313"/>
      <c r="CA225" s="313"/>
      <c r="CB225" s="313"/>
      <c r="CC225" s="313"/>
      <c r="CD225" s="313"/>
      <c r="CE225" s="313"/>
    </row>
    <row r="226" spans="1:83" s="101" customFormat="1" ht="12.75" customHeight="1" outlineLevel="1" x14ac:dyDescent="0.2">
      <c r="A226" s="382" t="s">
        <v>1004</v>
      </c>
      <c r="B226" s="106"/>
      <c r="C226" s="94">
        <v>0</v>
      </c>
      <c r="D226" s="386"/>
      <c r="E226" s="95"/>
      <c r="F226" s="389">
        <f t="shared" si="144"/>
        <v>0</v>
      </c>
      <c r="G226" s="1259"/>
      <c r="H226" s="844" t="str">
        <f t="shared" si="147"/>
        <v/>
      </c>
      <c r="I226" s="847" t="str">
        <f t="shared" si="148"/>
        <v/>
      </c>
      <c r="J226" s="751"/>
      <c r="K226" s="751"/>
      <c r="L226" s="489">
        <f t="shared" si="149"/>
        <v>0</v>
      </c>
      <c r="M226" s="489">
        <f t="shared" si="150"/>
        <v>0</v>
      </c>
      <c r="N226" s="357" t="str">
        <f t="shared" si="131"/>
        <v/>
      </c>
      <c r="O226" s="512"/>
      <c r="P226" s="506"/>
      <c r="Q226" s="507"/>
      <c r="R226" s="505"/>
      <c r="S226" s="502"/>
      <c r="T226" s="507"/>
      <c r="U226" s="505"/>
      <c r="V226" s="831">
        <f t="shared" si="145"/>
        <v>0</v>
      </c>
      <c r="W226" s="397">
        <f t="shared" si="146"/>
        <v>0</v>
      </c>
      <c r="X226" s="512"/>
      <c r="Y226" s="508"/>
      <c r="Z226" s="507"/>
      <c r="AA226" s="505"/>
      <c r="AB226" s="295"/>
      <c r="AC226" s="336"/>
      <c r="AD226" s="813"/>
      <c r="AE226" s="800"/>
      <c r="AF226" s="801"/>
      <c r="AG226" s="831">
        <f t="shared" si="138"/>
        <v>0</v>
      </c>
      <c r="AH226" s="813"/>
      <c r="AI226" s="800"/>
      <c r="AJ226" s="801"/>
      <c r="AK226" s="831">
        <f t="shared" si="139"/>
        <v>0</v>
      </c>
      <c r="AL226" s="813"/>
      <c r="AM226" s="800"/>
      <c r="AN226" s="801"/>
      <c r="AO226" s="831">
        <f t="shared" si="140"/>
        <v>0</v>
      </c>
      <c r="AP226" s="1079">
        <f t="shared" si="132"/>
        <v>0</v>
      </c>
      <c r="AQ226" s="1079">
        <f t="shared" si="133"/>
        <v>0</v>
      </c>
      <c r="AR226" s="1080">
        <f t="shared" si="134"/>
        <v>0</v>
      </c>
      <c r="AS226" s="310"/>
      <c r="AT226" s="310"/>
      <c r="AU226" s="310"/>
      <c r="AV226" s="310"/>
      <c r="AW226" s="310"/>
      <c r="AX226" s="310"/>
      <c r="AY226" s="310"/>
      <c r="AZ226" s="310"/>
      <c r="BA226" s="310"/>
      <c r="BB226" s="196"/>
      <c r="BC226" s="196"/>
      <c r="BD226" s="313"/>
      <c r="BE226" s="313"/>
      <c r="BF226" s="313"/>
      <c r="BG226" s="313"/>
      <c r="BH226" s="313"/>
      <c r="BI226" s="313"/>
      <c r="BJ226" s="313"/>
      <c r="BK226" s="313"/>
      <c r="BL226" s="313"/>
      <c r="BM226" s="313"/>
      <c r="BN226" s="313"/>
      <c r="BO226" s="313"/>
      <c r="BP226" s="313"/>
      <c r="BQ226" s="313"/>
      <c r="BR226" s="313"/>
      <c r="BS226" s="313"/>
      <c r="BT226" s="313"/>
      <c r="BU226" s="313"/>
      <c r="BV226" s="313"/>
      <c r="BW226" s="313"/>
      <c r="BX226" s="313"/>
      <c r="BY226" s="313"/>
      <c r="BZ226" s="313"/>
      <c r="CA226" s="313"/>
      <c r="CB226" s="313"/>
      <c r="CC226" s="313"/>
      <c r="CD226" s="313"/>
      <c r="CE226" s="313"/>
    </row>
    <row r="227" spans="1:83" s="101" customFormat="1" ht="12.75" customHeight="1" outlineLevel="1" x14ac:dyDescent="0.2">
      <c r="A227" s="382" t="s">
        <v>1005</v>
      </c>
      <c r="B227" s="106"/>
      <c r="C227" s="94">
        <v>0</v>
      </c>
      <c r="D227" s="386"/>
      <c r="E227" s="95"/>
      <c r="F227" s="389">
        <f t="shared" si="144"/>
        <v>0</v>
      </c>
      <c r="G227" s="1259"/>
      <c r="H227" s="844" t="str">
        <f t="shared" si="147"/>
        <v/>
      </c>
      <c r="I227" s="847" t="str">
        <f t="shared" si="148"/>
        <v/>
      </c>
      <c r="J227" s="751"/>
      <c r="K227" s="751"/>
      <c r="L227" s="489">
        <f t="shared" si="149"/>
        <v>0</v>
      </c>
      <c r="M227" s="489">
        <f t="shared" si="150"/>
        <v>0</v>
      </c>
      <c r="N227" s="357" t="str">
        <f t="shared" si="131"/>
        <v/>
      </c>
      <c r="O227" s="512"/>
      <c r="P227" s="506"/>
      <c r="Q227" s="507"/>
      <c r="R227" s="505"/>
      <c r="S227" s="502"/>
      <c r="T227" s="507"/>
      <c r="U227" s="505"/>
      <c r="V227" s="831">
        <f t="shared" si="145"/>
        <v>0</v>
      </c>
      <c r="W227" s="397">
        <f t="shared" si="146"/>
        <v>0</v>
      </c>
      <c r="X227" s="512"/>
      <c r="Y227" s="508"/>
      <c r="Z227" s="507"/>
      <c r="AA227" s="505"/>
      <c r="AB227" s="295"/>
      <c r="AC227" s="336"/>
      <c r="AD227" s="813"/>
      <c r="AE227" s="800"/>
      <c r="AF227" s="801"/>
      <c r="AG227" s="831">
        <f t="shared" si="138"/>
        <v>0</v>
      </c>
      <c r="AH227" s="813"/>
      <c r="AI227" s="800"/>
      <c r="AJ227" s="801"/>
      <c r="AK227" s="831">
        <f t="shared" si="139"/>
        <v>0</v>
      </c>
      <c r="AL227" s="813"/>
      <c r="AM227" s="800"/>
      <c r="AN227" s="801"/>
      <c r="AO227" s="831">
        <f t="shared" si="140"/>
        <v>0</v>
      </c>
      <c r="AP227" s="1079">
        <f t="shared" si="132"/>
        <v>0</v>
      </c>
      <c r="AQ227" s="1079">
        <f t="shared" si="133"/>
        <v>0</v>
      </c>
      <c r="AR227" s="1080">
        <f t="shared" si="134"/>
        <v>0</v>
      </c>
      <c r="AS227" s="310"/>
      <c r="AT227" s="310"/>
      <c r="AU227" s="310"/>
      <c r="AV227" s="310"/>
      <c r="AW227" s="310"/>
      <c r="AX227" s="310"/>
      <c r="AY227" s="310"/>
      <c r="AZ227" s="310"/>
      <c r="BA227" s="310"/>
      <c r="BB227" s="196"/>
      <c r="BC227" s="196"/>
      <c r="BD227" s="313"/>
      <c r="BE227" s="313"/>
      <c r="BF227" s="313"/>
      <c r="BG227" s="313"/>
      <c r="BH227" s="313"/>
      <c r="BI227" s="313"/>
      <c r="BJ227" s="313"/>
      <c r="BK227" s="313"/>
      <c r="BL227" s="313"/>
      <c r="BM227" s="313"/>
      <c r="BN227" s="313"/>
      <c r="BO227" s="313"/>
      <c r="BP227" s="313"/>
      <c r="BQ227" s="313"/>
      <c r="BR227" s="313"/>
      <c r="BS227" s="313"/>
      <c r="BT227" s="313"/>
      <c r="BU227" s="313"/>
      <c r="BV227" s="313"/>
      <c r="BW227" s="313"/>
      <c r="BX227" s="313"/>
      <c r="BY227" s="313"/>
      <c r="BZ227" s="313"/>
      <c r="CA227" s="313"/>
      <c r="CB227" s="313"/>
      <c r="CC227" s="313"/>
      <c r="CD227" s="313"/>
      <c r="CE227" s="313"/>
    </row>
    <row r="228" spans="1:83" s="101" customFormat="1" ht="12.75" customHeight="1" outlineLevel="1" x14ac:dyDescent="0.2">
      <c r="A228" s="382" t="s">
        <v>1006</v>
      </c>
      <c r="B228" s="106"/>
      <c r="C228" s="94">
        <v>0</v>
      </c>
      <c r="D228" s="386"/>
      <c r="E228" s="95"/>
      <c r="F228" s="389">
        <f t="shared" si="144"/>
        <v>0</v>
      </c>
      <c r="G228" s="1259"/>
      <c r="H228" s="844" t="str">
        <f t="shared" si="147"/>
        <v/>
      </c>
      <c r="I228" s="847" t="str">
        <f t="shared" si="148"/>
        <v/>
      </c>
      <c r="J228" s="751"/>
      <c r="K228" s="751"/>
      <c r="L228" s="489">
        <f t="shared" si="149"/>
        <v>0</v>
      </c>
      <c r="M228" s="489">
        <f t="shared" si="150"/>
        <v>0</v>
      </c>
      <c r="N228" s="357" t="str">
        <f t="shared" si="131"/>
        <v/>
      </c>
      <c r="O228" s="512"/>
      <c r="P228" s="506"/>
      <c r="Q228" s="507"/>
      <c r="R228" s="505"/>
      <c r="S228" s="502"/>
      <c r="T228" s="507"/>
      <c r="U228" s="505"/>
      <c r="V228" s="831">
        <f t="shared" si="145"/>
        <v>0</v>
      </c>
      <c r="W228" s="397">
        <f t="shared" si="146"/>
        <v>0</v>
      </c>
      <c r="X228" s="512"/>
      <c r="Y228" s="508"/>
      <c r="Z228" s="507"/>
      <c r="AA228" s="505"/>
      <c r="AB228" s="295"/>
      <c r="AC228" s="336"/>
      <c r="AD228" s="813"/>
      <c r="AE228" s="800"/>
      <c r="AF228" s="801"/>
      <c r="AG228" s="831">
        <f t="shared" si="138"/>
        <v>0</v>
      </c>
      <c r="AH228" s="813"/>
      <c r="AI228" s="800"/>
      <c r="AJ228" s="801"/>
      <c r="AK228" s="831">
        <f t="shared" si="139"/>
        <v>0</v>
      </c>
      <c r="AL228" s="813"/>
      <c r="AM228" s="800"/>
      <c r="AN228" s="801"/>
      <c r="AO228" s="831">
        <f t="shared" si="140"/>
        <v>0</v>
      </c>
      <c r="AP228" s="1079">
        <f t="shared" si="132"/>
        <v>0</v>
      </c>
      <c r="AQ228" s="1079">
        <f t="shared" si="133"/>
        <v>0</v>
      </c>
      <c r="AR228" s="1080">
        <f t="shared" si="134"/>
        <v>0</v>
      </c>
      <c r="AS228" s="310"/>
      <c r="AT228" s="310"/>
      <c r="AU228" s="310"/>
      <c r="AV228" s="310"/>
      <c r="AW228" s="310"/>
      <c r="AX228" s="310"/>
      <c r="AY228" s="310"/>
      <c r="AZ228" s="310"/>
      <c r="BA228" s="310"/>
      <c r="BB228" s="196"/>
      <c r="BC228" s="196"/>
      <c r="BD228" s="313"/>
      <c r="BE228" s="313"/>
      <c r="BF228" s="313"/>
      <c r="BG228" s="313"/>
      <c r="BH228" s="313"/>
      <c r="BI228" s="313"/>
      <c r="BJ228" s="313"/>
      <c r="BK228" s="313"/>
      <c r="BL228" s="313"/>
      <c r="BM228" s="313"/>
      <c r="BN228" s="313"/>
      <c r="BO228" s="313"/>
      <c r="BP228" s="313"/>
      <c r="BQ228" s="313"/>
      <c r="BR228" s="313"/>
      <c r="BS228" s="313"/>
      <c r="BT228" s="313"/>
      <c r="BU228" s="313"/>
      <c r="BV228" s="313"/>
      <c r="BW228" s="313"/>
      <c r="BX228" s="313"/>
      <c r="BY228" s="313"/>
      <c r="BZ228" s="313"/>
      <c r="CA228" s="313"/>
      <c r="CB228" s="313"/>
      <c r="CC228" s="313"/>
      <c r="CD228" s="313"/>
      <c r="CE228" s="313"/>
    </row>
    <row r="229" spans="1:83" s="101" customFormat="1" ht="12.75" customHeight="1" outlineLevel="1" x14ac:dyDescent="0.2">
      <c r="A229" s="382" t="s">
        <v>1007</v>
      </c>
      <c r="B229" s="106"/>
      <c r="C229" s="94">
        <v>0</v>
      </c>
      <c r="D229" s="386"/>
      <c r="E229" s="95"/>
      <c r="F229" s="389">
        <f t="shared" si="144"/>
        <v>0</v>
      </c>
      <c r="G229" s="1259"/>
      <c r="H229" s="844" t="str">
        <f t="shared" si="147"/>
        <v/>
      </c>
      <c r="I229" s="847" t="str">
        <f t="shared" si="148"/>
        <v/>
      </c>
      <c r="J229" s="751"/>
      <c r="K229" s="751"/>
      <c r="L229" s="489">
        <f t="shared" si="149"/>
        <v>0</v>
      </c>
      <c r="M229" s="489">
        <f t="shared" si="150"/>
        <v>0</v>
      </c>
      <c r="N229" s="357" t="str">
        <f t="shared" si="131"/>
        <v/>
      </c>
      <c r="O229" s="512"/>
      <c r="P229" s="506"/>
      <c r="Q229" s="507"/>
      <c r="R229" s="505"/>
      <c r="S229" s="502"/>
      <c r="T229" s="507"/>
      <c r="U229" s="505"/>
      <c r="V229" s="831">
        <f t="shared" si="145"/>
        <v>0</v>
      </c>
      <c r="W229" s="397">
        <f t="shared" si="146"/>
        <v>0</v>
      </c>
      <c r="X229" s="512"/>
      <c r="Y229" s="508"/>
      <c r="Z229" s="507"/>
      <c r="AA229" s="505"/>
      <c r="AB229" s="295"/>
      <c r="AC229" s="336"/>
      <c r="AD229" s="813"/>
      <c r="AE229" s="800"/>
      <c r="AF229" s="801"/>
      <c r="AG229" s="831">
        <f t="shared" si="138"/>
        <v>0</v>
      </c>
      <c r="AH229" s="813"/>
      <c r="AI229" s="800"/>
      <c r="AJ229" s="801"/>
      <c r="AK229" s="831">
        <f t="shared" si="139"/>
        <v>0</v>
      </c>
      <c r="AL229" s="813"/>
      <c r="AM229" s="800"/>
      <c r="AN229" s="801"/>
      <c r="AO229" s="831">
        <f t="shared" si="140"/>
        <v>0</v>
      </c>
      <c r="AP229" s="1079">
        <f t="shared" si="132"/>
        <v>0</v>
      </c>
      <c r="AQ229" s="1079">
        <f t="shared" si="133"/>
        <v>0</v>
      </c>
      <c r="AR229" s="1080">
        <f t="shared" si="134"/>
        <v>0</v>
      </c>
      <c r="AS229" s="310"/>
      <c r="AT229" s="310"/>
      <c r="AU229" s="310"/>
      <c r="AV229" s="310"/>
      <c r="AW229" s="310"/>
      <c r="AX229" s="310"/>
      <c r="AY229" s="310"/>
      <c r="AZ229" s="310"/>
      <c r="BA229" s="310"/>
      <c r="BB229" s="196"/>
      <c r="BC229" s="196"/>
      <c r="BD229" s="313"/>
      <c r="BE229" s="313"/>
      <c r="BF229" s="313"/>
      <c r="BG229" s="313"/>
      <c r="BH229" s="313"/>
      <c r="BI229" s="313"/>
      <c r="BJ229" s="313"/>
      <c r="BK229" s="313"/>
      <c r="BL229" s="313"/>
      <c r="BM229" s="313"/>
      <c r="BN229" s="313"/>
      <c r="BO229" s="313"/>
      <c r="BP229" s="313"/>
      <c r="BQ229" s="313"/>
      <c r="BR229" s="313"/>
      <c r="BS229" s="313"/>
      <c r="BT229" s="313"/>
      <c r="BU229" s="313"/>
      <c r="BV229" s="313"/>
      <c r="BW229" s="313"/>
      <c r="BX229" s="313"/>
      <c r="BY229" s="313"/>
      <c r="BZ229" s="313"/>
      <c r="CA229" s="313"/>
      <c r="CB229" s="313"/>
      <c r="CC229" s="313"/>
      <c r="CD229" s="313"/>
      <c r="CE229" s="313"/>
    </row>
    <row r="230" spans="1:83" s="101" customFormat="1" ht="12.75" customHeight="1" outlineLevel="1" x14ac:dyDescent="0.2">
      <c r="A230" s="382" t="s">
        <v>1008</v>
      </c>
      <c r="B230" s="106"/>
      <c r="C230" s="94">
        <v>0</v>
      </c>
      <c r="D230" s="386"/>
      <c r="E230" s="95"/>
      <c r="F230" s="389">
        <f t="shared" si="144"/>
        <v>0</v>
      </c>
      <c r="G230" s="1259"/>
      <c r="H230" s="844" t="str">
        <f t="shared" si="147"/>
        <v/>
      </c>
      <c r="I230" s="847" t="str">
        <f t="shared" si="148"/>
        <v/>
      </c>
      <c r="J230" s="751"/>
      <c r="K230" s="751"/>
      <c r="L230" s="489">
        <f t="shared" si="149"/>
        <v>0</v>
      </c>
      <c r="M230" s="489">
        <f t="shared" si="150"/>
        <v>0</v>
      </c>
      <c r="N230" s="357" t="str">
        <f t="shared" si="131"/>
        <v/>
      </c>
      <c r="O230" s="512"/>
      <c r="P230" s="506"/>
      <c r="Q230" s="507"/>
      <c r="R230" s="505"/>
      <c r="S230" s="502"/>
      <c r="T230" s="507"/>
      <c r="U230" s="505"/>
      <c r="V230" s="831">
        <f t="shared" si="145"/>
        <v>0</v>
      </c>
      <c r="W230" s="397">
        <f t="shared" si="146"/>
        <v>0</v>
      </c>
      <c r="X230" s="512"/>
      <c r="Y230" s="508"/>
      <c r="Z230" s="507"/>
      <c r="AA230" s="505"/>
      <c r="AB230" s="295"/>
      <c r="AC230" s="336"/>
      <c r="AD230" s="813"/>
      <c r="AE230" s="800"/>
      <c r="AF230" s="801"/>
      <c r="AG230" s="831">
        <f t="shared" si="138"/>
        <v>0</v>
      </c>
      <c r="AH230" s="813"/>
      <c r="AI230" s="800"/>
      <c r="AJ230" s="801"/>
      <c r="AK230" s="831">
        <f t="shared" si="139"/>
        <v>0</v>
      </c>
      <c r="AL230" s="813"/>
      <c r="AM230" s="800"/>
      <c r="AN230" s="801"/>
      <c r="AO230" s="831">
        <f t="shared" si="140"/>
        <v>0</v>
      </c>
      <c r="AP230" s="1079">
        <f t="shared" si="132"/>
        <v>0</v>
      </c>
      <c r="AQ230" s="1079">
        <f t="shared" si="133"/>
        <v>0</v>
      </c>
      <c r="AR230" s="1080">
        <f t="shared" si="134"/>
        <v>0</v>
      </c>
      <c r="AS230" s="310"/>
      <c r="AT230" s="310"/>
      <c r="AU230" s="310"/>
      <c r="AV230" s="310"/>
      <c r="AW230" s="310"/>
      <c r="AX230" s="310"/>
      <c r="AY230" s="310"/>
      <c r="AZ230" s="310"/>
      <c r="BA230" s="310"/>
      <c r="BB230" s="196"/>
      <c r="BC230" s="196"/>
      <c r="BD230" s="313"/>
      <c r="BE230" s="313"/>
      <c r="BF230" s="313"/>
      <c r="BG230" s="313"/>
      <c r="BH230" s="313"/>
      <c r="BI230" s="313"/>
      <c r="BJ230" s="313"/>
      <c r="BK230" s="313"/>
      <c r="BL230" s="313"/>
      <c r="BM230" s="313"/>
      <c r="BN230" s="313"/>
      <c r="BO230" s="313"/>
      <c r="BP230" s="313"/>
      <c r="BQ230" s="313"/>
      <c r="BR230" s="313"/>
      <c r="BS230" s="313"/>
      <c r="BT230" s="313"/>
      <c r="BU230" s="313"/>
      <c r="BV230" s="313"/>
      <c r="BW230" s="313"/>
      <c r="BX230" s="313"/>
      <c r="BY230" s="313"/>
      <c r="BZ230" s="313"/>
      <c r="CA230" s="313"/>
      <c r="CB230" s="313"/>
      <c r="CC230" s="313"/>
      <c r="CD230" s="313"/>
      <c r="CE230" s="313"/>
    </row>
    <row r="231" spans="1:83" s="101" customFormat="1" ht="12.75" customHeight="1" outlineLevel="1" x14ac:dyDescent="0.2">
      <c r="A231" s="382" t="s">
        <v>1009</v>
      </c>
      <c r="B231" s="106"/>
      <c r="C231" s="94">
        <v>0</v>
      </c>
      <c r="D231" s="386"/>
      <c r="E231" s="95"/>
      <c r="F231" s="389">
        <f t="shared" si="144"/>
        <v>0</v>
      </c>
      <c r="G231" s="1259"/>
      <c r="H231" s="844" t="str">
        <f t="shared" si="147"/>
        <v/>
      </c>
      <c r="I231" s="847" t="str">
        <f t="shared" si="148"/>
        <v/>
      </c>
      <c r="J231" s="751"/>
      <c r="K231" s="751"/>
      <c r="L231" s="489">
        <f t="shared" si="149"/>
        <v>0</v>
      </c>
      <c r="M231" s="489">
        <f t="shared" si="150"/>
        <v>0</v>
      </c>
      <c r="N231" s="357" t="str">
        <f t="shared" si="131"/>
        <v/>
      </c>
      <c r="O231" s="512"/>
      <c r="P231" s="506"/>
      <c r="Q231" s="507"/>
      <c r="R231" s="505"/>
      <c r="S231" s="502"/>
      <c r="T231" s="507"/>
      <c r="U231" s="505"/>
      <c r="V231" s="831">
        <f t="shared" si="145"/>
        <v>0</v>
      </c>
      <c r="W231" s="397">
        <f t="shared" si="146"/>
        <v>0</v>
      </c>
      <c r="X231" s="512"/>
      <c r="Y231" s="508"/>
      <c r="Z231" s="507"/>
      <c r="AA231" s="505"/>
      <c r="AB231" s="295"/>
      <c r="AC231" s="336"/>
      <c r="AD231" s="813"/>
      <c r="AE231" s="800"/>
      <c r="AF231" s="801"/>
      <c r="AG231" s="831">
        <f t="shared" si="138"/>
        <v>0</v>
      </c>
      <c r="AH231" s="813"/>
      <c r="AI231" s="800"/>
      <c r="AJ231" s="801"/>
      <c r="AK231" s="831">
        <f t="shared" si="139"/>
        <v>0</v>
      </c>
      <c r="AL231" s="813"/>
      <c r="AM231" s="800"/>
      <c r="AN231" s="801"/>
      <c r="AO231" s="831">
        <f t="shared" si="140"/>
        <v>0</v>
      </c>
      <c r="AP231" s="1079">
        <f t="shared" si="132"/>
        <v>0</v>
      </c>
      <c r="AQ231" s="1079">
        <f t="shared" si="133"/>
        <v>0</v>
      </c>
      <c r="AR231" s="1080">
        <f t="shared" si="134"/>
        <v>0</v>
      </c>
      <c r="AS231" s="310"/>
      <c r="AT231" s="310"/>
      <c r="AU231" s="310"/>
      <c r="AV231" s="310"/>
      <c r="AW231" s="310"/>
      <c r="AX231" s="310"/>
      <c r="AY231" s="310"/>
      <c r="AZ231" s="310"/>
      <c r="BA231" s="310"/>
      <c r="BB231" s="196"/>
      <c r="BC231" s="196"/>
      <c r="BD231" s="313"/>
      <c r="BE231" s="313"/>
      <c r="BF231" s="313"/>
      <c r="BG231" s="313"/>
      <c r="BH231" s="313"/>
      <c r="BI231" s="313"/>
      <c r="BJ231" s="313"/>
      <c r="BK231" s="313"/>
      <c r="BL231" s="313"/>
      <c r="BM231" s="313"/>
      <c r="BN231" s="313"/>
      <c r="BO231" s="313"/>
      <c r="BP231" s="313"/>
      <c r="BQ231" s="313"/>
      <c r="BR231" s="313"/>
      <c r="BS231" s="313"/>
      <c r="BT231" s="313"/>
      <c r="BU231" s="313"/>
      <c r="BV231" s="313"/>
      <c r="BW231" s="313"/>
      <c r="BX231" s="313"/>
      <c r="BY231" s="313"/>
      <c r="BZ231" s="313"/>
      <c r="CA231" s="313"/>
      <c r="CB231" s="313"/>
      <c r="CC231" s="313"/>
      <c r="CD231" s="313"/>
      <c r="CE231" s="313"/>
    </row>
    <row r="232" spans="1:83" s="101" customFormat="1" ht="12.75" customHeight="1" outlineLevel="1" x14ac:dyDescent="0.2">
      <c r="A232" s="382" t="s">
        <v>1010</v>
      </c>
      <c r="B232" s="106"/>
      <c r="C232" s="94">
        <v>0</v>
      </c>
      <c r="D232" s="386"/>
      <c r="E232" s="95"/>
      <c r="F232" s="389">
        <f t="shared" si="144"/>
        <v>0</v>
      </c>
      <c r="G232" s="1259"/>
      <c r="H232" s="844" t="str">
        <f t="shared" si="147"/>
        <v/>
      </c>
      <c r="I232" s="847" t="str">
        <f t="shared" si="148"/>
        <v/>
      </c>
      <c r="J232" s="751"/>
      <c r="K232" s="751"/>
      <c r="L232" s="489">
        <f t="shared" si="149"/>
        <v>0</v>
      </c>
      <c r="M232" s="489">
        <f t="shared" si="150"/>
        <v>0</v>
      </c>
      <c r="N232" s="357" t="str">
        <f t="shared" si="131"/>
        <v/>
      </c>
      <c r="O232" s="512"/>
      <c r="P232" s="506"/>
      <c r="Q232" s="507"/>
      <c r="R232" s="505"/>
      <c r="S232" s="502"/>
      <c r="T232" s="507"/>
      <c r="U232" s="505"/>
      <c r="V232" s="831">
        <f t="shared" si="145"/>
        <v>0</v>
      </c>
      <c r="W232" s="397">
        <f t="shared" si="146"/>
        <v>0</v>
      </c>
      <c r="X232" s="512"/>
      <c r="Y232" s="508"/>
      <c r="Z232" s="507"/>
      <c r="AA232" s="505"/>
      <c r="AB232" s="295"/>
      <c r="AC232" s="336"/>
      <c r="AD232" s="813"/>
      <c r="AE232" s="800"/>
      <c r="AF232" s="801"/>
      <c r="AG232" s="831">
        <f t="shared" si="138"/>
        <v>0</v>
      </c>
      <c r="AH232" s="813"/>
      <c r="AI232" s="800"/>
      <c r="AJ232" s="801"/>
      <c r="AK232" s="831">
        <f t="shared" si="139"/>
        <v>0</v>
      </c>
      <c r="AL232" s="813"/>
      <c r="AM232" s="800"/>
      <c r="AN232" s="801"/>
      <c r="AO232" s="831">
        <f t="shared" si="140"/>
        <v>0</v>
      </c>
      <c r="AP232" s="1079">
        <f t="shared" si="132"/>
        <v>0</v>
      </c>
      <c r="AQ232" s="1079">
        <f t="shared" si="133"/>
        <v>0</v>
      </c>
      <c r="AR232" s="1080">
        <f t="shared" si="134"/>
        <v>0</v>
      </c>
      <c r="AS232" s="310"/>
      <c r="AT232" s="310"/>
      <c r="AU232" s="310"/>
      <c r="AV232" s="310"/>
      <c r="AW232" s="310"/>
      <c r="AX232" s="310"/>
      <c r="AY232" s="310"/>
      <c r="AZ232" s="310"/>
      <c r="BA232" s="310"/>
      <c r="BB232" s="196"/>
      <c r="BC232" s="196"/>
      <c r="BD232" s="313"/>
      <c r="BE232" s="313"/>
      <c r="BF232" s="313"/>
      <c r="BG232" s="313"/>
      <c r="BH232" s="313"/>
      <c r="BI232" s="313"/>
      <c r="BJ232" s="313"/>
      <c r="BK232" s="313"/>
      <c r="BL232" s="313"/>
      <c r="BM232" s="313"/>
      <c r="BN232" s="313"/>
      <c r="BO232" s="313"/>
      <c r="BP232" s="313"/>
      <c r="BQ232" s="313"/>
      <c r="BR232" s="313"/>
      <c r="BS232" s="313"/>
      <c r="BT232" s="313"/>
      <c r="BU232" s="313"/>
      <c r="BV232" s="313"/>
      <c r="BW232" s="313"/>
      <c r="BX232" s="313"/>
      <c r="BY232" s="313"/>
      <c r="BZ232" s="313"/>
      <c r="CA232" s="313"/>
      <c r="CB232" s="313"/>
      <c r="CC232" s="313"/>
      <c r="CD232" s="313"/>
      <c r="CE232" s="313"/>
    </row>
    <row r="233" spans="1:83" s="101" customFormat="1" ht="12.75" customHeight="1" outlineLevel="1" x14ac:dyDescent="0.2">
      <c r="A233" s="382" t="s">
        <v>1011</v>
      </c>
      <c r="B233" s="106"/>
      <c r="C233" s="94">
        <v>0</v>
      </c>
      <c r="D233" s="386"/>
      <c r="E233" s="95"/>
      <c r="F233" s="389">
        <f t="shared" si="144"/>
        <v>0</v>
      </c>
      <c r="G233" s="1259"/>
      <c r="H233" s="844" t="str">
        <f t="shared" si="147"/>
        <v/>
      </c>
      <c r="I233" s="847" t="str">
        <f t="shared" si="148"/>
        <v/>
      </c>
      <c r="J233" s="751"/>
      <c r="K233" s="751"/>
      <c r="L233" s="489">
        <f t="shared" si="149"/>
        <v>0</v>
      </c>
      <c r="M233" s="489">
        <f t="shared" si="150"/>
        <v>0</v>
      </c>
      <c r="N233" s="357" t="str">
        <f t="shared" si="131"/>
        <v/>
      </c>
      <c r="O233" s="512"/>
      <c r="P233" s="506"/>
      <c r="Q233" s="507"/>
      <c r="R233" s="505"/>
      <c r="S233" s="502"/>
      <c r="T233" s="507"/>
      <c r="U233" s="505"/>
      <c r="V233" s="831">
        <f t="shared" si="145"/>
        <v>0</v>
      </c>
      <c r="W233" s="397">
        <f t="shared" si="146"/>
        <v>0</v>
      </c>
      <c r="X233" s="512"/>
      <c r="Y233" s="508"/>
      <c r="Z233" s="507"/>
      <c r="AA233" s="505"/>
      <c r="AB233" s="295"/>
      <c r="AC233" s="336"/>
      <c r="AD233" s="813"/>
      <c r="AE233" s="800"/>
      <c r="AF233" s="801"/>
      <c r="AG233" s="831">
        <f t="shared" si="138"/>
        <v>0</v>
      </c>
      <c r="AH233" s="813"/>
      <c r="AI233" s="800"/>
      <c r="AJ233" s="801"/>
      <c r="AK233" s="831">
        <f t="shared" si="139"/>
        <v>0</v>
      </c>
      <c r="AL233" s="813"/>
      <c r="AM233" s="800"/>
      <c r="AN233" s="801"/>
      <c r="AO233" s="831">
        <f t="shared" si="140"/>
        <v>0</v>
      </c>
      <c r="AP233" s="1079">
        <f t="shared" si="132"/>
        <v>0</v>
      </c>
      <c r="AQ233" s="1079">
        <f t="shared" si="133"/>
        <v>0</v>
      </c>
      <c r="AR233" s="1080">
        <f t="shared" si="134"/>
        <v>0</v>
      </c>
      <c r="AS233" s="310"/>
      <c r="AT233" s="310"/>
      <c r="AU233" s="310"/>
      <c r="AV233" s="310"/>
      <c r="AW233" s="310"/>
      <c r="AX233" s="310"/>
      <c r="AY233" s="310"/>
      <c r="AZ233" s="310"/>
      <c r="BA233" s="310"/>
      <c r="BB233" s="196"/>
      <c r="BC233" s="196"/>
      <c r="BD233" s="313"/>
      <c r="BE233" s="313"/>
      <c r="BF233" s="313"/>
      <c r="BG233" s="313"/>
      <c r="BH233" s="313"/>
      <c r="BI233" s="313"/>
      <c r="BJ233" s="313"/>
      <c r="BK233" s="313"/>
      <c r="BL233" s="313"/>
      <c r="BM233" s="313"/>
      <c r="BN233" s="313"/>
      <c r="BO233" s="313"/>
      <c r="BP233" s="313"/>
      <c r="BQ233" s="313"/>
      <c r="BR233" s="313"/>
      <c r="BS233" s="313"/>
      <c r="BT233" s="313"/>
      <c r="BU233" s="313"/>
      <c r="BV233" s="313"/>
      <c r="BW233" s="313"/>
      <c r="BX233" s="313"/>
      <c r="BY233" s="313"/>
      <c r="BZ233" s="313"/>
      <c r="CA233" s="313"/>
      <c r="CB233" s="313"/>
      <c r="CC233" s="313"/>
      <c r="CD233" s="313"/>
      <c r="CE233" s="313"/>
    </row>
    <row r="234" spans="1:83" s="101" customFormat="1" ht="12.75" customHeight="1" outlineLevel="1" x14ac:dyDescent="0.2">
      <c r="A234" s="382" t="s">
        <v>1012</v>
      </c>
      <c r="B234" s="106"/>
      <c r="C234" s="94">
        <v>0</v>
      </c>
      <c r="D234" s="386"/>
      <c r="E234" s="95"/>
      <c r="F234" s="389">
        <f t="shared" si="144"/>
        <v>0</v>
      </c>
      <c r="G234" s="1259"/>
      <c r="H234" s="844" t="str">
        <f t="shared" si="147"/>
        <v/>
      </c>
      <c r="I234" s="847" t="str">
        <f t="shared" si="148"/>
        <v/>
      </c>
      <c r="J234" s="751"/>
      <c r="K234" s="751"/>
      <c r="L234" s="489">
        <f t="shared" si="149"/>
        <v>0</v>
      </c>
      <c r="M234" s="489">
        <f t="shared" si="150"/>
        <v>0</v>
      </c>
      <c r="N234" s="357" t="str">
        <f t="shared" si="131"/>
        <v/>
      </c>
      <c r="O234" s="512"/>
      <c r="P234" s="506"/>
      <c r="Q234" s="507"/>
      <c r="R234" s="505"/>
      <c r="S234" s="502"/>
      <c r="T234" s="507"/>
      <c r="U234" s="505"/>
      <c r="V234" s="831">
        <f t="shared" si="145"/>
        <v>0</v>
      </c>
      <c r="W234" s="397">
        <f t="shared" si="146"/>
        <v>0</v>
      </c>
      <c r="X234" s="512"/>
      <c r="Y234" s="508"/>
      <c r="Z234" s="507"/>
      <c r="AA234" s="505"/>
      <c r="AB234" s="295"/>
      <c r="AC234" s="336"/>
      <c r="AD234" s="813"/>
      <c r="AE234" s="800"/>
      <c r="AF234" s="801"/>
      <c r="AG234" s="831">
        <f t="shared" si="138"/>
        <v>0</v>
      </c>
      <c r="AH234" s="813"/>
      <c r="AI234" s="800"/>
      <c r="AJ234" s="801"/>
      <c r="AK234" s="831">
        <f t="shared" si="139"/>
        <v>0</v>
      </c>
      <c r="AL234" s="813"/>
      <c r="AM234" s="800"/>
      <c r="AN234" s="801"/>
      <c r="AO234" s="831">
        <f t="shared" si="140"/>
        <v>0</v>
      </c>
      <c r="AP234" s="1079">
        <f t="shared" si="132"/>
        <v>0</v>
      </c>
      <c r="AQ234" s="1079">
        <f t="shared" si="133"/>
        <v>0</v>
      </c>
      <c r="AR234" s="1080">
        <f t="shared" si="134"/>
        <v>0</v>
      </c>
      <c r="AS234" s="310"/>
      <c r="AT234" s="310"/>
      <c r="AU234" s="310"/>
      <c r="AV234" s="310"/>
      <c r="AW234" s="310"/>
      <c r="AX234" s="310"/>
      <c r="AY234" s="310"/>
      <c r="AZ234" s="310"/>
      <c r="BA234" s="310"/>
      <c r="BB234" s="196"/>
      <c r="BC234" s="196"/>
      <c r="BD234" s="313"/>
      <c r="BE234" s="313"/>
      <c r="BF234" s="313"/>
      <c r="BG234" s="313"/>
      <c r="BH234" s="313"/>
      <c r="BI234" s="313"/>
      <c r="BJ234" s="313"/>
      <c r="BK234" s="313"/>
      <c r="BL234" s="313"/>
      <c r="BM234" s="313"/>
      <c r="BN234" s="313"/>
      <c r="BO234" s="313"/>
      <c r="BP234" s="313"/>
      <c r="BQ234" s="313"/>
      <c r="BR234" s="313"/>
      <c r="BS234" s="313"/>
      <c r="BT234" s="313"/>
      <c r="BU234" s="313"/>
      <c r="BV234" s="313"/>
      <c r="BW234" s="313"/>
      <c r="BX234" s="313"/>
      <c r="BY234" s="313"/>
      <c r="BZ234" s="313"/>
      <c r="CA234" s="313"/>
      <c r="CB234" s="313"/>
      <c r="CC234" s="313"/>
      <c r="CD234" s="313"/>
      <c r="CE234" s="313"/>
    </row>
    <row r="235" spans="1:83" s="101" customFormat="1" ht="12.75" customHeight="1" outlineLevel="1" x14ac:dyDescent="0.2">
      <c r="A235" s="382" t="s">
        <v>1013</v>
      </c>
      <c r="B235" s="106"/>
      <c r="C235" s="94">
        <v>0</v>
      </c>
      <c r="D235" s="386"/>
      <c r="E235" s="95"/>
      <c r="F235" s="389">
        <f t="shared" ref="F235:F241" si="151">C235*E235</f>
        <v>0</v>
      </c>
      <c r="G235" s="1259"/>
      <c r="H235" s="844" t="str">
        <f t="shared" si="147"/>
        <v/>
      </c>
      <c r="I235" s="847" t="str">
        <f t="shared" si="148"/>
        <v/>
      </c>
      <c r="J235" s="751"/>
      <c r="K235" s="751"/>
      <c r="L235" s="489">
        <f t="shared" si="149"/>
        <v>0</v>
      </c>
      <c r="M235" s="489">
        <f t="shared" si="150"/>
        <v>0</v>
      </c>
      <c r="N235" s="357" t="str">
        <f t="shared" si="131"/>
        <v/>
      </c>
      <c r="O235" s="512"/>
      <c r="P235" s="506"/>
      <c r="Q235" s="507"/>
      <c r="R235" s="505"/>
      <c r="S235" s="502"/>
      <c r="T235" s="507"/>
      <c r="U235" s="505"/>
      <c r="V235" s="831">
        <f t="shared" si="145"/>
        <v>0</v>
      </c>
      <c r="W235" s="397">
        <f t="shared" si="146"/>
        <v>0</v>
      </c>
      <c r="X235" s="512"/>
      <c r="Y235" s="508"/>
      <c r="Z235" s="507"/>
      <c r="AA235" s="505"/>
      <c r="AB235" s="295"/>
      <c r="AC235" s="336"/>
      <c r="AD235" s="813"/>
      <c r="AE235" s="800"/>
      <c r="AF235" s="801"/>
      <c r="AG235" s="831">
        <f t="shared" si="138"/>
        <v>0</v>
      </c>
      <c r="AH235" s="813"/>
      <c r="AI235" s="800"/>
      <c r="AJ235" s="801"/>
      <c r="AK235" s="831">
        <f t="shared" si="139"/>
        <v>0</v>
      </c>
      <c r="AL235" s="813"/>
      <c r="AM235" s="800"/>
      <c r="AN235" s="801"/>
      <c r="AO235" s="831">
        <f t="shared" si="140"/>
        <v>0</v>
      </c>
      <c r="AP235" s="1079">
        <f t="shared" si="132"/>
        <v>0</v>
      </c>
      <c r="AQ235" s="1079">
        <f t="shared" si="133"/>
        <v>0</v>
      </c>
      <c r="AR235" s="1080">
        <f t="shared" si="134"/>
        <v>0</v>
      </c>
      <c r="AS235" s="310"/>
      <c r="AT235" s="310"/>
      <c r="AU235" s="310"/>
      <c r="AV235" s="310"/>
      <c r="AW235" s="310"/>
      <c r="AX235" s="310"/>
      <c r="AY235" s="310"/>
      <c r="AZ235" s="310"/>
      <c r="BA235" s="310"/>
      <c r="BB235" s="196"/>
      <c r="BC235" s="196"/>
      <c r="BD235" s="313"/>
      <c r="BE235" s="313"/>
      <c r="BF235" s="313"/>
      <c r="BG235" s="313"/>
      <c r="BH235" s="313"/>
      <c r="BI235" s="313"/>
      <c r="BJ235" s="313"/>
      <c r="BK235" s="313"/>
      <c r="BL235" s="313"/>
      <c r="BM235" s="313"/>
      <c r="BN235" s="313"/>
      <c r="BO235" s="313"/>
      <c r="BP235" s="313"/>
      <c r="BQ235" s="313"/>
      <c r="BR235" s="313"/>
      <c r="BS235" s="313"/>
      <c r="BT235" s="313"/>
      <c r="BU235" s="313"/>
      <c r="BV235" s="313"/>
      <c r="BW235" s="313"/>
      <c r="BX235" s="313"/>
      <c r="BY235" s="313"/>
      <c r="BZ235" s="313"/>
      <c r="CA235" s="313"/>
      <c r="CB235" s="313"/>
      <c r="CC235" s="313"/>
      <c r="CD235" s="313"/>
      <c r="CE235" s="313"/>
    </row>
    <row r="236" spans="1:83" s="101" customFormat="1" ht="12.75" customHeight="1" outlineLevel="1" x14ac:dyDescent="0.2">
      <c r="A236" s="382" t="s">
        <v>1014</v>
      </c>
      <c r="B236" s="106"/>
      <c r="C236" s="94">
        <v>0</v>
      </c>
      <c r="D236" s="386"/>
      <c r="E236" s="95"/>
      <c r="F236" s="389">
        <f t="shared" si="151"/>
        <v>0</v>
      </c>
      <c r="G236" s="1259"/>
      <c r="H236" s="844" t="str">
        <f t="shared" si="147"/>
        <v/>
      </c>
      <c r="I236" s="847" t="str">
        <f t="shared" si="148"/>
        <v/>
      </c>
      <c r="J236" s="751"/>
      <c r="K236" s="751"/>
      <c r="L236" s="489">
        <f t="shared" si="149"/>
        <v>0</v>
      </c>
      <c r="M236" s="489">
        <f t="shared" si="150"/>
        <v>0</v>
      </c>
      <c r="N236" s="357" t="str">
        <f t="shared" ref="N236:N241" si="152">IF((L236+M236)&lt;&gt;F236,"?","")</f>
        <v/>
      </c>
      <c r="O236" s="512"/>
      <c r="P236" s="506"/>
      <c r="Q236" s="507"/>
      <c r="R236" s="505"/>
      <c r="S236" s="502"/>
      <c r="T236" s="507"/>
      <c r="U236" s="505"/>
      <c r="V236" s="831">
        <f t="shared" si="145"/>
        <v>0</v>
      </c>
      <c r="W236" s="397">
        <f t="shared" si="146"/>
        <v>0</v>
      </c>
      <c r="X236" s="512"/>
      <c r="Y236" s="508"/>
      <c r="Z236" s="507"/>
      <c r="AA236" s="505"/>
      <c r="AB236" s="295"/>
      <c r="AC236" s="336"/>
      <c r="AD236" s="813"/>
      <c r="AE236" s="800"/>
      <c r="AF236" s="801"/>
      <c r="AG236" s="831">
        <f t="shared" si="138"/>
        <v>0</v>
      </c>
      <c r="AH236" s="813"/>
      <c r="AI236" s="800"/>
      <c r="AJ236" s="801"/>
      <c r="AK236" s="831">
        <f t="shared" si="139"/>
        <v>0</v>
      </c>
      <c r="AL236" s="813"/>
      <c r="AM236" s="800"/>
      <c r="AN236" s="801"/>
      <c r="AO236" s="831">
        <f t="shared" si="140"/>
        <v>0</v>
      </c>
      <c r="AP236" s="1079">
        <f t="shared" ref="AP236:AP248" si="153">SUM(F236,AD236,AH236,AL236)</f>
        <v>0</v>
      </c>
      <c r="AQ236" s="1079">
        <f t="shared" ref="AQ236:AQ241" si="154">SUM(AO236,AK236,AG236,V236)</f>
        <v>0</v>
      </c>
      <c r="AR236" s="1080">
        <f t="shared" ref="AR236:AR241" si="155">AP236-AQ236</f>
        <v>0</v>
      </c>
      <c r="AS236" s="310"/>
      <c r="AT236" s="310"/>
      <c r="AU236" s="310"/>
      <c r="AV236" s="310"/>
      <c r="AW236" s="310"/>
      <c r="AX236" s="310"/>
      <c r="AY236" s="310"/>
      <c r="AZ236" s="310"/>
      <c r="BA236" s="310"/>
      <c r="BB236" s="196"/>
      <c r="BC236" s="196"/>
      <c r="BD236" s="313"/>
      <c r="BE236" s="313"/>
      <c r="BF236" s="313"/>
      <c r="BG236" s="313"/>
      <c r="BH236" s="313"/>
      <c r="BI236" s="313"/>
      <c r="BJ236" s="313"/>
      <c r="BK236" s="313"/>
      <c r="BL236" s="313"/>
      <c r="BM236" s="313"/>
      <c r="BN236" s="313"/>
      <c r="BO236" s="313"/>
      <c r="BP236" s="313"/>
      <c r="BQ236" s="313"/>
      <c r="BR236" s="313"/>
      <c r="BS236" s="313"/>
      <c r="BT236" s="313"/>
      <c r="BU236" s="313"/>
      <c r="BV236" s="313"/>
      <c r="BW236" s="313"/>
      <c r="BX236" s="313"/>
      <c r="BY236" s="313"/>
      <c r="BZ236" s="313"/>
      <c r="CA236" s="313"/>
      <c r="CB236" s="313"/>
      <c r="CC236" s="313"/>
      <c r="CD236" s="313"/>
      <c r="CE236" s="313"/>
    </row>
    <row r="237" spans="1:83" s="101" customFormat="1" ht="12.75" customHeight="1" outlineLevel="1" x14ac:dyDescent="0.2">
      <c r="A237" s="382" t="s">
        <v>1015</v>
      </c>
      <c r="B237" s="106"/>
      <c r="C237" s="94">
        <v>0</v>
      </c>
      <c r="D237" s="386"/>
      <c r="E237" s="95"/>
      <c r="F237" s="389">
        <f t="shared" si="151"/>
        <v>0</v>
      </c>
      <c r="G237" s="1259"/>
      <c r="H237" s="844" t="str">
        <f t="shared" ref="H237:H241" si="156">IF(E237&gt;G237*1.1,C237*(E237-G237*1.1),"")</f>
        <v/>
      </c>
      <c r="I237" s="847" t="str">
        <f t="shared" si="148"/>
        <v/>
      </c>
      <c r="J237" s="751"/>
      <c r="K237" s="751"/>
      <c r="L237" s="489">
        <f t="shared" si="149"/>
        <v>0</v>
      </c>
      <c r="M237" s="489">
        <f t="shared" si="150"/>
        <v>0</v>
      </c>
      <c r="N237" s="357" t="str">
        <f t="shared" si="152"/>
        <v/>
      </c>
      <c r="O237" s="512"/>
      <c r="P237" s="506"/>
      <c r="Q237" s="507"/>
      <c r="R237" s="505"/>
      <c r="S237" s="502"/>
      <c r="T237" s="507"/>
      <c r="U237" s="505"/>
      <c r="V237" s="831">
        <f t="shared" si="145"/>
        <v>0</v>
      </c>
      <c r="W237" s="397">
        <f t="shared" si="146"/>
        <v>0</v>
      </c>
      <c r="X237" s="512"/>
      <c r="Y237" s="508"/>
      <c r="Z237" s="507"/>
      <c r="AA237" s="505"/>
      <c r="AB237" s="295"/>
      <c r="AC237" s="336"/>
      <c r="AD237" s="813"/>
      <c r="AE237" s="800"/>
      <c r="AF237" s="801"/>
      <c r="AG237" s="831">
        <f t="shared" si="138"/>
        <v>0</v>
      </c>
      <c r="AH237" s="813"/>
      <c r="AI237" s="800"/>
      <c r="AJ237" s="801"/>
      <c r="AK237" s="831">
        <f t="shared" si="139"/>
        <v>0</v>
      </c>
      <c r="AL237" s="813"/>
      <c r="AM237" s="800"/>
      <c r="AN237" s="801"/>
      <c r="AO237" s="831">
        <f t="shared" si="140"/>
        <v>0</v>
      </c>
      <c r="AP237" s="1079">
        <f t="shared" si="153"/>
        <v>0</v>
      </c>
      <c r="AQ237" s="1079">
        <f t="shared" si="154"/>
        <v>0</v>
      </c>
      <c r="AR237" s="1080">
        <f t="shared" si="155"/>
        <v>0</v>
      </c>
      <c r="AS237" s="310"/>
      <c r="AT237" s="310"/>
      <c r="AU237" s="310"/>
      <c r="AV237" s="310"/>
      <c r="AW237" s="310"/>
      <c r="AX237" s="310"/>
      <c r="AY237" s="310"/>
      <c r="AZ237" s="310"/>
      <c r="BA237" s="310"/>
      <c r="BB237" s="196"/>
      <c r="BC237" s="196"/>
      <c r="BD237" s="313"/>
      <c r="BE237" s="313"/>
      <c r="BF237" s="313"/>
      <c r="BG237" s="313"/>
      <c r="BH237" s="313"/>
      <c r="BI237" s="313"/>
      <c r="BJ237" s="313"/>
      <c r="BK237" s="313"/>
      <c r="BL237" s="313"/>
      <c r="BM237" s="313"/>
      <c r="BN237" s="313"/>
      <c r="BO237" s="313"/>
      <c r="BP237" s="313"/>
      <c r="BQ237" s="313"/>
      <c r="BR237" s="313"/>
      <c r="BS237" s="313"/>
      <c r="BT237" s="313"/>
      <c r="BU237" s="313"/>
      <c r="BV237" s="313"/>
      <c r="BW237" s="313"/>
      <c r="BX237" s="313"/>
      <c r="BY237" s="313"/>
      <c r="BZ237" s="313"/>
      <c r="CA237" s="313"/>
      <c r="CB237" s="313"/>
      <c r="CC237" s="313"/>
      <c r="CD237" s="313"/>
      <c r="CE237" s="313"/>
    </row>
    <row r="238" spans="1:83" s="101" customFormat="1" ht="12.75" customHeight="1" outlineLevel="1" x14ac:dyDescent="0.2">
      <c r="A238" s="382" t="s">
        <v>1016</v>
      </c>
      <c r="B238" s="106"/>
      <c r="C238" s="94">
        <v>0</v>
      </c>
      <c r="D238" s="386"/>
      <c r="E238" s="95"/>
      <c r="F238" s="389">
        <f t="shared" si="151"/>
        <v>0</v>
      </c>
      <c r="G238" s="1259"/>
      <c r="H238" s="844" t="str">
        <f t="shared" si="156"/>
        <v/>
      </c>
      <c r="I238" s="847" t="str">
        <f t="shared" si="148"/>
        <v/>
      </c>
      <c r="J238" s="751"/>
      <c r="K238" s="751"/>
      <c r="L238" s="489">
        <f t="shared" si="149"/>
        <v>0</v>
      </c>
      <c r="M238" s="489">
        <f t="shared" si="150"/>
        <v>0</v>
      </c>
      <c r="N238" s="357" t="str">
        <f t="shared" si="152"/>
        <v/>
      </c>
      <c r="O238" s="512"/>
      <c r="P238" s="506"/>
      <c r="Q238" s="507"/>
      <c r="R238" s="505"/>
      <c r="S238" s="502"/>
      <c r="T238" s="507"/>
      <c r="U238" s="505"/>
      <c r="V238" s="831">
        <f t="shared" si="145"/>
        <v>0</v>
      </c>
      <c r="W238" s="397">
        <f t="shared" si="146"/>
        <v>0</v>
      </c>
      <c r="X238" s="512"/>
      <c r="Y238" s="508"/>
      <c r="Z238" s="507"/>
      <c r="AA238" s="505"/>
      <c r="AB238" s="295"/>
      <c r="AC238" s="336"/>
      <c r="AD238" s="813"/>
      <c r="AE238" s="800"/>
      <c r="AF238" s="801"/>
      <c r="AG238" s="831">
        <f t="shared" si="138"/>
        <v>0</v>
      </c>
      <c r="AH238" s="813"/>
      <c r="AI238" s="800"/>
      <c r="AJ238" s="801"/>
      <c r="AK238" s="831">
        <f t="shared" si="139"/>
        <v>0</v>
      </c>
      <c r="AL238" s="813"/>
      <c r="AM238" s="800"/>
      <c r="AN238" s="801"/>
      <c r="AO238" s="831">
        <f t="shared" si="140"/>
        <v>0</v>
      </c>
      <c r="AP238" s="1079">
        <f t="shared" si="153"/>
        <v>0</v>
      </c>
      <c r="AQ238" s="1079">
        <f t="shared" si="154"/>
        <v>0</v>
      </c>
      <c r="AR238" s="1080">
        <f t="shared" si="155"/>
        <v>0</v>
      </c>
      <c r="AS238" s="310"/>
      <c r="AT238" s="310"/>
      <c r="AU238" s="310"/>
      <c r="AV238" s="310"/>
      <c r="AW238" s="310"/>
      <c r="AX238" s="310"/>
      <c r="AY238" s="310"/>
      <c r="AZ238" s="310"/>
      <c r="BA238" s="310"/>
      <c r="BB238" s="196"/>
      <c r="BC238" s="196"/>
      <c r="BD238" s="313"/>
      <c r="BE238" s="313"/>
      <c r="BF238" s="313"/>
      <c r="BG238" s="313"/>
      <c r="BH238" s="313"/>
      <c r="BI238" s="313"/>
      <c r="BJ238" s="313"/>
      <c r="BK238" s="313"/>
      <c r="BL238" s="313"/>
      <c r="BM238" s="313"/>
      <c r="BN238" s="313"/>
      <c r="BO238" s="313"/>
      <c r="BP238" s="313"/>
      <c r="BQ238" s="313"/>
      <c r="BR238" s="313"/>
      <c r="BS238" s="313"/>
      <c r="BT238" s="313"/>
      <c r="BU238" s="313"/>
      <c r="BV238" s="313"/>
      <c r="BW238" s="313"/>
      <c r="BX238" s="313"/>
      <c r="BY238" s="313"/>
      <c r="BZ238" s="313"/>
      <c r="CA238" s="313"/>
      <c r="CB238" s="313"/>
      <c r="CC238" s="313"/>
      <c r="CD238" s="313"/>
      <c r="CE238" s="313"/>
    </row>
    <row r="239" spans="1:83" s="101" customFormat="1" ht="12.75" customHeight="1" outlineLevel="1" x14ac:dyDescent="0.2">
      <c r="A239" s="382" t="s">
        <v>1017</v>
      </c>
      <c r="B239" s="106"/>
      <c r="C239" s="94">
        <v>0</v>
      </c>
      <c r="D239" s="386"/>
      <c r="E239" s="95"/>
      <c r="F239" s="389">
        <f t="shared" si="151"/>
        <v>0</v>
      </c>
      <c r="G239" s="1259"/>
      <c r="H239" s="844" t="str">
        <f t="shared" si="156"/>
        <v/>
      </c>
      <c r="I239" s="847" t="str">
        <f t="shared" si="148"/>
        <v/>
      </c>
      <c r="J239" s="751"/>
      <c r="K239" s="751"/>
      <c r="L239" s="489">
        <f t="shared" si="149"/>
        <v>0</v>
      </c>
      <c r="M239" s="489">
        <f t="shared" si="150"/>
        <v>0</v>
      </c>
      <c r="N239" s="357" t="str">
        <f t="shared" si="152"/>
        <v/>
      </c>
      <c r="O239" s="512"/>
      <c r="P239" s="506"/>
      <c r="Q239" s="507"/>
      <c r="R239" s="505"/>
      <c r="S239" s="502"/>
      <c r="T239" s="507"/>
      <c r="U239" s="505"/>
      <c r="V239" s="831">
        <f t="shared" si="145"/>
        <v>0</v>
      </c>
      <c r="W239" s="397">
        <f t="shared" si="146"/>
        <v>0</v>
      </c>
      <c r="X239" s="512"/>
      <c r="Y239" s="508"/>
      <c r="Z239" s="507"/>
      <c r="AA239" s="505"/>
      <c r="AB239" s="295"/>
      <c r="AC239" s="336"/>
      <c r="AD239" s="813"/>
      <c r="AE239" s="800"/>
      <c r="AF239" s="801"/>
      <c r="AG239" s="831">
        <f t="shared" si="138"/>
        <v>0</v>
      </c>
      <c r="AH239" s="813"/>
      <c r="AI239" s="800"/>
      <c r="AJ239" s="801"/>
      <c r="AK239" s="831">
        <f t="shared" si="139"/>
        <v>0</v>
      </c>
      <c r="AL239" s="813"/>
      <c r="AM239" s="800"/>
      <c r="AN239" s="801"/>
      <c r="AO239" s="831">
        <f t="shared" si="140"/>
        <v>0</v>
      </c>
      <c r="AP239" s="1079">
        <f t="shared" si="153"/>
        <v>0</v>
      </c>
      <c r="AQ239" s="1079">
        <f t="shared" si="154"/>
        <v>0</v>
      </c>
      <c r="AR239" s="1080">
        <f t="shared" si="155"/>
        <v>0</v>
      </c>
      <c r="AS239" s="310"/>
      <c r="AT239" s="310"/>
      <c r="AU239" s="310"/>
      <c r="AV239" s="310"/>
      <c r="AW239" s="310"/>
      <c r="AX239" s="310"/>
      <c r="AY239" s="310"/>
      <c r="AZ239" s="310"/>
      <c r="BA239" s="310"/>
      <c r="BB239" s="196"/>
      <c r="BC239" s="196"/>
      <c r="BD239" s="313"/>
      <c r="BE239" s="313"/>
      <c r="BF239" s="313"/>
      <c r="BG239" s="313"/>
      <c r="BH239" s="313"/>
      <c r="BI239" s="313"/>
      <c r="BJ239" s="313"/>
      <c r="BK239" s="313"/>
      <c r="BL239" s="313"/>
      <c r="BM239" s="313"/>
      <c r="BN239" s="313"/>
      <c r="BO239" s="313"/>
      <c r="BP239" s="313"/>
      <c r="BQ239" s="313"/>
      <c r="BR239" s="313"/>
      <c r="BS239" s="313"/>
      <c r="BT239" s="313"/>
      <c r="BU239" s="313"/>
      <c r="BV239" s="313"/>
      <c r="BW239" s="313"/>
      <c r="BX239" s="313"/>
      <c r="BY239" s="313"/>
      <c r="BZ239" s="313"/>
      <c r="CA239" s="313"/>
      <c r="CB239" s="313"/>
      <c r="CC239" s="313"/>
      <c r="CD239" s="313"/>
      <c r="CE239" s="313"/>
    </row>
    <row r="240" spans="1:83" s="101" customFormat="1" ht="12.75" customHeight="1" outlineLevel="1" x14ac:dyDescent="0.2">
      <c r="A240" s="382" t="s">
        <v>1018</v>
      </c>
      <c r="B240" s="106"/>
      <c r="C240" s="94">
        <v>0</v>
      </c>
      <c r="D240" s="386"/>
      <c r="E240" s="95"/>
      <c r="F240" s="389">
        <f t="shared" si="151"/>
        <v>0</v>
      </c>
      <c r="G240" s="1259"/>
      <c r="H240" s="844" t="str">
        <f t="shared" si="156"/>
        <v/>
      </c>
      <c r="I240" s="847" t="str">
        <f t="shared" si="148"/>
        <v/>
      </c>
      <c r="J240" s="751"/>
      <c r="K240" s="751"/>
      <c r="L240" s="489">
        <f t="shared" si="149"/>
        <v>0</v>
      </c>
      <c r="M240" s="489">
        <f t="shared" si="150"/>
        <v>0</v>
      </c>
      <c r="N240" s="357" t="str">
        <f t="shared" si="152"/>
        <v/>
      </c>
      <c r="O240" s="512"/>
      <c r="P240" s="506"/>
      <c r="Q240" s="507"/>
      <c r="R240" s="505"/>
      <c r="S240" s="502"/>
      <c r="T240" s="507"/>
      <c r="U240" s="505"/>
      <c r="V240" s="831">
        <f t="shared" si="145"/>
        <v>0</v>
      </c>
      <c r="W240" s="397">
        <f t="shared" si="146"/>
        <v>0</v>
      </c>
      <c r="X240" s="512"/>
      <c r="Y240" s="508"/>
      <c r="Z240" s="507"/>
      <c r="AA240" s="505"/>
      <c r="AB240" s="295"/>
      <c r="AC240" s="336"/>
      <c r="AD240" s="813"/>
      <c r="AE240" s="800"/>
      <c r="AF240" s="801"/>
      <c r="AG240" s="831">
        <f t="shared" si="138"/>
        <v>0</v>
      </c>
      <c r="AH240" s="813"/>
      <c r="AI240" s="800"/>
      <c r="AJ240" s="801"/>
      <c r="AK240" s="831">
        <f t="shared" si="139"/>
        <v>0</v>
      </c>
      <c r="AL240" s="813"/>
      <c r="AM240" s="800"/>
      <c r="AN240" s="801"/>
      <c r="AO240" s="831">
        <f t="shared" si="140"/>
        <v>0</v>
      </c>
      <c r="AP240" s="1079">
        <f t="shared" si="153"/>
        <v>0</v>
      </c>
      <c r="AQ240" s="1079">
        <f t="shared" si="154"/>
        <v>0</v>
      </c>
      <c r="AR240" s="1080">
        <f t="shared" si="155"/>
        <v>0</v>
      </c>
      <c r="AS240" s="310"/>
      <c r="AT240" s="310"/>
      <c r="AU240" s="310"/>
      <c r="AV240" s="310"/>
      <c r="AW240" s="310"/>
      <c r="AX240" s="310"/>
      <c r="AY240" s="310"/>
      <c r="AZ240" s="310"/>
      <c r="BA240" s="310"/>
      <c r="BB240" s="196"/>
      <c r="BC240" s="196"/>
      <c r="BD240" s="313"/>
      <c r="BE240" s="313"/>
      <c r="BF240" s="313"/>
      <c r="BG240" s="313"/>
      <c r="BH240" s="313"/>
      <c r="BI240" s="313"/>
      <c r="BJ240" s="313"/>
      <c r="BK240" s="313"/>
      <c r="BL240" s="313"/>
      <c r="BM240" s="313"/>
      <c r="BN240" s="313"/>
      <c r="BO240" s="313"/>
      <c r="BP240" s="313"/>
      <c r="BQ240" s="313"/>
      <c r="BR240" s="313"/>
      <c r="BS240" s="313"/>
      <c r="BT240" s="313"/>
      <c r="BU240" s="313"/>
      <c r="BV240" s="313"/>
      <c r="BW240" s="313"/>
      <c r="BX240" s="313"/>
      <c r="BY240" s="313"/>
      <c r="BZ240" s="313"/>
      <c r="CA240" s="313"/>
      <c r="CB240" s="313"/>
      <c r="CC240" s="313"/>
      <c r="CD240" s="313"/>
      <c r="CE240" s="313"/>
    </row>
    <row r="241" spans="1:83" s="101" customFormat="1" ht="12.75" customHeight="1" outlineLevel="1" thickBot="1" x14ac:dyDescent="0.25">
      <c r="A241" s="382" t="s">
        <v>1019</v>
      </c>
      <c r="B241" s="106"/>
      <c r="C241" s="94">
        <v>0</v>
      </c>
      <c r="D241" s="386"/>
      <c r="E241" s="95"/>
      <c r="F241" s="389">
        <f t="shared" si="151"/>
        <v>0</v>
      </c>
      <c r="G241" s="1260"/>
      <c r="H241" s="844" t="str">
        <f t="shared" si="156"/>
        <v/>
      </c>
      <c r="I241" s="847" t="str">
        <f t="shared" si="148"/>
        <v/>
      </c>
      <c r="J241" s="751"/>
      <c r="K241" s="751"/>
      <c r="L241" s="489">
        <f t="shared" si="149"/>
        <v>0</v>
      </c>
      <c r="M241" s="489">
        <f t="shared" si="150"/>
        <v>0</v>
      </c>
      <c r="N241" s="357" t="str">
        <f t="shared" si="152"/>
        <v/>
      </c>
      <c r="O241" s="512"/>
      <c r="P241" s="506"/>
      <c r="Q241" s="507"/>
      <c r="R241" s="505"/>
      <c r="S241" s="502"/>
      <c r="T241" s="507"/>
      <c r="U241" s="505"/>
      <c r="V241" s="831">
        <f t="shared" si="145"/>
        <v>0</v>
      </c>
      <c r="W241" s="397">
        <f t="shared" si="146"/>
        <v>0</v>
      </c>
      <c r="X241" s="512"/>
      <c r="Y241" s="508"/>
      <c r="Z241" s="507"/>
      <c r="AA241" s="505"/>
      <c r="AB241" s="295"/>
      <c r="AC241" s="336"/>
      <c r="AD241" s="813"/>
      <c r="AE241" s="800"/>
      <c r="AF241" s="801"/>
      <c r="AG241" s="831">
        <f t="shared" si="138"/>
        <v>0</v>
      </c>
      <c r="AH241" s="813"/>
      <c r="AI241" s="800"/>
      <c r="AJ241" s="801"/>
      <c r="AK241" s="831">
        <f t="shared" si="139"/>
        <v>0</v>
      </c>
      <c r="AL241" s="813"/>
      <c r="AM241" s="800"/>
      <c r="AN241" s="801"/>
      <c r="AO241" s="831">
        <f t="shared" si="140"/>
        <v>0</v>
      </c>
      <c r="AP241" s="1079">
        <f t="shared" si="153"/>
        <v>0</v>
      </c>
      <c r="AQ241" s="1079">
        <f t="shared" si="154"/>
        <v>0</v>
      </c>
      <c r="AR241" s="1080">
        <f t="shared" si="155"/>
        <v>0</v>
      </c>
      <c r="AS241" s="310"/>
      <c r="AT241" s="310"/>
      <c r="AU241" s="310"/>
      <c r="AV241" s="310"/>
      <c r="AW241" s="310"/>
      <c r="AX241" s="310"/>
      <c r="AY241" s="310"/>
      <c r="AZ241" s="310"/>
      <c r="BA241" s="310"/>
      <c r="BB241" s="196"/>
      <c r="BC241" s="196"/>
      <c r="BD241" s="313"/>
      <c r="BE241" s="313"/>
      <c r="BF241" s="313"/>
      <c r="BG241" s="313"/>
      <c r="BH241" s="313"/>
      <c r="BI241" s="313"/>
      <c r="BJ241" s="313"/>
      <c r="BK241" s="313"/>
      <c r="BL241" s="313"/>
      <c r="BM241" s="313"/>
      <c r="BN241" s="313"/>
      <c r="BO241" s="313"/>
      <c r="BP241" s="313"/>
      <c r="BQ241" s="313"/>
      <c r="BR241" s="313"/>
      <c r="BS241" s="313"/>
      <c r="BT241" s="313"/>
      <c r="BU241" s="313"/>
      <c r="BV241" s="313"/>
      <c r="BW241" s="313"/>
      <c r="BX241" s="313"/>
      <c r="BY241" s="313"/>
      <c r="BZ241" s="313"/>
      <c r="CA241" s="313"/>
      <c r="CB241" s="313"/>
      <c r="CC241" s="313"/>
      <c r="CD241" s="313"/>
      <c r="CE241" s="313"/>
    </row>
    <row r="242" spans="1:83" s="101" customFormat="1" ht="12.75" customHeight="1" outlineLevel="1" x14ac:dyDescent="0.2">
      <c r="A242" s="1100"/>
      <c r="B242" s="1103"/>
      <c r="C242" s="1117"/>
      <c r="D242" s="1118"/>
      <c r="E242" s="1119"/>
      <c r="F242" s="1119"/>
      <c r="G242" s="1120"/>
      <c r="H242" s="1120"/>
      <c r="I242" s="1121"/>
      <c r="J242" s="1122"/>
      <c r="K242" s="1122"/>
      <c r="L242" s="1121"/>
      <c r="M242" s="1121"/>
      <c r="N242" s="1121"/>
      <c r="O242" s="1121"/>
      <c r="P242" s="1038"/>
      <c r="Q242" s="502"/>
      <c r="R242" s="502"/>
      <c r="S242" s="502"/>
      <c r="T242" s="530"/>
      <c r="U242" s="530"/>
      <c r="V242" s="832"/>
      <c r="W242" s="1042"/>
      <c r="X242" s="512"/>
      <c r="Y242" s="508"/>
      <c r="Z242" s="530"/>
      <c r="AA242" s="530"/>
      <c r="AB242" s="295"/>
      <c r="AC242" s="336"/>
      <c r="AD242" s="1063"/>
      <c r="AE242" s="1240"/>
      <c r="AF242" s="310"/>
      <c r="AG242" s="310"/>
      <c r="AH242" s="310"/>
      <c r="AI242" s="310"/>
      <c r="AJ242" s="310"/>
      <c r="AK242" s="310"/>
      <c r="AL242" s="310"/>
      <c r="AM242" s="310"/>
      <c r="AN242" s="310"/>
      <c r="AO242" s="310"/>
      <c r="AP242" s="310"/>
      <c r="AQ242" s="310"/>
      <c r="AR242" s="310"/>
      <c r="AS242" s="310"/>
      <c r="AT242" s="310"/>
      <c r="AU242" s="310"/>
      <c r="AV242" s="310"/>
      <c r="AW242" s="310"/>
      <c r="AX242" s="310"/>
      <c r="AY242" s="310"/>
      <c r="AZ242" s="310"/>
      <c r="BA242" s="310"/>
      <c r="BB242" s="196"/>
      <c r="BC242" s="196"/>
      <c r="BD242" s="313"/>
      <c r="BE242" s="313"/>
      <c r="BF242" s="313"/>
      <c r="BG242" s="313"/>
      <c r="BH242" s="313"/>
      <c r="BI242" s="313"/>
      <c r="BJ242" s="313"/>
      <c r="BK242" s="313"/>
      <c r="BL242" s="313"/>
      <c r="BM242" s="313"/>
      <c r="BN242" s="313"/>
      <c r="BO242" s="313"/>
      <c r="BP242" s="313"/>
      <c r="BQ242" s="313"/>
      <c r="BR242" s="313"/>
      <c r="BS242" s="313"/>
      <c r="BT242" s="313"/>
      <c r="BU242" s="313"/>
      <c r="BV242" s="313"/>
      <c r="BW242" s="313"/>
      <c r="BX242" s="313"/>
      <c r="BY242" s="313"/>
      <c r="BZ242" s="313"/>
      <c r="CA242" s="313"/>
      <c r="CB242" s="313"/>
      <c r="CC242" s="313"/>
      <c r="CD242" s="313"/>
      <c r="CE242" s="313"/>
    </row>
    <row r="243" spans="1:83" s="101" customFormat="1" ht="12.75" customHeight="1" x14ac:dyDescent="0.2">
      <c r="A243" s="1100"/>
      <c r="B243" s="1103"/>
      <c r="C243" s="1117"/>
      <c r="D243" s="1118"/>
      <c r="E243" s="1119"/>
      <c r="F243" s="1119"/>
      <c r="G243" s="1120"/>
      <c r="H243" s="1123">
        <f ca="1">SUM(H32:H241)</f>
        <v>0</v>
      </c>
      <c r="I243" s="1121"/>
      <c r="J243" s="1121"/>
      <c r="K243" s="1121"/>
      <c r="L243" s="1121"/>
      <c r="M243" s="1121"/>
      <c r="N243" s="1121"/>
      <c r="O243" s="1121"/>
      <c r="P243" s="1038"/>
      <c r="Q243" s="502"/>
      <c r="R243" s="502"/>
      <c r="S243" s="502"/>
      <c r="T243" s="530"/>
      <c r="U243" s="530"/>
      <c r="V243" s="832"/>
      <c r="W243" s="1042"/>
      <c r="X243" s="512"/>
      <c r="Y243" s="508"/>
      <c r="Z243" s="530"/>
      <c r="AA243" s="530"/>
      <c r="AB243" s="295"/>
      <c r="AC243" s="336"/>
      <c r="AD243" s="822"/>
      <c r="AE243" s="1175"/>
      <c r="AF243" s="310"/>
      <c r="AG243" s="310"/>
      <c r="AH243" s="310"/>
      <c r="AI243" s="310"/>
      <c r="AJ243" s="310"/>
      <c r="AK243" s="310"/>
      <c r="AL243" s="310"/>
      <c r="AM243" s="310"/>
      <c r="AN243" s="310"/>
      <c r="AO243" s="310"/>
      <c r="AP243" s="310"/>
      <c r="AQ243" s="310"/>
      <c r="AR243" s="310"/>
      <c r="AS243" s="310"/>
      <c r="AT243" s="310"/>
      <c r="AU243" s="310"/>
      <c r="AV243" s="310"/>
      <c r="AW243" s="310"/>
      <c r="AX243" s="310"/>
      <c r="AY243" s="310"/>
      <c r="AZ243" s="310"/>
      <c r="BA243" s="310"/>
      <c r="BB243" s="196"/>
      <c r="BC243" s="196"/>
      <c r="BD243" s="313"/>
      <c r="BE243" s="313"/>
      <c r="BF243" s="313"/>
      <c r="BG243" s="313"/>
      <c r="BH243" s="313"/>
      <c r="BI243" s="313"/>
      <c r="BJ243" s="313"/>
      <c r="BK243" s="313"/>
      <c r="BL243" s="313"/>
      <c r="BM243" s="313"/>
      <c r="BN243" s="313"/>
      <c r="BO243" s="313"/>
      <c r="BP243" s="313"/>
      <c r="BQ243" s="313"/>
      <c r="BR243" s="313"/>
      <c r="BS243" s="313"/>
      <c r="BT243" s="313"/>
      <c r="BU243" s="313"/>
      <c r="BV243" s="313"/>
      <c r="BW243" s="313"/>
      <c r="BX243" s="313"/>
      <c r="BY243" s="313"/>
      <c r="BZ243" s="313"/>
      <c r="CA243" s="313"/>
      <c r="CB243" s="313"/>
      <c r="CC243" s="313"/>
      <c r="CD243" s="313"/>
      <c r="CE243" s="313"/>
    </row>
    <row r="244" spans="1:83" ht="12.75" customHeight="1" x14ac:dyDescent="0.2">
      <c r="A244" s="1055"/>
      <c r="B244" s="1104"/>
      <c r="C244" s="490"/>
      <c r="D244" s="328"/>
      <c r="E244" s="371"/>
      <c r="F244" s="371"/>
      <c r="G244" s="1056"/>
      <c r="H244" s="1056"/>
      <c r="I244" s="1059"/>
      <c r="J244" s="1124"/>
      <c r="K244" s="1035"/>
      <c r="L244" s="1035"/>
      <c r="M244" s="1035"/>
      <c r="N244" s="333"/>
      <c r="O244" s="1059"/>
      <c r="P244" s="1059"/>
      <c r="Q244" s="1059"/>
      <c r="R244" s="1059"/>
      <c r="S244" s="1046"/>
      <c r="T244" s="1060"/>
      <c r="U244" s="1041"/>
      <c r="V244" s="1041"/>
      <c r="W244" s="1041"/>
      <c r="X244" s="1131"/>
      <c r="Y244" s="1131"/>
      <c r="Z244" s="1059"/>
      <c r="AA244" s="1059"/>
      <c r="AB244" s="328"/>
      <c r="AC244" s="1062"/>
      <c r="AD244" s="822"/>
      <c r="AE244" s="1175"/>
      <c r="AF244" s="307"/>
      <c r="AG244" s="307"/>
      <c r="AH244" s="307"/>
      <c r="AI244" s="307"/>
      <c r="AJ244" s="307"/>
      <c r="AK244" s="307"/>
      <c r="AL244" s="307"/>
      <c r="AM244" s="307"/>
      <c r="AN244" s="307"/>
      <c r="AO244" s="307"/>
      <c r="AP244" s="307"/>
      <c r="AQ244" s="307"/>
      <c r="AR244" s="307"/>
      <c r="AS244" s="307"/>
      <c r="AT244" s="307"/>
      <c r="AU244" s="307"/>
      <c r="AV244" s="307"/>
      <c r="AW244" s="307"/>
      <c r="AX244" s="307"/>
      <c r="AY244" s="307"/>
      <c r="AZ244" s="307"/>
      <c r="BA244" s="307"/>
      <c r="BB244" s="196"/>
      <c r="BC244" s="196"/>
      <c r="BD244" s="212"/>
      <c r="BE244" s="212"/>
      <c r="BF244" s="212"/>
      <c r="BG244" s="212"/>
      <c r="BH244" s="212"/>
      <c r="BI244" s="212"/>
      <c r="BJ244" s="212"/>
      <c r="BK244" s="212"/>
      <c r="BL244" s="212"/>
      <c r="BM244" s="212"/>
      <c r="BN244" s="212"/>
      <c r="BO244" s="212"/>
      <c r="BP244" s="212"/>
      <c r="BQ244" s="212"/>
      <c r="BR244" s="212"/>
      <c r="BS244" s="212"/>
      <c r="BT244" s="212"/>
      <c r="BU244" s="212"/>
      <c r="BV244" s="212"/>
      <c r="BW244" s="212"/>
      <c r="BX244" s="212"/>
      <c r="BY244" s="212"/>
      <c r="BZ244" s="212"/>
      <c r="CA244" s="212"/>
      <c r="CB244" s="212"/>
      <c r="CC244" s="212"/>
      <c r="CD244" s="212"/>
      <c r="CE244" s="212"/>
    </row>
    <row r="245" spans="1:83" ht="12.75" customHeight="1" x14ac:dyDescent="0.2">
      <c r="A245" s="1105"/>
      <c r="B245" s="1106" t="str">
        <f>IF(Stammblatt!$L$4=1,'Kalkulation Herstellungskosten'!BB245,'Kalkulation Herstellungskosten'!BC245)</f>
        <v>Σ-GAGEN (inkl. SZ u. UEL)</v>
      </c>
      <c r="C245" s="1125">
        <f>SUM(C32:C244)</f>
        <v>0</v>
      </c>
      <c r="D245" s="1126"/>
      <c r="E245" s="372"/>
      <c r="F245" s="372">
        <f>SUM(F32:F244)</f>
        <v>0</v>
      </c>
      <c r="G245" s="372"/>
      <c r="H245" s="372"/>
      <c r="I245" s="1127"/>
      <c r="J245" s="1128"/>
      <c r="K245" s="372"/>
      <c r="L245" s="1129">
        <f>SUM(L32:L244)</f>
        <v>0</v>
      </c>
      <c r="M245" s="1129">
        <f>SUM(M32:M244)</f>
        <v>0</v>
      </c>
      <c r="N245" s="1130"/>
      <c r="O245" s="1051">
        <f>SUM(O32:O244)</f>
        <v>0</v>
      </c>
      <c r="P245" s="1051">
        <f>SUM(P32:P244)</f>
        <v>0</v>
      </c>
      <c r="Q245" s="1051">
        <f>SUM(Q32:Q244)</f>
        <v>0</v>
      </c>
      <c r="R245" s="1051">
        <f>SUM(R32:R244)</f>
        <v>0</v>
      </c>
      <c r="S245" s="1046"/>
      <c r="T245" s="1133">
        <f>SUM(T32:T244)</f>
        <v>0</v>
      </c>
      <c r="U245" s="1051">
        <f>SUM(U32:U244)</f>
        <v>0</v>
      </c>
      <c r="V245" s="532">
        <f>SUM(V32:V244)</f>
        <v>0</v>
      </c>
      <c r="W245" s="1048">
        <f>F245-V245</f>
        <v>0</v>
      </c>
      <c r="X245" s="1051">
        <f>SUM(X32:X244)</f>
        <v>0</v>
      </c>
      <c r="Y245" s="1051">
        <f>SUM(Y32:Y244)</f>
        <v>0</v>
      </c>
      <c r="Z245" s="1051">
        <f>SUM(Z32:Z244)</f>
        <v>0</v>
      </c>
      <c r="AA245" s="1051">
        <f>SUM(AA32:AA244)</f>
        <v>0</v>
      </c>
      <c r="AB245" s="328"/>
      <c r="AC245" s="1062"/>
      <c r="AD245" s="1134">
        <f t="shared" ref="AD245:AO245" si="157">SUM(AD32:AD244)</f>
        <v>0</v>
      </c>
      <c r="AE245" s="820">
        <f t="shared" si="157"/>
        <v>0</v>
      </c>
      <c r="AF245" s="532">
        <f t="shared" si="157"/>
        <v>0</v>
      </c>
      <c r="AG245" s="532">
        <f t="shared" si="157"/>
        <v>0</v>
      </c>
      <c r="AH245" s="1134">
        <f t="shared" si="157"/>
        <v>0</v>
      </c>
      <c r="AI245" s="820">
        <f t="shared" si="157"/>
        <v>0</v>
      </c>
      <c r="AJ245" s="532">
        <f t="shared" si="157"/>
        <v>0</v>
      </c>
      <c r="AK245" s="532">
        <f t="shared" si="157"/>
        <v>0</v>
      </c>
      <c r="AL245" s="1134">
        <f t="shared" si="157"/>
        <v>0</v>
      </c>
      <c r="AM245" s="820">
        <f t="shared" si="157"/>
        <v>0</v>
      </c>
      <c r="AN245" s="532">
        <f t="shared" si="157"/>
        <v>0</v>
      </c>
      <c r="AO245" s="532">
        <f t="shared" si="157"/>
        <v>0</v>
      </c>
      <c r="AP245" s="1079">
        <f t="shared" si="153"/>
        <v>0</v>
      </c>
      <c r="AQ245" s="1079">
        <f t="shared" ref="AQ245" si="158">SUM(AO245,AK245,AG245,V245)</f>
        <v>0</v>
      </c>
      <c r="AR245" s="1080">
        <f t="shared" ref="AR245" si="159">AP245-AQ245</f>
        <v>0</v>
      </c>
      <c r="AS245" s="307"/>
      <c r="AT245" s="307"/>
      <c r="AU245" s="307"/>
      <c r="AV245" s="307"/>
      <c r="AW245" s="307"/>
      <c r="AX245" s="307"/>
      <c r="AY245" s="307"/>
      <c r="AZ245" s="307"/>
      <c r="BA245" s="307"/>
      <c r="BB245" s="196" t="s">
        <v>313</v>
      </c>
      <c r="BC245" s="196" t="s">
        <v>347</v>
      </c>
      <c r="BD245" s="212"/>
      <c r="BE245" s="212"/>
      <c r="BF245" s="212"/>
      <c r="BG245" s="212"/>
      <c r="BH245" s="212"/>
      <c r="BI245" s="212"/>
      <c r="BJ245" s="212"/>
      <c r="BK245" s="212"/>
      <c r="BL245" s="212"/>
      <c r="BM245" s="212"/>
      <c r="BN245" s="212"/>
      <c r="BO245" s="212"/>
      <c r="BP245" s="212"/>
      <c r="BQ245" s="212"/>
      <c r="BR245" s="212"/>
      <c r="BS245" s="212"/>
      <c r="BT245" s="212"/>
      <c r="BU245" s="212"/>
      <c r="BV245" s="212"/>
      <c r="BW245" s="212"/>
      <c r="BX245" s="212"/>
      <c r="BY245" s="212"/>
      <c r="BZ245" s="212"/>
      <c r="CA245" s="212"/>
      <c r="CB245" s="212"/>
      <c r="CC245" s="212"/>
      <c r="CD245" s="212"/>
      <c r="CE245" s="212"/>
    </row>
    <row r="246" spans="1:83" ht="12.75" customHeight="1" x14ac:dyDescent="0.2">
      <c r="A246" s="1055"/>
      <c r="B246" s="490"/>
      <c r="C246" s="490"/>
      <c r="D246" s="328"/>
      <c r="E246" s="371"/>
      <c r="F246" s="458"/>
      <c r="G246" s="1056"/>
      <c r="H246" s="1056"/>
      <c r="I246" s="1057"/>
      <c r="J246" s="1058"/>
      <c r="K246" s="1056"/>
      <c r="L246" s="1056"/>
      <c r="M246" s="1056"/>
      <c r="N246" s="335"/>
      <c r="O246" s="1059"/>
      <c r="P246" s="1059"/>
      <c r="Q246" s="1059"/>
      <c r="R246" s="1059"/>
      <c r="S246" s="1046"/>
      <c r="T246" s="1060"/>
      <c r="U246" s="1041"/>
      <c r="V246" s="1041"/>
      <c r="W246" s="1042"/>
      <c r="X246" s="1041"/>
      <c r="Y246" s="1059"/>
      <c r="Z246" s="1059"/>
      <c r="AA246" s="1059"/>
      <c r="AB246" s="328"/>
      <c r="AC246" s="1062"/>
      <c r="AD246" s="1063"/>
      <c r="AE246" s="820"/>
      <c r="AF246" s="822"/>
      <c r="AG246" s="822"/>
      <c r="AH246" s="1063"/>
      <c r="AI246" s="820"/>
      <c r="AJ246" s="822"/>
      <c r="AK246" s="822"/>
      <c r="AL246" s="1063"/>
      <c r="AM246" s="820"/>
      <c r="AN246" s="822"/>
      <c r="AO246" s="822"/>
      <c r="AP246" s="1079"/>
      <c r="AQ246" s="1079"/>
      <c r="AR246" s="1132"/>
      <c r="AS246" s="307"/>
      <c r="AT246" s="307"/>
      <c r="AU246" s="307"/>
      <c r="AV246" s="307"/>
      <c r="AW246" s="307"/>
      <c r="AX246" s="307"/>
      <c r="AY246" s="307"/>
      <c r="AZ246" s="307"/>
      <c r="BA246" s="307"/>
      <c r="BB246" s="196"/>
      <c r="BC246" s="196"/>
      <c r="BD246" s="212"/>
      <c r="BE246" s="212"/>
      <c r="BF246" s="212"/>
      <c r="BG246" s="212"/>
      <c r="BH246" s="212"/>
      <c r="BI246" s="212"/>
      <c r="BJ246" s="212"/>
      <c r="BK246" s="212"/>
      <c r="BL246" s="212"/>
      <c r="BM246" s="212"/>
      <c r="BN246" s="212"/>
      <c r="BO246" s="212"/>
      <c r="BP246" s="212"/>
      <c r="BQ246" s="212"/>
      <c r="BR246" s="212"/>
      <c r="BS246" s="212"/>
      <c r="BT246" s="212"/>
      <c r="BU246" s="212"/>
      <c r="BV246" s="212"/>
      <c r="BW246" s="212"/>
      <c r="BX246" s="212"/>
      <c r="BY246" s="212"/>
      <c r="BZ246" s="212"/>
      <c r="CA246" s="212"/>
      <c r="CB246" s="212"/>
      <c r="CC246" s="212"/>
      <c r="CD246" s="212"/>
      <c r="CE246" s="212"/>
    </row>
    <row r="247" spans="1:83" ht="12.75" customHeight="1" x14ac:dyDescent="0.2">
      <c r="A247" s="1091">
        <v>82</v>
      </c>
      <c r="B247" s="1082" t="str">
        <f>IF(Stammblatt!$L$4=1,'Kalkulation Herstellungskosten'!BB247,'Kalkulation Herstellungskosten'!BC247)</f>
        <v>DarstellerInnen</v>
      </c>
      <c r="C247" s="491">
        <f>DarstellerInnen!D55/5</f>
        <v>0</v>
      </c>
      <c r="D247" s="492" t="str">
        <f>IF(Stammblatt!$L$4=1,"Wochen","weeks")</f>
        <v>Wochen</v>
      </c>
      <c r="E247" s="317"/>
      <c r="F247" s="396">
        <f>DarstellerInnen!G55</f>
        <v>0</v>
      </c>
      <c r="G247" s="1035"/>
      <c r="H247" s="1035"/>
      <c r="I247" s="1086"/>
      <c r="J247" s="322"/>
      <c r="K247" s="320"/>
      <c r="L247" s="373">
        <f>F247-M247</f>
        <v>0</v>
      </c>
      <c r="M247" s="373">
        <f>SUMIF(DarstellerInnen!Q4:Q53,"x",DarstellerInnen!G4:G53)</f>
        <v>0</v>
      </c>
      <c r="N247" s="357"/>
      <c r="O247" s="512"/>
      <c r="P247" s="506"/>
      <c r="Q247" s="507"/>
      <c r="R247" s="505"/>
      <c r="S247" s="502"/>
      <c r="T247" s="507"/>
      <c r="U247" s="505"/>
      <c r="V247" s="831">
        <f>SUM(T247:U247)</f>
        <v>0</v>
      </c>
      <c r="W247" s="397">
        <f>F247-V247</f>
        <v>0</v>
      </c>
      <c r="X247" s="512"/>
      <c r="Y247" s="508"/>
      <c r="Z247" s="507"/>
      <c r="AA247" s="505"/>
      <c r="AB247" s="295"/>
      <c r="AC247" s="305"/>
      <c r="AD247" s="821">
        <f>DarstellerInnen!W55</f>
        <v>0</v>
      </c>
      <c r="AE247" s="800"/>
      <c r="AF247" s="801"/>
      <c r="AG247" s="831">
        <f>SUM(AE247:AF247)</f>
        <v>0</v>
      </c>
      <c r="AH247" s="821">
        <f>DarstellerInnen!X55</f>
        <v>0</v>
      </c>
      <c r="AI247" s="800"/>
      <c r="AJ247" s="801"/>
      <c r="AK247" s="831">
        <f>SUM(AI247:AJ247)</f>
        <v>0</v>
      </c>
      <c r="AL247" s="821">
        <f>DarstellerInnen!Y55</f>
        <v>0</v>
      </c>
      <c r="AM247" s="800"/>
      <c r="AN247" s="801"/>
      <c r="AO247" s="831">
        <f>SUM(AM247:AN247)</f>
        <v>0</v>
      </c>
      <c r="AP247" s="1079">
        <f t="shared" si="153"/>
        <v>0</v>
      </c>
      <c r="AQ247" s="1079">
        <f t="shared" ref="AQ247:AQ248" si="160">SUM(AO247,AK247,AG247,V247)</f>
        <v>0</v>
      </c>
      <c r="AR247" s="1080">
        <f t="shared" ref="AR247:AR248" si="161">AP247-AQ247</f>
        <v>0</v>
      </c>
      <c r="AS247" s="307"/>
      <c r="AT247" s="307"/>
      <c r="AU247" s="307"/>
      <c r="AV247" s="307"/>
      <c r="AW247" s="307"/>
      <c r="AX247" s="307"/>
      <c r="AY247" s="307"/>
      <c r="AZ247" s="307"/>
      <c r="BA247" s="307"/>
      <c r="BB247" s="196" t="s">
        <v>624</v>
      </c>
      <c r="BC247" s="196" t="s">
        <v>502</v>
      </c>
      <c r="BD247" s="212"/>
      <c r="BE247" s="212"/>
      <c r="BF247" s="212"/>
      <c r="BG247" s="212"/>
      <c r="BH247" s="212"/>
      <c r="BI247" s="212"/>
      <c r="BJ247" s="212"/>
      <c r="BK247" s="212"/>
      <c r="BL247" s="212"/>
      <c r="BM247" s="212"/>
      <c r="BN247" s="212"/>
      <c r="BO247" s="212"/>
      <c r="BP247" s="212"/>
      <c r="BQ247" s="212"/>
      <c r="BR247" s="212"/>
      <c r="BS247" s="212"/>
      <c r="BT247" s="212"/>
      <c r="BU247" s="212"/>
      <c r="BV247" s="212"/>
      <c r="BW247" s="212"/>
      <c r="BX247" s="212"/>
      <c r="BY247" s="212"/>
      <c r="BZ247" s="212"/>
      <c r="CA247" s="212"/>
      <c r="CB247" s="212"/>
      <c r="CC247" s="212"/>
      <c r="CD247" s="212"/>
      <c r="CE247" s="212"/>
    </row>
    <row r="248" spans="1:83" ht="12.75" customHeight="1" x14ac:dyDescent="0.2">
      <c r="A248" s="1091">
        <v>83</v>
      </c>
      <c r="B248" s="1082" t="str">
        <f>IF(Stammblatt!$L$4=1,'Kalkulation Herstellungskosten'!BB248,'Kalkulation Herstellungskosten'!BC248)</f>
        <v>MusikerInnen, Tänzer, Sänger</v>
      </c>
      <c r="C248" s="30">
        <v>0</v>
      </c>
      <c r="D248" s="492" t="str">
        <f>IF(Stammblatt!$L$4=1,"Wochen","weeks")</f>
        <v>Wochen</v>
      </c>
      <c r="E248" s="33">
        <v>0</v>
      </c>
      <c r="F248" s="396">
        <f>C248*E248</f>
        <v>0</v>
      </c>
      <c r="G248" s="1035"/>
      <c r="H248" s="1035"/>
      <c r="I248" s="1086"/>
      <c r="J248" s="347"/>
      <c r="K248" s="348"/>
      <c r="L248" s="356"/>
      <c r="M248" s="356"/>
      <c r="N248" s="357"/>
      <c r="O248" s="512"/>
      <c r="P248" s="506"/>
      <c r="Q248" s="507"/>
      <c r="R248" s="505"/>
      <c r="S248" s="502"/>
      <c r="T248" s="507"/>
      <c r="U248" s="505"/>
      <c r="V248" s="831">
        <f>SUM(T248:U248)</f>
        <v>0</v>
      </c>
      <c r="W248" s="397">
        <f>F248-V248</f>
        <v>0</v>
      </c>
      <c r="X248" s="512"/>
      <c r="Y248" s="508"/>
      <c r="Z248" s="507"/>
      <c r="AA248" s="505"/>
      <c r="AB248" s="295"/>
      <c r="AC248" s="305"/>
      <c r="AD248" s="799"/>
      <c r="AE248" s="800"/>
      <c r="AF248" s="801"/>
      <c r="AG248" s="831">
        <f>SUM(AE248:AF248)</f>
        <v>0</v>
      </c>
      <c r="AH248" s="799"/>
      <c r="AI248" s="800"/>
      <c r="AJ248" s="801"/>
      <c r="AK248" s="831">
        <f>SUM(AI248:AJ248)</f>
        <v>0</v>
      </c>
      <c r="AL248" s="799"/>
      <c r="AM248" s="800"/>
      <c r="AN248" s="801"/>
      <c r="AO248" s="831">
        <f>SUM(AM248:AN248)</f>
        <v>0</v>
      </c>
      <c r="AP248" s="1079">
        <f t="shared" si="153"/>
        <v>0</v>
      </c>
      <c r="AQ248" s="1079">
        <f t="shared" si="160"/>
        <v>0</v>
      </c>
      <c r="AR248" s="1080">
        <f t="shared" si="161"/>
        <v>0</v>
      </c>
      <c r="AS248" s="307"/>
      <c r="AT248" s="307"/>
      <c r="AU248" s="307"/>
      <c r="AV248" s="307"/>
      <c r="AW248" s="307"/>
      <c r="AX248" s="307"/>
      <c r="AY248" s="307"/>
      <c r="AZ248" s="307"/>
      <c r="BA248" s="307"/>
      <c r="BB248" s="196" t="s">
        <v>626</v>
      </c>
      <c r="BC248" s="196" t="s">
        <v>627</v>
      </c>
      <c r="BD248" s="212"/>
      <c r="BE248" s="212"/>
      <c r="BF248" s="212"/>
      <c r="BG248" s="212"/>
      <c r="BH248" s="212"/>
      <c r="BI248" s="212"/>
      <c r="BJ248" s="212"/>
      <c r="BK248" s="212"/>
      <c r="BL248" s="212"/>
      <c r="BM248" s="212"/>
      <c r="BN248" s="212"/>
      <c r="BO248" s="212"/>
      <c r="BP248" s="212"/>
      <c r="BQ248" s="212"/>
      <c r="BR248" s="212"/>
      <c r="BS248" s="212"/>
      <c r="BT248" s="212"/>
      <c r="BU248" s="212"/>
      <c r="BV248" s="212"/>
      <c r="BW248" s="212"/>
      <c r="BX248" s="212"/>
      <c r="BY248" s="212"/>
      <c r="BZ248" s="212"/>
      <c r="CA248" s="212"/>
      <c r="CB248" s="212"/>
      <c r="CC248" s="212"/>
      <c r="CD248" s="212"/>
      <c r="CE248" s="212"/>
    </row>
    <row r="249" spans="1:83" ht="12.75" customHeight="1" x14ac:dyDescent="0.2">
      <c r="A249" s="1055"/>
      <c r="B249" s="496"/>
      <c r="C249" s="303"/>
      <c r="D249" s="295"/>
      <c r="E249" s="303"/>
      <c r="F249" s="304"/>
      <c r="G249" s="1056"/>
      <c r="H249" s="1056"/>
      <c r="I249" s="1057"/>
      <c r="J249" s="325"/>
      <c r="K249" s="324"/>
      <c r="L249" s="324"/>
      <c r="M249" s="324"/>
      <c r="N249" s="326"/>
      <c r="O249" s="509"/>
      <c r="P249" s="509"/>
      <c r="Q249" s="509"/>
      <c r="R249" s="509"/>
      <c r="S249" s="514"/>
      <c r="T249" s="510"/>
      <c r="U249" s="327"/>
      <c r="V249" s="1041"/>
      <c r="W249" s="1042"/>
      <c r="X249" s="327"/>
      <c r="Y249" s="509"/>
      <c r="Z249" s="509"/>
      <c r="AA249" s="509"/>
      <c r="AB249" s="295"/>
      <c r="AC249" s="305"/>
      <c r="AD249" s="810"/>
      <c r="AE249" s="812"/>
      <c r="AF249" s="805"/>
      <c r="AG249" s="822"/>
      <c r="AH249" s="810"/>
      <c r="AI249" s="812"/>
      <c r="AJ249" s="805"/>
      <c r="AK249" s="822"/>
      <c r="AL249" s="810"/>
      <c r="AM249" s="812"/>
      <c r="AN249" s="805"/>
      <c r="AO249" s="822"/>
      <c r="AP249" s="1079"/>
      <c r="AQ249" s="1079"/>
      <c r="AR249" s="1132"/>
      <c r="AS249" s="307"/>
      <c r="AT249" s="307"/>
      <c r="AU249" s="307"/>
      <c r="AV249" s="307"/>
      <c r="AW249" s="307"/>
      <c r="AX249" s="307"/>
      <c r="AY249" s="307"/>
      <c r="AZ249" s="307"/>
      <c r="BA249" s="307"/>
      <c r="BB249" s="196"/>
      <c r="BC249" s="196"/>
      <c r="BD249" s="212"/>
      <c r="BE249" s="212"/>
      <c r="BF249" s="212"/>
      <c r="BG249" s="212"/>
      <c r="BH249" s="212"/>
      <c r="BI249" s="212"/>
      <c r="BJ249" s="212"/>
      <c r="BK249" s="212"/>
      <c r="BL249" s="212"/>
      <c r="BM249" s="212"/>
      <c r="BN249" s="212"/>
      <c r="BO249" s="212"/>
      <c r="BP249" s="212"/>
      <c r="BQ249" s="212"/>
      <c r="BR249" s="212"/>
      <c r="BS249" s="212"/>
      <c r="BT249" s="212"/>
      <c r="BU249" s="212"/>
      <c r="BV249" s="212"/>
      <c r="BW249" s="212"/>
      <c r="BX249" s="212"/>
      <c r="BY249" s="212"/>
      <c r="BZ249" s="212"/>
      <c r="CA249" s="212"/>
      <c r="CB249" s="212"/>
      <c r="CC249" s="212"/>
      <c r="CD249" s="212"/>
      <c r="CE249" s="212"/>
    </row>
    <row r="250" spans="1:83" ht="12.75" customHeight="1" x14ac:dyDescent="0.2">
      <c r="A250" s="1107">
        <v>84</v>
      </c>
      <c r="B250" s="1108" t="str">
        <f>IF(Stammblatt!$L$4=1,'Kalkulation Herstellungskosten'!BB250,'Kalkulation Herstellungskosten'!BC250)</f>
        <v>Lohnnebenkosten (Dienstgeber)</v>
      </c>
      <c r="C250" s="364"/>
      <c r="D250" s="365"/>
      <c r="E250" s="364"/>
      <c r="F250" s="362"/>
      <c r="G250" s="1164"/>
      <c r="H250" s="1164"/>
      <c r="I250" s="1165"/>
      <c r="J250" s="369"/>
      <c r="K250" s="361"/>
      <c r="L250" s="361"/>
      <c r="M250" s="361"/>
      <c r="N250" s="370"/>
      <c r="O250" s="518"/>
      <c r="P250" s="518"/>
      <c r="Q250" s="518"/>
      <c r="R250" s="518"/>
      <c r="S250" s="514"/>
      <c r="T250" s="519"/>
      <c r="U250" s="395"/>
      <c r="V250" s="1049"/>
      <c r="W250" s="1044"/>
      <c r="X250" s="395"/>
      <c r="Y250" s="518"/>
      <c r="Z250" s="518"/>
      <c r="AA250" s="518"/>
      <c r="AB250" s="295"/>
      <c r="AC250" s="305"/>
      <c r="AD250" s="1063"/>
      <c r="AE250" s="1240"/>
      <c r="AF250" s="1063"/>
      <c r="AG250" s="1063"/>
      <c r="AH250" s="310"/>
      <c r="AI250" s="310"/>
      <c r="AJ250" s="1063"/>
      <c r="AK250" s="1063"/>
      <c r="AL250" s="310"/>
      <c r="AM250" s="310"/>
      <c r="AN250" s="1063"/>
      <c r="AO250" s="1063"/>
      <c r="AP250" s="1063"/>
      <c r="AQ250" s="1063"/>
      <c r="AR250" s="1063"/>
      <c r="AS250" s="307"/>
      <c r="AT250" s="307"/>
      <c r="AU250" s="307"/>
      <c r="AV250" s="307"/>
      <c r="AW250" s="307"/>
      <c r="AX250" s="307"/>
      <c r="AY250" s="307"/>
      <c r="AZ250" s="307"/>
      <c r="BA250" s="307"/>
      <c r="BB250" s="196" t="s">
        <v>628</v>
      </c>
      <c r="BC250" s="196" t="s">
        <v>629</v>
      </c>
      <c r="BD250" s="212"/>
      <c r="BE250" s="212"/>
      <c r="BF250" s="212"/>
      <c r="BG250" s="212"/>
      <c r="BH250" s="212"/>
      <c r="BI250" s="212"/>
      <c r="BJ250" s="212"/>
      <c r="BK250" s="212"/>
      <c r="BL250" s="212"/>
      <c r="BM250" s="212"/>
      <c r="BN250" s="212"/>
      <c r="BO250" s="212"/>
      <c r="BP250" s="212"/>
      <c r="BQ250" s="212"/>
      <c r="BR250" s="212"/>
      <c r="BS250" s="212"/>
      <c r="BT250" s="212"/>
      <c r="BU250" s="212"/>
      <c r="BV250" s="212"/>
      <c r="BW250" s="212"/>
      <c r="BX250" s="212"/>
      <c r="BY250" s="212"/>
      <c r="BZ250" s="212"/>
      <c r="CA250" s="212"/>
      <c r="CB250" s="212"/>
      <c r="CC250" s="212"/>
      <c r="CD250" s="212"/>
      <c r="CE250" s="212"/>
    </row>
    <row r="251" spans="1:83" ht="12.75" customHeight="1" x14ac:dyDescent="0.2">
      <c r="A251" s="1055"/>
      <c r="B251" s="1109" t="str">
        <f>IF(Stammblatt!$L$4=1,'Kalkulation Herstellungskosten'!BB251,'Kalkulation Herstellungskosten'!BC251)</f>
        <v>DG SV-Beitrag</v>
      </c>
      <c r="C251" s="303"/>
      <c r="D251" s="295"/>
      <c r="E251" s="371">
        <f>SUM(Stab_Ö_Lohnnebenkosten!N147:Q147)+SUM(DarstellerInnen!J55:K55)</f>
        <v>0</v>
      </c>
      <c r="F251" s="304"/>
      <c r="G251" s="1056"/>
      <c r="H251" s="1056"/>
      <c r="I251" s="1057"/>
      <c r="J251" s="325"/>
      <c r="K251" s="324"/>
      <c r="L251" s="324"/>
      <c r="M251" s="324"/>
      <c r="N251" s="326"/>
      <c r="O251" s="512"/>
      <c r="P251" s="506"/>
      <c r="Q251" s="507"/>
      <c r="R251" s="505"/>
      <c r="S251" s="514"/>
      <c r="T251" s="520"/>
      <c r="U251" s="521"/>
      <c r="V251" s="1041">
        <f t="shared" ref="V251:V256" si="162">SUM(T251:U251)</f>
        <v>0</v>
      </c>
      <c r="W251" s="1042">
        <f t="shared" ref="W251:W256" si="163">E251-V251</f>
        <v>0</v>
      </c>
      <c r="X251" s="512"/>
      <c r="Y251" s="508"/>
      <c r="Z251" s="507"/>
      <c r="AA251" s="505"/>
      <c r="AB251" s="295"/>
      <c r="AC251" s="305"/>
      <c r="AD251" s="822"/>
      <c r="AE251" s="1175"/>
      <c r="AF251" s="832"/>
      <c r="AG251" s="822"/>
      <c r="AH251" s="310"/>
      <c r="AI251" s="310"/>
      <c r="AJ251" s="832"/>
      <c r="AK251" s="822"/>
      <c r="AL251" s="310"/>
      <c r="AM251" s="310"/>
      <c r="AN251" s="832"/>
      <c r="AO251" s="822"/>
      <c r="AP251" s="822"/>
      <c r="AQ251" s="832"/>
      <c r="AR251" s="832"/>
      <c r="AS251" s="307"/>
      <c r="AT251" s="307"/>
      <c r="AU251" s="307"/>
      <c r="AV251" s="307"/>
      <c r="AW251" s="307"/>
      <c r="AX251" s="307"/>
      <c r="AY251" s="307"/>
      <c r="AZ251" s="307"/>
      <c r="BA251" s="307"/>
      <c r="BB251" s="196" t="s">
        <v>168</v>
      </c>
      <c r="BC251" s="196" t="s">
        <v>348</v>
      </c>
      <c r="BD251" s="212"/>
      <c r="BE251" s="212"/>
      <c r="BF251" s="212"/>
      <c r="BG251" s="212"/>
      <c r="BH251" s="212"/>
      <c r="BI251" s="212"/>
      <c r="BJ251" s="212"/>
      <c r="BK251" s="212"/>
      <c r="BL251" s="212"/>
      <c r="BM251" s="212"/>
      <c r="BN251" s="212"/>
      <c r="BO251" s="212"/>
      <c r="BP251" s="212"/>
      <c r="BQ251" s="212"/>
      <c r="BR251" s="212"/>
      <c r="BS251" s="212"/>
      <c r="BT251" s="212"/>
      <c r="BU251" s="212"/>
      <c r="BV251" s="212"/>
      <c r="BW251" s="212"/>
      <c r="BX251" s="212"/>
      <c r="BY251" s="212"/>
      <c r="BZ251" s="212"/>
      <c r="CA251" s="212"/>
      <c r="CB251" s="212"/>
      <c r="CC251" s="212"/>
      <c r="CD251" s="212"/>
      <c r="CE251" s="212"/>
    </row>
    <row r="252" spans="1:83" ht="12.75" customHeight="1" x14ac:dyDescent="0.2">
      <c r="A252" s="1055"/>
      <c r="B252" s="1109" t="str">
        <f>IF(Stammblatt!$L$4=1,'Kalkulation Herstellungskosten'!BB252,'Kalkulation Herstellungskosten'!BC252)</f>
        <v>MV-Beitrag</v>
      </c>
      <c r="C252" s="303"/>
      <c r="D252" s="295"/>
      <c r="E252" s="371">
        <f>Stab_Ö_Lohnnebenkosten!R147</f>
        <v>0</v>
      </c>
      <c r="F252" s="304"/>
      <c r="G252" s="1056"/>
      <c r="H252" s="1056"/>
      <c r="I252" s="1057"/>
      <c r="J252" s="325"/>
      <c r="K252" s="324"/>
      <c r="L252" s="324"/>
      <c r="M252" s="324"/>
      <c r="N252" s="326"/>
      <c r="O252" s="512"/>
      <c r="P252" s="506"/>
      <c r="Q252" s="507"/>
      <c r="R252" s="505"/>
      <c r="S252" s="514"/>
      <c r="T252" s="520"/>
      <c r="U252" s="521"/>
      <c r="V252" s="1041">
        <f t="shared" si="162"/>
        <v>0</v>
      </c>
      <c r="W252" s="1042">
        <f t="shared" si="163"/>
        <v>0</v>
      </c>
      <c r="X252" s="512"/>
      <c r="Y252" s="508"/>
      <c r="Z252" s="507"/>
      <c r="AA252" s="505"/>
      <c r="AB252" s="295"/>
      <c r="AC252" s="305"/>
      <c r="AD252" s="822"/>
      <c r="AE252" s="1175"/>
      <c r="AF252" s="832"/>
      <c r="AG252" s="822"/>
      <c r="AH252" s="310"/>
      <c r="AI252" s="310"/>
      <c r="AJ252" s="832"/>
      <c r="AK252" s="822"/>
      <c r="AL252" s="310"/>
      <c r="AM252" s="310"/>
      <c r="AN252" s="832"/>
      <c r="AO252" s="822"/>
      <c r="AP252" s="822"/>
      <c r="AQ252" s="832"/>
      <c r="AR252" s="832"/>
      <c r="AS252" s="307"/>
      <c r="AT252" s="307"/>
      <c r="AU252" s="307"/>
      <c r="AV252" s="307"/>
      <c r="AW252" s="307"/>
      <c r="AX252" s="307"/>
      <c r="AY252" s="307"/>
      <c r="AZ252" s="307"/>
      <c r="BA252" s="307"/>
      <c r="BB252" s="196" t="s">
        <v>169</v>
      </c>
      <c r="BC252" s="196" t="s">
        <v>349</v>
      </c>
      <c r="BD252" s="212"/>
      <c r="BE252" s="212"/>
      <c r="BF252" s="212"/>
      <c r="BG252" s="212"/>
      <c r="BH252" s="212"/>
      <c r="BI252" s="212"/>
      <c r="BJ252" s="212"/>
      <c r="BK252" s="212"/>
      <c r="BL252" s="212"/>
      <c r="BM252" s="212"/>
      <c r="BN252" s="212"/>
      <c r="BO252" s="212"/>
      <c r="BP252" s="212"/>
      <c r="BQ252" s="212"/>
      <c r="BR252" s="212"/>
      <c r="BS252" s="212"/>
      <c r="BT252" s="212"/>
      <c r="BU252" s="212"/>
      <c r="BV252" s="212"/>
      <c r="BW252" s="212"/>
      <c r="BX252" s="212"/>
      <c r="BY252" s="212"/>
      <c r="BZ252" s="212"/>
      <c r="CA252" s="212"/>
      <c r="CB252" s="212"/>
      <c r="CC252" s="212"/>
      <c r="CD252" s="212"/>
      <c r="CE252" s="212"/>
    </row>
    <row r="253" spans="1:83" ht="12.75" customHeight="1" x14ac:dyDescent="0.2">
      <c r="A253" s="1055"/>
      <c r="B253" s="1109" t="str">
        <f>IF(Stammblatt!$L$4=1,'Kalkulation Herstellungskosten'!BB253,'Kalkulation Herstellungskosten'!BC253)</f>
        <v>DB</v>
      </c>
      <c r="C253" s="303"/>
      <c r="D253" s="295"/>
      <c r="E253" s="371">
        <f>Stab_Ö_Lohnnebenkosten!S147+DarstellerInnen!L55</f>
        <v>0</v>
      </c>
      <c r="F253" s="304"/>
      <c r="G253" s="1056"/>
      <c r="H253" s="1056"/>
      <c r="I253" s="1057"/>
      <c r="J253" s="325"/>
      <c r="K253" s="324"/>
      <c r="L253" s="324"/>
      <c r="M253" s="324"/>
      <c r="N253" s="326"/>
      <c r="O253" s="512"/>
      <c r="P253" s="506"/>
      <c r="Q253" s="507"/>
      <c r="R253" s="505"/>
      <c r="S253" s="514"/>
      <c r="T253" s="520"/>
      <c r="U253" s="521"/>
      <c r="V253" s="1041">
        <f t="shared" si="162"/>
        <v>0</v>
      </c>
      <c r="W253" s="1042">
        <f t="shared" si="163"/>
        <v>0</v>
      </c>
      <c r="X253" s="512"/>
      <c r="Y253" s="508"/>
      <c r="Z253" s="507"/>
      <c r="AA253" s="505"/>
      <c r="AB253" s="295"/>
      <c r="AC253" s="305"/>
      <c r="AD253" s="822"/>
      <c r="AE253" s="1175"/>
      <c r="AF253" s="832"/>
      <c r="AG253" s="822"/>
      <c r="AH253" s="310"/>
      <c r="AI253" s="310"/>
      <c r="AJ253" s="832"/>
      <c r="AK253" s="822"/>
      <c r="AL253" s="310"/>
      <c r="AM253" s="310"/>
      <c r="AN253" s="832"/>
      <c r="AO253" s="822"/>
      <c r="AP253" s="822"/>
      <c r="AQ253" s="832"/>
      <c r="AR253" s="832"/>
      <c r="AS253" s="307"/>
      <c r="AT253" s="307"/>
      <c r="AU253" s="307"/>
      <c r="AV253" s="307"/>
      <c r="AW253" s="307"/>
      <c r="AX253" s="307"/>
      <c r="AY253" s="307"/>
      <c r="AZ253" s="307"/>
      <c r="BA253" s="307"/>
      <c r="BB253" s="196" t="s">
        <v>131</v>
      </c>
      <c r="BC253" s="196" t="s">
        <v>131</v>
      </c>
      <c r="BD253" s="212"/>
      <c r="BE253" s="212"/>
      <c r="BF253" s="212"/>
      <c r="BG253" s="212"/>
      <c r="BH253" s="212"/>
      <c r="BI253" s="212"/>
      <c r="BJ253" s="212"/>
      <c r="BK253" s="212"/>
      <c r="BL253" s="212"/>
      <c r="BM253" s="212"/>
      <c r="BN253" s="212"/>
      <c r="BO253" s="212"/>
      <c r="BP253" s="212"/>
      <c r="BQ253" s="212"/>
      <c r="BR253" s="212"/>
      <c r="BS253" s="212"/>
      <c r="BT253" s="212"/>
      <c r="BU253" s="212"/>
      <c r="BV253" s="212"/>
      <c r="BW253" s="212"/>
      <c r="BX253" s="212"/>
      <c r="BY253" s="212"/>
      <c r="BZ253" s="212"/>
      <c r="CA253" s="212"/>
      <c r="CB253" s="212"/>
      <c r="CC253" s="212"/>
      <c r="CD253" s="212"/>
      <c r="CE253" s="212"/>
    </row>
    <row r="254" spans="1:83" ht="12.75" customHeight="1" x14ac:dyDescent="0.2">
      <c r="A254" s="1055"/>
      <c r="B254" s="1109" t="str">
        <f>IF(Stammblatt!$L$4=1,'Kalkulation Herstellungskosten'!BB254,'Kalkulation Herstellungskosten'!BC254)</f>
        <v>DZ</v>
      </c>
      <c r="C254" s="303"/>
      <c r="D254" s="295"/>
      <c r="E254" s="371">
        <f>Stab_Ö_Lohnnebenkosten!T147+DarstellerInnen!M55</f>
        <v>0</v>
      </c>
      <c r="F254" s="304"/>
      <c r="G254" s="1056"/>
      <c r="H254" s="1056"/>
      <c r="I254" s="1057"/>
      <c r="J254" s="325"/>
      <c r="K254" s="324"/>
      <c r="L254" s="324"/>
      <c r="M254" s="324"/>
      <c r="N254" s="326"/>
      <c r="O254" s="512"/>
      <c r="P254" s="506"/>
      <c r="Q254" s="507"/>
      <c r="R254" s="505"/>
      <c r="S254" s="514"/>
      <c r="T254" s="520"/>
      <c r="U254" s="521"/>
      <c r="V254" s="1041">
        <f t="shared" si="162"/>
        <v>0</v>
      </c>
      <c r="W254" s="1042">
        <f t="shared" si="163"/>
        <v>0</v>
      </c>
      <c r="X254" s="512"/>
      <c r="Y254" s="508"/>
      <c r="Z254" s="507"/>
      <c r="AA254" s="505"/>
      <c r="AB254" s="295"/>
      <c r="AC254" s="305"/>
      <c r="AD254" s="822"/>
      <c r="AE254" s="1175"/>
      <c r="AF254" s="832"/>
      <c r="AG254" s="822"/>
      <c r="AH254" s="310"/>
      <c r="AI254" s="310"/>
      <c r="AJ254" s="832"/>
      <c r="AK254" s="822"/>
      <c r="AL254" s="310"/>
      <c r="AM254" s="310"/>
      <c r="AN254" s="832"/>
      <c r="AO254" s="822"/>
      <c r="AP254" s="822"/>
      <c r="AQ254" s="832"/>
      <c r="AR254" s="832"/>
      <c r="AS254" s="307"/>
      <c r="AT254" s="307"/>
      <c r="AU254" s="307"/>
      <c r="AV254" s="307"/>
      <c r="AW254" s="307"/>
      <c r="AX254" s="307"/>
      <c r="AY254" s="307"/>
      <c r="AZ254" s="307"/>
      <c r="BA254" s="307"/>
      <c r="BB254" s="196" t="s">
        <v>132</v>
      </c>
      <c r="BC254" s="196" t="s">
        <v>132</v>
      </c>
      <c r="BD254" s="212"/>
      <c r="BE254" s="212"/>
      <c r="BF254" s="212"/>
      <c r="BG254" s="212"/>
      <c r="BH254" s="212"/>
      <c r="BI254" s="212"/>
      <c r="BJ254" s="212"/>
      <c r="BK254" s="212"/>
      <c r="BL254" s="212"/>
      <c r="BM254" s="212"/>
      <c r="BN254" s="212"/>
      <c r="BO254" s="212"/>
      <c r="BP254" s="212"/>
      <c r="BQ254" s="212"/>
      <c r="BR254" s="212"/>
      <c r="BS254" s="212"/>
      <c r="BT254" s="212"/>
      <c r="BU254" s="212"/>
      <c r="BV254" s="212"/>
      <c r="BW254" s="212"/>
      <c r="BX254" s="212"/>
      <c r="BY254" s="212"/>
      <c r="BZ254" s="212"/>
      <c r="CA254" s="212"/>
      <c r="CB254" s="212"/>
      <c r="CC254" s="212"/>
      <c r="CD254" s="212"/>
      <c r="CE254" s="212"/>
    </row>
    <row r="255" spans="1:83" ht="12.75" customHeight="1" x14ac:dyDescent="0.2">
      <c r="A255" s="1055"/>
      <c r="B255" s="1109" t="str">
        <f>IF(Stammblatt!$L$4=1,'Kalkulation Herstellungskosten'!BB255,'Kalkulation Herstellungskosten'!BC255)</f>
        <v>Kommunalsteuer</v>
      </c>
      <c r="C255" s="303"/>
      <c r="D255" s="295"/>
      <c r="E255" s="371">
        <f>Stab_Ö_Lohnnebenkosten!U147+DarstellerInnen!N55</f>
        <v>0</v>
      </c>
      <c r="F255" s="304"/>
      <c r="G255" s="1056"/>
      <c r="H255" s="1056"/>
      <c r="I255" s="1057"/>
      <c r="J255" s="325"/>
      <c r="K255" s="324"/>
      <c r="L255" s="324"/>
      <c r="M255" s="324"/>
      <c r="N255" s="326"/>
      <c r="O255" s="512"/>
      <c r="P255" s="506"/>
      <c r="Q255" s="507"/>
      <c r="R255" s="505"/>
      <c r="S255" s="514"/>
      <c r="T255" s="520"/>
      <c r="U255" s="521"/>
      <c r="V255" s="1041">
        <f t="shared" si="162"/>
        <v>0</v>
      </c>
      <c r="W255" s="1042">
        <f t="shared" si="163"/>
        <v>0</v>
      </c>
      <c r="X255" s="512"/>
      <c r="Y255" s="508"/>
      <c r="Z255" s="507"/>
      <c r="AA255" s="505"/>
      <c r="AB255" s="295"/>
      <c r="AC255" s="305"/>
      <c r="AD255" s="822"/>
      <c r="AE255" s="1175"/>
      <c r="AF255" s="832"/>
      <c r="AG255" s="822"/>
      <c r="AH255" s="310"/>
      <c r="AI255" s="310"/>
      <c r="AJ255" s="832"/>
      <c r="AK255" s="822"/>
      <c r="AL255" s="310"/>
      <c r="AM255" s="310"/>
      <c r="AN255" s="832"/>
      <c r="AO255" s="822"/>
      <c r="AP255" s="822"/>
      <c r="AQ255" s="832"/>
      <c r="AR255" s="832"/>
      <c r="AS255" s="307"/>
      <c r="AT255" s="307"/>
      <c r="AU255" s="307"/>
      <c r="AV255" s="307"/>
      <c r="AW255" s="307"/>
      <c r="AX255" s="307"/>
      <c r="AY255" s="307"/>
      <c r="AZ255" s="307"/>
      <c r="BA255" s="307"/>
      <c r="BB255" s="196" t="s">
        <v>47</v>
      </c>
      <c r="BC255" s="196" t="s">
        <v>350</v>
      </c>
      <c r="BD255" s="212"/>
      <c r="BE255" s="212"/>
      <c r="BF255" s="212"/>
      <c r="BG255" s="212"/>
      <c r="BH255" s="212"/>
      <c r="BI255" s="212"/>
      <c r="BJ255" s="212"/>
      <c r="BK255" s="212"/>
      <c r="BL255" s="212"/>
      <c r="BM255" s="212"/>
      <c r="BN255" s="212"/>
      <c r="BO255" s="212"/>
      <c r="BP255" s="212"/>
      <c r="BQ255" s="212"/>
      <c r="BR255" s="212"/>
      <c r="BS255" s="212"/>
      <c r="BT255" s="212"/>
      <c r="BU255" s="212"/>
      <c r="BV255" s="212"/>
      <c r="BW255" s="212"/>
      <c r="BX255" s="212"/>
      <c r="BY255" s="212"/>
      <c r="BZ255" s="212"/>
      <c r="CA255" s="212"/>
      <c r="CB255" s="212"/>
      <c r="CC255" s="212"/>
      <c r="CD255" s="212"/>
      <c r="CE255" s="212"/>
    </row>
    <row r="256" spans="1:83" ht="12.75" customHeight="1" x14ac:dyDescent="0.2">
      <c r="A256" s="1055"/>
      <c r="B256" s="1109" t="str">
        <f>IF(Stammblatt!$L$4=1,'Kalkulation Herstellungskosten'!BB256,'Kalkulation Herstellungskosten'!BC256)</f>
        <v>U-Bahn Abgabe</v>
      </c>
      <c r="C256" s="303"/>
      <c r="D256" s="295"/>
      <c r="E256" s="371">
        <f>Stab_Ö_Lohnnebenkosten!V147+DarstellerInnen!O55</f>
        <v>0</v>
      </c>
      <c r="F256" s="304"/>
      <c r="G256" s="1056"/>
      <c r="H256" s="1056"/>
      <c r="I256" s="1057"/>
      <c r="J256" s="325"/>
      <c r="K256" s="324"/>
      <c r="L256" s="324"/>
      <c r="M256" s="324"/>
      <c r="N256" s="326"/>
      <c r="O256" s="512"/>
      <c r="P256" s="506"/>
      <c r="Q256" s="507"/>
      <c r="R256" s="505"/>
      <c r="S256" s="514"/>
      <c r="T256" s="522"/>
      <c r="U256" s="523"/>
      <c r="V256" s="1050">
        <f t="shared" si="162"/>
        <v>0</v>
      </c>
      <c r="W256" s="1045">
        <f t="shared" si="163"/>
        <v>0</v>
      </c>
      <c r="X256" s="512"/>
      <c r="Y256" s="508"/>
      <c r="Z256" s="507"/>
      <c r="AA256" s="505"/>
      <c r="AB256" s="295"/>
      <c r="AC256" s="305"/>
      <c r="AD256" s="822"/>
      <c r="AE256" s="1175"/>
      <c r="AF256" s="1241"/>
      <c r="AG256" s="822"/>
      <c r="AH256" s="310"/>
      <c r="AI256" s="310"/>
      <c r="AJ256" s="1241"/>
      <c r="AK256" s="822"/>
      <c r="AL256" s="310"/>
      <c r="AM256" s="310"/>
      <c r="AN256" s="1241"/>
      <c r="AO256" s="822"/>
      <c r="AP256" s="822"/>
      <c r="AQ256" s="1065"/>
      <c r="AR256" s="1065"/>
      <c r="AS256" s="307"/>
      <c r="AT256" s="307"/>
      <c r="AU256" s="307"/>
      <c r="AV256" s="307"/>
      <c r="AW256" s="307"/>
      <c r="AX256" s="307"/>
      <c r="AY256" s="307"/>
      <c r="AZ256" s="307"/>
      <c r="BA256" s="307"/>
      <c r="BB256" s="196" t="s">
        <v>170</v>
      </c>
      <c r="BC256" s="196" t="s">
        <v>351</v>
      </c>
      <c r="BD256" s="212"/>
      <c r="BE256" s="212"/>
      <c r="BF256" s="212"/>
      <c r="BG256" s="212"/>
      <c r="BH256" s="212"/>
      <c r="BI256" s="212"/>
      <c r="BJ256" s="212"/>
      <c r="BK256" s="212"/>
      <c r="BL256" s="212"/>
      <c r="BM256" s="212"/>
      <c r="BN256" s="212"/>
      <c r="BO256" s="212"/>
      <c r="BP256" s="212"/>
      <c r="BQ256" s="212"/>
      <c r="BR256" s="212"/>
      <c r="BS256" s="212"/>
      <c r="BT256" s="212"/>
      <c r="BU256" s="212"/>
      <c r="BV256" s="212"/>
      <c r="BW256" s="212"/>
      <c r="BX256" s="212"/>
      <c r="BY256" s="212"/>
      <c r="BZ256" s="212"/>
      <c r="CA256" s="212"/>
      <c r="CB256" s="212"/>
      <c r="CC256" s="212"/>
      <c r="CD256" s="212"/>
      <c r="CE256" s="212"/>
    </row>
    <row r="257" spans="1:83" ht="12.75" customHeight="1" x14ac:dyDescent="0.2">
      <c r="A257" s="1110"/>
      <c r="B257" s="1111" t="str">
        <f>IF(Stammblatt!$L$4=1,'Kalkulation Herstellungskosten'!BB257,'Kalkulation Herstellungskosten'!BC257)</f>
        <v>Σ-Lohnnebenkosten</v>
      </c>
      <c r="C257" s="351"/>
      <c r="D257" s="352"/>
      <c r="E257" s="353"/>
      <c r="F257" s="372">
        <f>SUM(E251:E256)</f>
        <v>0</v>
      </c>
      <c r="G257" s="1056"/>
      <c r="H257" s="1056"/>
      <c r="I257" s="1056"/>
      <c r="J257" s="325"/>
      <c r="K257" s="324"/>
      <c r="L257" s="324"/>
      <c r="M257" s="324"/>
      <c r="N257" s="326"/>
      <c r="O257" s="1149">
        <f>SUM(O251:O256)</f>
        <v>0</v>
      </c>
      <c r="P257" s="1251">
        <f>SUM(P251:P256)</f>
        <v>0</v>
      </c>
      <c r="Q257" s="652">
        <f t="shared" ref="Q257:R257" si="164">SUM(Q251:Q256)</f>
        <v>0</v>
      </c>
      <c r="R257" s="652">
        <f t="shared" si="164"/>
        <v>0</v>
      </c>
      <c r="S257" s="514"/>
      <c r="T257" s="1133">
        <f>SUM(T251:T256)</f>
        <v>0</v>
      </c>
      <c r="U257" s="1051">
        <f>SUM(U251:U256)</f>
        <v>0</v>
      </c>
      <c r="V257" s="1051">
        <f>SUM(T257:U257)</f>
        <v>0</v>
      </c>
      <c r="W257" s="1048">
        <f>F257-V257</f>
        <v>0</v>
      </c>
      <c r="X257" s="1149">
        <f>SUM(X251:X256)</f>
        <v>0</v>
      </c>
      <c r="Y257" s="1150">
        <f>SUM(Y251:Y256)</f>
        <v>0</v>
      </c>
      <c r="Z257" s="1133">
        <f t="shared" ref="Z257:AA257" si="165">SUM(Z251:Z256)</f>
        <v>0</v>
      </c>
      <c r="AA257" s="1133">
        <f t="shared" si="165"/>
        <v>0</v>
      </c>
      <c r="AB257" s="295"/>
      <c r="AC257" s="305"/>
      <c r="AD257" s="823"/>
      <c r="AE257" s="1242">
        <v>0</v>
      </c>
      <c r="AF257" s="1243">
        <v>0</v>
      </c>
      <c r="AG257" s="824">
        <f>SUM(AE257:AF257)</f>
        <v>0</v>
      </c>
      <c r="AH257" s="823"/>
      <c r="AI257" s="800">
        <v>0</v>
      </c>
      <c r="AJ257" s="1244">
        <v>0</v>
      </c>
      <c r="AK257" s="532">
        <f>SUM(AI257:AJ257)</f>
        <v>0</v>
      </c>
      <c r="AL257" s="823"/>
      <c r="AM257" s="800">
        <v>0</v>
      </c>
      <c r="AN257" s="1244">
        <v>0</v>
      </c>
      <c r="AO257" s="532">
        <f>SUM(AM257:AN257)</f>
        <v>0</v>
      </c>
      <c r="AP257" s="1079">
        <f t="shared" ref="AP257" si="166">SUM(F257,AD257,AH257,AL257)</f>
        <v>0</v>
      </c>
      <c r="AQ257" s="1079">
        <f t="shared" ref="AQ257" si="167">SUM(AO257,AK257,AG257,V257)</f>
        <v>0</v>
      </c>
      <c r="AR257" s="1080">
        <f t="shared" ref="AR257" si="168">AP257-AQ257</f>
        <v>0</v>
      </c>
      <c r="AS257" s="307"/>
      <c r="AT257" s="307"/>
      <c r="AU257" s="307"/>
      <c r="AV257" s="307"/>
      <c r="AW257" s="307"/>
      <c r="AX257" s="307"/>
      <c r="AY257" s="307"/>
      <c r="AZ257" s="307"/>
      <c r="BA257" s="307"/>
      <c r="BB257" s="196" t="s">
        <v>229</v>
      </c>
      <c r="BC257" s="196" t="s">
        <v>471</v>
      </c>
      <c r="BD257" s="212"/>
      <c r="BE257" s="212"/>
      <c r="BF257" s="212"/>
      <c r="BG257" s="212"/>
      <c r="BH257" s="212"/>
      <c r="BI257" s="212"/>
      <c r="BJ257" s="212"/>
      <c r="BK257" s="212"/>
      <c r="BL257" s="212"/>
      <c r="BM257" s="212"/>
      <c r="BN257" s="212"/>
      <c r="BO257" s="212"/>
      <c r="BP257" s="212"/>
      <c r="BQ257" s="212"/>
      <c r="BR257" s="212"/>
      <c r="BS257" s="212"/>
      <c r="BT257" s="212"/>
      <c r="BU257" s="212"/>
      <c r="BV257" s="212"/>
      <c r="BW257" s="212"/>
      <c r="BX257" s="212"/>
      <c r="BY257" s="212"/>
      <c r="BZ257" s="212"/>
      <c r="CA257" s="212"/>
      <c r="CB257" s="212"/>
      <c r="CC257" s="212"/>
      <c r="CD257" s="212"/>
      <c r="CE257" s="212"/>
    </row>
    <row r="258" spans="1:83" ht="12.75" customHeight="1" x14ac:dyDescent="0.2">
      <c r="A258" s="1055"/>
      <c r="B258" s="496">
        <f>IF(Stammblatt!$L$4=1,'Kalkulation Herstellungskosten'!BB258,'Kalkulation Herstellungskosten'!BC258)</f>
        <v>0</v>
      </c>
      <c r="C258" s="303"/>
      <c r="D258" s="295"/>
      <c r="E258" s="304"/>
      <c r="F258" s="304"/>
      <c r="G258" s="1056"/>
      <c r="H258" s="1056"/>
      <c r="I258" s="1057"/>
      <c r="J258" s="325"/>
      <c r="K258" s="324"/>
      <c r="L258" s="324"/>
      <c r="M258" s="324"/>
      <c r="N258" s="326"/>
      <c r="O258" s="509"/>
      <c r="P258" s="509"/>
      <c r="Q258" s="509"/>
      <c r="R258" s="509"/>
      <c r="S258" s="514"/>
      <c r="T258" s="510"/>
      <c r="U258" s="327"/>
      <c r="V258" s="1041"/>
      <c r="W258" s="1042"/>
      <c r="X258" s="327"/>
      <c r="Y258" s="509"/>
      <c r="Z258" s="509"/>
      <c r="AA258" s="509"/>
      <c r="AB258" s="295"/>
      <c r="AC258" s="305"/>
      <c r="AD258" s="825"/>
      <c r="AE258" s="826"/>
      <c r="AF258" s="805"/>
      <c r="AG258" s="822"/>
      <c r="AH258" s="825"/>
      <c r="AI258" s="816"/>
      <c r="AJ258" s="805"/>
      <c r="AK258" s="822"/>
      <c r="AL258" s="825"/>
      <c r="AM258" s="816"/>
      <c r="AN258" s="805"/>
      <c r="AO258" s="822"/>
      <c r="AP258" s="1143"/>
      <c r="AQ258" s="1143"/>
      <c r="AR258" s="1144"/>
      <c r="AS258" s="307"/>
      <c r="AT258" s="307"/>
      <c r="AU258" s="307"/>
      <c r="AV258" s="307"/>
      <c r="AW258" s="307"/>
      <c r="AX258" s="307"/>
      <c r="AY258" s="307"/>
      <c r="AZ258" s="307"/>
      <c r="BA258" s="307"/>
      <c r="BB258" s="196"/>
      <c r="BC258" s="196"/>
      <c r="BD258" s="212"/>
      <c r="BE258" s="212"/>
      <c r="BF258" s="212"/>
      <c r="BG258" s="212"/>
      <c r="BH258" s="212"/>
      <c r="BI258" s="212"/>
      <c r="BJ258" s="212"/>
      <c r="BK258" s="212"/>
      <c r="BL258" s="212"/>
      <c r="BM258" s="212"/>
      <c r="BN258" s="212"/>
      <c r="BO258" s="212"/>
      <c r="BP258" s="212"/>
      <c r="BQ258" s="212"/>
      <c r="BR258" s="212"/>
      <c r="BS258" s="212"/>
      <c r="BT258" s="212"/>
      <c r="BU258" s="212"/>
      <c r="BV258" s="212"/>
      <c r="BW258" s="212"/>
      <c r="BX258" s="212"/>
      <c r="BY258" s="212"/>
      <c r="BZ258" s="212"/>
      <c r="CA258" s="212"/>
      <c r="CB258" s="212"/>
      <c r="CC258" s="212"/>
      <c r="CD258" s="212"/>
      <c r="CE258" s="212"/>
    </row>
    <row r="259" spans="1:83" ht="12.75" customHeight="1" x14ac:dyDescent="0.2">
      <c r="A259" s="1112">
        <v>85</v>
      </c>
      <c r="B259" s="1113" t="str">
        <f>IF(Stammblatt!$L$4=1,'Kalkulation Herstellungskosten'!BB259,'Kalkulation Herstellungskosten'!BC259)</f>
        <v>Reserve für Überstunden-, Sonn- und</v>
      </c>
      <c r="C259" s="367"/>
      <c r="D259" s="368"/>
      <c r="E259" s="355"/>
      <c r="F259" s="355"/>
      <c r="G259" s="1160"/>
      <c r="H259" s="1160"/>
      <c r="I259" s="1166"/>
      <c r="J259" s="347"/>
      <c r="K259" s="348"/>
      <c r="L259" s="348"/>
      <c r="M259" s="348"/>
      <c r="N259" s="349"/>
      <c r="O259" s="524"/>
      <c r="P259" s="524"/>
      <c r="Q259" s="524"/>
      <c r="R259" s="524"/>
      <c r="S259" s="514"/>
      <c r="T259" s="525"/>
      <c r="U259" s="398"/>
      <c r="V259" s="1052"/>
      <c r="W259" s="1045"/>
      <c r="X259" s="398"/>
      <c r="Y259" s="524"/>
      <c r="Z259" s="509"/>
      <c r="AA259" s="509"/>
      <c r="AB259" s="295"/>
      <c r="AC259" s="305"/>
      <c r="AD259" s="827"/>
      <c r="AE259" s="817"/>
      <c r="AF259" s="806"/>
      <c r="AG259" s="1065"/>
      <c r="AH259" s="827"/>
      <c r="AI259" s="817"/>
      <c r="AJ259" s="806"/>
      <c r="AK259" s="1065"/>
      <c r="AL259" s="827"/>
      <c r="AM259" s="817"/>
      <c r="AN259" s="806"/>
      <c r="AO259" s="1065"/>
      <c r="AP259" s="1143"/>
      <c r="AQ259" s="1143"/>
      <c r="AR259" s="1144"/>
      <c r="AS259" s="307"/>
      <c r="AT259" s="307"/>
      <c r="AU259" s="307"/>
      <c r="AV259" s="307"/>
      <c r="AW259" s="307"/>
      <c r="AX259" s="307"/>
      <c r="AY259" s="307"/>
      <c r="AZ259" s="307"/>
      <c r="BA259" s="307"/>
      <c r="BB259" s="196" t="s">
        <v>48</v>
      </c>
      <c r="BC259" s="196" t="s">
        <v>352</v>
      </c>
      <c r="BD259" s="212"/>
      <c r="BE259" s="212"/>
      <c r="BF259" s="212"/>
      <c r="BG259" s="212"/>
      <c r="BH259" s="212"/>
      <c r="BI259" s="212"/>
      <c r="BJ259" s="212"/>
      <c r="BK259" s="212"/>
      <c r="BL259" s="212"/>
      <c r="BM259" s="212"/>
      <c r="BN259" s="212"/>
      <c r="BO259" s="212"/>
      <c r="BP259" s="212"/>
      <c r="BQ259" s="212"/>
      <c r="BR259" s="212"/>
      <c r="BS259" s="212"/>
      <c r="BT259" s="212"/>
      <c r="BU259" s="212"/>
      <c r="BV259" s="212"/>
      <c r="BW259" s="212"/>
      <c r="BX259" s="212"/>
      <c r="BY259" s="212"/>
      <c r="BZ259" s="212"/>
      <c r="CA259" s="212"/>
      <c r="CB259" s="212"/>
      <c r="CC259" s="212"/>
      <c r="CD259" s="212"/>
      <c r="CE259" s="212"/>
    </row>
    <row r="260" spans="1:83" ht="12.75" customHeight="1" x14ac:dyDescent="0.2">
      <c r="A260" s="1091"/>
      <c r="B260" s="1082" t="str">
        <f>IF(Stammblatt!$L$4=1,'Kalkulation Herstellungskosten'!BB260,'Kalkulation Herstellungskosten'!BC260)</f>
        <v>Feiertagsabgeltung</v>
      </c>
      <c r="C260" s="317"/>
      <c r="D260" s="318"/>
      <c r="E260" s="319"/>
      <c r="F260" s="32">
        <v>0</v>
      </c>
      <c r="G260" s="1035"/>
      <c r="H260" s="1035"/>
      <c r="I260" s="1086"/>
      <c r="J260" s="347"/>
      <c r="K260" s="348"/>
      <c r="L260" s="348"/>
      <c r="M260" s="348"/>
      <c r="N260" s="349"/>
      <c r="O260" s="512"/>
      <c r="P260" s="506"/>
      <c r="Q260" s="507"/>
      <c r="R260" s="505"/>
      <c r="S260" s="514"/>
      <c r="T260" s="517"/>
      <c r="U260" s="505"/>
      <c r="V260" s="1053">
        <f>SUM(T260:U260)</f>
        <v>0</v>
      </c>
      <c r="W260" s="397">
        <f>F260-V260</f>
        <v>0</v>
      </c>
      <c r="X260" s="512"/>
      <c r="Y260" s="508"/>
      <c r="Z260" s="507"/>
      <c r="AA260" s="505"/>
      <c r="AB260" s="295"/>
      <c r="AC260" s="305"/>
      <c r="AD260" s="799"/>
      <c r="AE260" s="800"/>
      <c r="AF260" s="801"/>
      <c r="AG260" s="831">
        <f>SUM(AE260:AF260)</f>
        <v>0</v>
      </c>
      <c r="AH260" s="799"/>
      <c r="AI260" s="800"/>
      <c r="AJ260" s="801"/>
      <c r="AK260" s="831">
        <f>SUM(AI260:AJ260)</f>
        <v>0</v>
      </c>
      <c r="AL260" s="799"/>
      <c r="AM260" s="800"/>
      <c r="AN260" s="801"/>
      <c r="AO260" s="831">
        <f>SUM(AM260:AN260)</f>
        <v>0</v>
      </c>
      <c r="AP260" s="1079">
        <f t="shared" ref="AP260:AP261" si="169">SUM(F260,AD260,AH260,AL260)</f>
        <v>0</v>
      </c>
      <c r="AQ260" s="1079">
        <f t="shared" ref="AQ260:AQ261" si="170">SUM(AO260,AK260,AG260,V260)</f>
        <v>0</v>
      </c>
      <c r="AR260" s="1080">
        <f t="shared" ref="AR260:AR261" si="171">AP260-AQ260</f>
        <v>0</v>
      </c>
      <c r="AS260" s="307"/>
      <c r="AT260" s="307"/>
      <c r="AU260" s="307"/>
      <c r="AV260" s="307"/>
      <c r="AW260" s="307"/>
      <c r="AX260" s="307"/>
      <c r="AY260" s="307"/>
      <c r="AZ260" s="307"/>
      <c r="BA260" s="307"/>
      <c r="BB260" s="196" t="s">
        <v>49</v>
      </c>
      <c r="BC260" s="196"/>
      <c r="BD260" s="212"/>
      <c r="BE260" s="212"/>
      <c r="BF260" s="212"/>
      <c r="BG260" s="212"/>
      <c r="BH260" s="212"/>
      <c r="BI260" s="212"/>
      <c r="BJ260" s="212"/>
      <c r="BK260" s="212"/>
      <c r="BL260" s="212"/>
      <c r="BM260" s="212"/>
      <c r="BN260" s="212"/>
      <c r="BO260" s="212"/>
      <c r="BP260" s="212"/>
      <c r="BQ260" s="212"/>
      <c r="BR260" s="212"/>
      <c r="BS260" s="212"/>
      <c r="BT260" s="212"/>
      <c r="BU260" s="212"/>
      <c r="BV260" s="212"/>
      <c r="BW260" s="212"/>
      <c r="BX260" s="212"/>
      <c r="BY260" s="212"/>
      <c r="BZ260" s="212"/>
      <c r="CA260" s="212"/>
      <c r="CB260" s="212"/>
      <c r="CC260" s="212"/>
      <c r="CD260" s="212"/>
      <c r="CE260" s="212"/>
    </row>
    <row r="261" spans="1:83" ht="12.75" customHeight="1" x14ac:dyDescent="0.2">
      <c r="A261" s="1091">
        <v>86</v>
      </c>
      <c r="B261" s="1082" t="str">
        <f>IF(Stammblatt!$L$4=1,'Kalkulation Herstellungskosten'!BB261,'Kalkulation Herstellungskosten'!BC261)</f>
        <v>Statisten *)</v>
      </c>
      <c r="C261" s="491">
        <f>DarstellerInnen!D62</f>
        <v>0</v>
      </c>
      <c r="D261" s="492" t="str">
        <f>IF(Stammblatt!$L$4=1,"Einsätze","units")</f>
        <v>Einsätze</v>
      </c>
      <c r="E261" s="319"/>
      <c r="F261" s="396">
        <f>DarstellerInnen!G62</f>
        <v>0</v>
      </c>
      <c r="G261" s="1035"/>
      <c r="H261" s="1035"/>
      <c r="I261" s="1086"/>
      <c r="J261" s="347"/>
      <c r="K261" s="348"/>
      <c r="L261" s="348"/>
      <c r="M261" s="348"/>
      <c r="N261" s="349"/>
      <c r="O261" s="512"/>
      <c r="P261" s="506"/>
      <c r="Q261" s="507"/>
      <c r="R261" s="505"/>
      <c r="S261" s="514"/>
      <c r="T261" s="517"/>
      <c r="U261" s="505"/>
      <c r="V261" s="1053">
        <f>SUM(T261:U261)</f>
        <v>0</v>
      </c>
      <c r="W261" s="397">
        <f>F261-V261</f>
        <v>0</v>
      </c>
      <c r="X261" s="512"/>
      <c r="Y261" s="508"/>
      <c r="Z261" s="507"/>
      <c r="AA261" s="505"/>
      <c r="AB261" s="295"/>
      <c r="AC261" s="305"/>
      <c r="AD261" s="828">
        <f>DarstellerInnen!W62</f>
        <v>0</v>
      </c>
      <c r="AE261" s="800"/>
      <c r="AF261" s="801"/>
      <c r="AG261" s="831">
        <f>SUM(AE261:AF261)</f>
        <v>0</v>
      </c>
      <c r="AH261" s="828">
        <f>DarstellerInnen!X62</f>
        <v>0</v>
      </c>
      <c r="AI261" s="800"/>
      <c r="AJ261" s="801"/>
      <c r="AK261" s="831">
        <f>SUM(AI261:AJ261)</f>
        <v>0</v>
      </c>
      <c r="AL261" s="828">
        <f>DarstellerInnen!Y62</f>
        <v>0</v>
      </c>
      <c r="AM261" s="800"/>
      <c r="AN261" s="801"/>
      <c r="AO261" s="831">
        <f>SUM(AM261:AN261)</f>
        <v>0</v>
      </c>
      <c r="AP261" s="1079">
        <f t="shared" si="169"/>
        <v>0</v>
      </c>
      <c r="AQ261" s="1079">
        <f t="shared" si="170"/>
        <v>0</v>
      </c>
      <c r="AR261" s="1080">
        <f t="shared" si="171"/>
        <v>0</v>
      </c>
      <c r="AS261" s="307"/>
      <c r="AT261" s="307"/>
      <c r="AU261" s="307"/>
      <c r="AV261" s="307"/>
      <c r="AW261" s="307"/>
      <c r="AX261" s="307"/>
      <c r="AY261" s="307"/>
      <c r="AZ261" s="307"/>
      <c r="BA261" s="307"/>
      <c r="BB261" s="196" t="s">
        <v>50</v>
      </c>
      <c r="BC261" s="196" t="s">
        <v>353</v>
      </c>
      <c r="BD261" s="212"/>
      <c r="BE261" s="212"/>
      <c r="BF261" s="212"/>
      <c r="BG261" s="212"/>
      <c r="BH261" s="212"/>
      <c r="BI261" s="212"/>
      <c r="BJ261" s="212"/>
      <c r="BK261" s="212"/>
      <c r="BL261" s="212"/>
      <c r="BM261" s="212"/>
      <c r="BN261" s="212"/>
      <c r="BO261" s="212"/>
      <c r="BP261" s="212"/>
      <c r="BQ261" s="212"/>
      <c r="BR261" s="212"/>
      <c r="BS261" s="212"/>
      <c r="BT261" s="212"/>
      <c r="BU261" s="212"/>
      <c r="BV261" s="212"/>
      <c r="BW261" s="212"/>
      <c r="BX261" s="212"/>
      <c r="BY261" s="212"/>
      <c r="BZ261" s="212"/>
      <c r="CA261" s="212"/>
      <c r="CB261" s="212"/>
      <c r="CC261" s="212"/>
      <c r="CD261" s="212"/>
      <c r="CE261" s="212"/>
    </row>
    <row r="262" spans="1:83" ht="12.75" customHeight="1" x14ac:dyDescent="0.2">
      <c r="A262" s="1107"/>
      <c r="B262" s="1108"/>
      <c r="C262" s="364"/>
      <c r="D262" s="365"/>
      <c r="E262" s="362"/>
      <c r="F262" s="362"/>
      <c r="G262" s="1164"/>
      <c r="H262" s="1164"/>
      <c r="I262" s="1165"/>
      <c r="J262" s="369"/>
      <c r="K262" s="361"/>
      <c r="L262" s="361"/>
      <c r="M262" s="361"/>
      <c r="N262" s="370"/>
      <c r="O262" s="518"/>
      <c r="P262" s="509"/>
      <c r="Q262" s="509"/>
      <c r="R262" s="509"/>
      <c r="S262" s="514"/>
      <c r="T262" s="510"/>
      <c r="U262" s="327"/>
      <c r="V262" s="1041"/>
      <c r="W262" s="1041"/>
      <c r="X262" s="518"/>
      <c r="Y262" s="518"/>
      <c r="Z262" s="509"/>
      <c r="AA262" s="509"/>
      <c r="AB262" s="295"/>
      <c r="AC262" s="305"/>
      <c r="AD262" s="803"/>
      <c r="AE262" s="816"/>
      <c r="AF262" s="805"/>
      <c r="AG262" s="822"/>
      <c r="AH262" s="803"/>
      <c r="AI262" s="816"/>
      <c r="AJ262" s="805"/>
      <c r="AK262" s="822"/>
      <c r="AL262" s="803"/>
      <c r="AM262" s="816"/>
      <c r="AN262" s="805"/>
      <c r="AO262" s="822"/>
      <c r="AP262" s="1145"/>
      <c r="AQ262" s="1145"/>
      <c r="AR262" s="1146"/>
      <c r="AS262" s="307"/>
      <c r="AT262" s="307"/>
      <c r="AU262" s="307"/>
      <c r="AV262" s="307"/>
      <c r="AW262" s="307"/>
      <c r="AX262" s="307"/>
      <c r="AY262" s="307"/>
      <c r="AZ262" s="307"/>
      <c r="BA262" s="307"/>
      <c r="BB262" s="196"/>
      <c r="BC262" s="196"/>
      <c r="BD262" s="212"/>
      <c r="BE262" s="212"/>
      <c r="BF262" s="212"/>
      <c r="BG262" s="212"/>
      <c r="BH262" s="212"/>
      <c r="BI262" s="212"/>
      <c r="BJ262" s="212"/>
      <c r="BK262" s="212"/>
      <c r="BL262" s="212"/>
      <c r="BM262" s="212"/>
      <c r="BN262" s="212"/>
      <c r="BO262" s="212"/>
      <c r="BP262" s="212"/>
      <c r="BQ262" s="212"/>
      <c r="BR262" s="212"/>
      <c r="BS262" s="212"/>
      <c r="BT262" s="212"/>
      <c r="BU262" s="212"/>
      <c r="BV262" s="212"/>
      <c r="BW262" s="212"/>
      <c r="BX262" s="212"/>
      <c r="BY262" s="212"/>
      <c r="BZ262" s="212"/>
      <c r="CA262" s="212"/>
      <c r="CB262" s="212"/>
      <c r="CC262" s="212"/>
      <c r="CD262" s="212"/>
      <c r="CE262" s="212"/>
    </row>
    <row r="263" spans="1:83" x14ac:dyDescent="0.2">
      <c r="A263" s="1114"/>
      <c r="B263" s="497" t="str">
        <f>IF(Stammblatt!$L$4=1,'Kalkulation Herstellungskosten'!BB263,'Kalkulation Herstellungskosten'!BC263)</f>
        <v>HONORARE</v>
      </c>
      <c r="C263" s="218"/>
      <c r="D263" s="218"/>
      <c r="E263" s="218"/>
      <c r="F263" s="218"/>
      <c r="G263" s="1056"/>
      <c r="H263" s="1056"/>
      <c r="I263" s="1057"/>
      <c r="J263" s="325"/>
      <c r="K263" s="324"/>
      <c r="L263" s="324"/>
      <c r="M263" s="324"/>
      <c r="N263" s="326"/>
      <c r="O263" s="509"/>
      <c r="P263" s="509"/>
      <c r="Q263" s="509"/>
      <c r="R263" s="509"/>
      <c r="S263" s="514"/>
      <c r="T263" s="510"/>
      <c r="U263" s="327"/>
      <c r="V263" s="1041"/>
      <c r="W263" s="1041"/>
      <c r="X263" s="509"/>
      <c r="Y263" s="509"/>
      <c r="Z263" s="509"/>
      <c r="AA263" s="509"/>
      <c r="AB263" s="295"/>
      <c r="AC263" s="305"/>
      <c r="AD263" s="806"/>
      <c r="AE263" s="817"/>
      <c r="AF263" s="805"/>
      <c r="AG263" s="822"/>
      <c r="AH263" s="806"/>
      <c r="AI263" s="817"/>
      <c r="AJ263" s="805"/>
      <c r="AK263" s="822"/>
      <c r="AL263" s="806"/>
      <c r="AM263" s="817"/>
      <c r="AN263" s="805"/>
      <c r="AO263" s="822"/>
      <c r="AP263" s="1147"/>
      <c r="AQ263" s="1147"/>
      <c r="AR263" s="1148"/>
      <c r="AS263" s="307"/>
      <c r="AT263" s="307"/>
      <c r="AU263" s="307"/>
      <c r="AV263" s="307"/>
      <c r="AW263" s="307"/>
      <c r="AX263" s="307"/>
      <c r="AY263" s="307"/>
      <c r="AZ263" s="307"/>
      <c r="BA263" s="307"/>
      <c r="BB263" s="196" t="s">
        <v>477</v>
      </c>
      <c r="BC263" s="196" t="s">
        <v>478</v>
      </c>
      <c r="BD263" s="212"/>
      <c r="BE263" s="212"/>
      <c r="BF263" s="212"/>
      <c r="BG263" s="212"/>
      <c r="BH263" s="212"/>
      <c r="BI263" s="212"/>
      <c r="BJ263" s="212"/>
      <c r="BK263" s="212"/>
      <c r="BL263" s="212"/>
      <c r="BM263" s="212"/>
      <c r="BN263" s="212"/>
      <c r="BO263" s="212"/>
      <c r="BP263" s="212"/>
      <c r="BQ263" s="212"/>
      <c r="BR263" s="212"/>
      <c r="BS263" s="212"/>
      <c r="BT263" s="212"/>
      <c r="BU263" s="212"/>
      <c r="BV263" s="212"/>
      <c r="BW263" s="212"/>
      <c r="BX263" s="212"/>
      <c r="BY263" s="212"/>
      <c r="BZ263" s="212"/>
      <c r="CA263" s="212"/>
      <c r="CB263" s="212"/>
      <c r="CC263" s="212"/>
      <c r="CD263" s="212"/>
      <c r="CE263" s="212"/>
    </row>
    <row r="264" spans="1:83" ht="12.75" customHeight="1" x14ac:dyDescent="0.2">
      <c r="A264" s="1091">
        <v>87</v>
      </c>
      <c r="B264" s="1082" t="str">
        <f>IF(Stammblatt!$L$4=1,'Kalkulation Herstellungskosten'!BB264,'Kalkulation Herstellungskosten'!BC264)</f>
        <v>ProduzentInnenhonorar (gem. Richtlinien)</v>
      </c>
      <c r="C264" s="354"/>
      <c r="D264" s="792" t="e">
        <f ca="1">IF(Stammblatt!I10=TRUE,'Kalkulation Herstellungskosten'!E264/GHSTK,E264/NFK)</f>
        <v>#DIV/0!</v>
      </c>
      <c r="E264" s="396">
        <f ca="1">IF(Stammblatt!I10=TRUE,ROUND(GHSTK*5%,-1),PH)</f>
        <v>0</v>
      </c>
      <c r="F264" s="363"/>
      <c r="G264" s="1167"/>
      <c r="H264" s="1167"/>
      <c r="I264" s="845"/>
      <c r="J264" s="752"/>
      <c r="K264" s="752"/>
      <c r="L264" s="489">
        <f t="shared" ref="L264:L270" ca="1" si="172">E264*J264</f>
        <v>0</v>
      </c>
      <c r="M264" s="489">
        <f t="shared" ref="M264:M270" ca="1" si="173">E264*K264</f>
        <v>0</v>
      </c>
      <c r="N264" s="357" t="str">
        <f t="shared" ref="N264:N270" ca="1" si="174">IF((L264+M264)&gt;E264,"?","")</f>
        <v/>
      </c>
      <c r="O264" s="512"/>
      <c r="P264" s="506"/>
      <c r="Q264" s="507"/>
      <c r="R264" s="505"/>
      <c r="S264" s="514"/>
      <c r="T264" s="515"/>
      <c r="U264" s="84"/>
      <c r="V264" s="397">
        <f t="shared" ref="V264" si="175">SUM(T264:U264)</f>
        <v>0</v>
      </c>
      <c r="W264" s="397">
        <f t="shared" ref="W264:W270" ca="1" si="176">E264-V264</f>
        <v>0</v>
      </c>
      <c r="X264" s="512"/>
      <c r="Y264" s="508"/>
      <c r="Z264" s="507"/>
      <c r="AA264" s="505"/>
      <c r="AB264" s="295"/>
      <c r="AC264" s="336"/>
      <c r="AD264" s="813"/>
      <c r="AE264" s="800"/>
      <c r="AF264" s="814"/>
      <c r="AG264" s="1137">
        <f t="shared" ref="AG264" si="177">SUM(AE264:AF264)</f>
        <v>0</v>
      </c>
      <c r="AH264" s="813"/>
      <c r="AI264" s="800"/>
      <c r="AJ264" s="814"/>
      <c r="AK264" s="1137">
        <f t="shared" ref="AK264:AK267" si="178">SUM(AI264:AJ264)</f>
        <v>0</v>
      </c>
      <c r="AL264" s="813"/>
      <c r="AM264" s="800"/>
      <c r="AN264" s="814"/>
      <c r="AO264" s="1137">
        <f t="shared" ref="AO264:AO267" si="179">SUM(AM264:AN264)</f>
        <v>0</v>
      </c>
      <c r="AP264" s="1079">
        <f t="shared" ref="AP264:AP270" ca="1" si="180">SUM(E264,AD264,AH264,AL264)</f>
        <v>0</v>
      </c>
      <c r="AQ264" s="1079">
        <f>SUM(AO264,AK264,AG264,V264)</f>
        <v>0</v>
      </c>
      <c r="AR264" s="1080">
        <f t="shared" ref="AR264" ca="1" si="181">AP264-AQ264</f>
        <v>0</v>
      </c>
      <c r="AS264" s="310"/>
      <c r="AT264" s="310"/>
      <c r="AU264" s="307"/>
      <c r="AV264" s="307"/>
      <c r="AW264" s="307"/>
      <c r="AX264" s="307"/>
      <c r="AY264" s="307"/>
      <c r="AZ264" s="307"/>
      <c r="BA264" s="307"/>
      <c r="BB264" s="196" t="s">
        <v>878</v>
      </c>
      <c r="BC264" s="196" t="s">
        <v>879</v>
      </c>
      <c r="BD264" s="212"/>
      <c r="BE264" s="212"/>
      <c r="BF264" s="212"/>
      <c r="BG264" s="212"/>
      <c r="BH264" s="212"/>
      <c r="BI264" s="212"/>
      <c r="BJ264" s="212"/>
      <c r="BK264" s="212"/>
      <c r="BL264" s="212"/>
      <c r="BM264" s="212"/>
      <c r="BN264" s="212"/>
      <c r="BO264" s="212"/>
      <c r="BP264" s="212"/>
      <c r="BQ264" s="212"/>
      <c r="BR264" s="212"/>
      <c r="BS264" s="212"/>
      <c r="BT264" s="212"/>
      <c r="BU264" s="212"/>
      <c r="BV264" s="212"/>
      <c r="BW264" s="212"/>
      <c r="BX264" s="212"/>
      <c r="BY264" s="212"/>
      <c r="BZ264" s="212"/>
      <c r="CA264" s="212"/>
      <c r="CB264" s="212"/>
      <c r="CC264" s="212"/>
      <c r="CD264" s="212"/>
      <c r="CE264" s="212"/>
    </row>
    <row r="265" spans="1:83" ht="12.75" customHeight="1" x14ac:dyDescent="0.2">
      <c r="A265" s="1091">
        <v>88</v>
      </c>
      <c r="B265" s="1082" t="str">
        <f>IF(Stammblatt!$L$4=1,'Kalkulation Herstellungskosten'!BB265,'Kalkulation Herstellungskosten'!BC265)</f>
        <v>Rechtsberatung</v>
      </c>
      <c r="C265" s="354"/>
      <c r="D265" s="354"/>
      <c r="E265" s="32"/>
      <c r="F265" s="319"/>
      <c r="G265" s="1168"/>
      <c r="H265" s="1168"/>
      <c r="I265" s="845"/>
      <c r="J265" s="751"/>
      <c r="K265" s="751"/>
      <c r="L265" s="489">
        <f t="shared" si="172"/>
        <v>0</v>
      </c>
      <c r="M265" s="489">
        <f t="shared" si="173"/>
        <v>0</v>
      </c>
      <c r="N265" s="357" t="str">
        <f t="shared" si="174"/>
        <v/>
      </c>
      <c r="O265" s="512"/>
      <c r="P265" s="506"/>
      <c r="Q265" s="507"/>
      <c r="R265" s="505"/>
      <c r="S265" s="514"/>
      <c r="T265" s="515"/>
      <c r="U265" s="84"/>
      <c r="V265" s="397">
        <f t="shared" ref="V265:V267" si="182">SUM(T265:U265)</f>
        <v>0</v>
      </c>
      <c r="W265" s="397">
        <f t="shared" si="176"/>
        <v>0</v>
      </c>
      <c r="X265" s="512"/>
      <c r="Y265" s="508"/>
      <c r="Z265" s="507"/>
      <c r="AA265" s="505"/>
      <c r="AB265" s="295"/>
      <c r="AC265" s="336"/>
      <c r="AD265" s="813"/>
      <c r="AE265" s="800"/>
      <c r="AF265" s="814"/>
      <c r="AG265" s="1137">
        <f t="shared" ref="AG265:AG267" si="183">SUM(AE265:AF265)</f>
        <v>0</v>
      </c>
      <c r="AH265" s="813"/>
      <c r="AI265" s="800"/>
      <c r="AJ265" s="814"/>
      <c r="AK265" s="1137">
        <f t="shared" si="178"/>
        <v>0</v>
      </c>
      <c r="AL265" s="813"/>
      <c r="AM265" s="800"/>
      <c r="AN265" s="814"/>
      <c r="AO265" s="1137">
        <f t="shared" si="179"/>
        <v>0</v>
      </c>
      <c r="AP265" s="1079">
        <f t="shared" si="180"/>
        <v>0</v>
      </c>
      <c r="AQ265" s="1079">
        <f t="shared" ref="AQ265:AQ270" si="184">SUM(AO265,AK265,AG265,V265)</f>
        <v>0</v>
      </c>
      <c r="AR265" s="1080">
        <f t="shared" ref="AR265:AR270" si="185">AP265-AQ265</f>
        <v>0</v>
      </c>
      <c r="AS265" s="310"/>
      <c r="AT265" s="310"/>
      <c r="AU265" s="307"/>
      <c r="AV265" s="307"/>
      <c r="AW265" s="307"/>
      <c r="AX265" s="307"/>
      <c r="AY265" s="307"/>
      <c r="AZ265" s="307"/>
      <c r="BA265" s="307"/>
      <c r="BB265" s="196" t="s">
        <v>40</v>
      </c>
      <c r="BC265" s="196" t="s">
        <v>354</v>
      </c>
      <c r="BD265" s="212"/>
      <c r="BE265" s="212"/>
      <c r="BF265" s="212"/>
      <c r="BG265" s="212"/>
      <c r="BH265" s="212"/>
      <c r="BI265" s="212"/>
      <c r="BJ265" s="212"/>
      <c r="BK265" s="212"/>
      <c r="BL265" s="212"/>
      <c r="BM265" s="212"/>
      <c r="BN265" s="212"/>
      <c r="BO265" s="212"/>
      <c r="BP265" s="212"/>
      <c r="BQ265" s="212"/>
      <c r="BR265" s="212"/>
      <c r="BS265" s="212"/>
      <c r="BT265" s="212"/>
      <c r="BU265" s="212"/>
      <c r="BV265" s="212"/>
      <c r="BW265" s="212"/>
      <c r="BX265" s="212"/>
      <c r="BY265" s="212"/>
      <c r="BZ265" s="212"/>
      <c r="CA265" s="212"/>
      <c r="CB265" s="212"/>
      <c r="CC265" s="212"/>
      <c r="CD265" s="212"/>
      <c r="CE265" s="212"/>
    </row>
    <row r="266" spans="1:83" ht="12.75" customHeight="1" x14ac:dyDescent="0.2">
      <c r="A266" s="1091">
        <v>89</v>
      </c>
      <c r="B266" s="1082" t="str">
        <f>IF(Stammblatt!$L$4=1,'Kalkulation Herstellungskosten'!BB266,'Kalkulation Herstellungskosten'!BC266)</f>
        <v>ArchitektIn/Ausstattung</v>
      </c>
      <c r="C266" s="354"/>
      <c r="D266" s="354"/>
      <c r="E266" s="32"/>
      <c r="F266" s="319"/>
      <c r="G266" s="1168"/>
      <c r="H266" s="1168"/>
      <c r="I266" s="845"/>
      <c r="J266" s="751"/>
      <c r="K266" s="751"/>
      <c r="L266" s="489">
        <f t="shared" si="172"/>
        <v>0</v>
      </c>
      <c r="M266" s="489">
        <f t="shared" si="173"/>
        <v>0</v>
      </c>
      <c r="N266" s="357" t="str">
        <f t="shared" si="174"/>
        <v/>
      </c>
      <c r="O266" s="512"/>
      <c r="P266" s="506"/>
      <c r="Q266" s="507"/>
      <c r="R266" s="505"/>
      <c r="S266" s="514"/>
      <c r="T266" s="515"/>
      <c r="U266" s="84"/>
      <c r="V266" s="397">
        <f t="shared" si="182"/>
        <v>0</v>
      </c>
      <c r="W266" s="397">
        <f t="shared" si="176"/>
        <v>0</v>
      </c>
      <c r="X266" s="512"/>
      <c r="Y266" s="508"/>
      <c r="Z266" s="507"/>
      <c r="AA266" s="505"/>
      <c r="AB266" s="295"/>
      <c r="AC266" s="336"/>
      <c r="AD266" s="813"/>
      <c r="AE266" s="800"/>
      <c r="AF266" s="814"/>
      <c r="AG266" s="1137">
        <f t="shared" si="183"/>
        <v>0</v>
      </c>
      <c r="AH266" s="813"/>
      <c r="AI266" s="800"/>
      <c r="AJ266" s="814"/>
      <c r="AK266" s="1137">
        <f t="shared" si="178"/>
        <v>0</v>
      </c>
      <c r="AL266" s="813"/>
      <c r="AM266" s="800"/>
      <c r="AN266" s="814"/>
      <c r="AO266" s="1137">
        <f t="shared" si="179"/>
        <v>0</v>
      </c>
      <c r="AP266" s="1079">
        <f t="shared" si="180"/>
        <v>0</v>
      </c>
      <c r="AQ266" s="1079">
        <f t="shared" si="184"/>
        <v>0</v>
      </c>
      <c r="AR266" s="1080">
        <f t="shared" si="185"/>
        <v>0</v>
      </c>
      <c r="AS266" s="310"/>
      <c r="AT266" s="310"/>
      <c r="AU266" s="307"/>
      <c r="AV266" s="307"/>
      <c r="AW266" s="307"/>
      <c r="AX266" s="307"/>
      <c r="AY266" s="307"/>
      <c r="AZ266" s="307"/>
      <c r="BA266" s="307"/>
      <c r="BB266" s="196" t="s">
        <v>534</v>
      </c>
      <c r="BC266" s="196" t="s">
        <v>355</v>
      </c>
      <c r="BD266" s="212"/>
      <c r="BE266" s="212"/>
      <c r="BF266" s="212"/>
      <c r="BG266" s="212"/>
      <c r="BH266" s="212"/>
      <c r="BI266" s="212"/>
      <c r="BJ266" s="212"/>
      <c r="BK266" s="212"/>
      <c r="BL266" s="212"/>
      <c r="BM266" s="212"/>
      <c r="BN266" s="212"/>
      <c r="BO266" s="212"/>
      <c r="BP266" s="212"/>
      <c r="BQ266" s="212"/>
      <c r="BR266" s="212"/>
      <c r="BS266" s="212"/>
      <c r="BT266" s="212"/>
      <c r="BU266" s="212"/>
      <c r="BV266" s="212"/>
      <c r="BW266" s="212"/>
      <c r="BX266" s="212"/>
      <c r="BY266" s="212"/>
      <c r="BZ266" s="212"/>
      <c r="CA266" s="212"/>
      <c r="CB266" s="212"/>
      <c r="CC266" s="212"/>
      <c r="CD266" s="212"/>
      <c r="CE266" s="212"/>
    </row>
    <row r="267" spans="1:83" ht="12.75" customHeight="1" x14ac:dyDescent="0.2">
      <c r="A267" s="1091">
        <v>90</v>
      </c>
      <c r="B267" s="1082" t="str">
        <f>IF(Stammblatt!$L$4=1,'Kalkulation Herstellungskosten'!BB267,'Kalkulation Herstellungskosten'!BC267)</f>
        <v>Casting</v>
      </c>
      <c r="C267" s="354"/>
      <c r="D267" s="354"/>
      <c r="E267" s="32"/>
      <c r="F267" s="319"/>
      <c r="G267" s="1168"/>
      <c r="H267" s="1168"/>
      <c r="I267" s="845"/>
      <c r="J267" s="751"/>
      <c r="K267" s="751"/>
      <c r="L267" s="489">
        <f t="shared" si="172"/>
        <v>0</v>
      </c>
      <c r="M267" s="489">
        <f t="shared" si="173"/>
        <v>0</v>
      </c>
      <c r="N267" s="357" t="str">
        <f t="shared" si="174"/>
        <v/>
      </c>
      <c r="O267" s="512"/>
      <c r="P267" s="506"/>
      <c r="Q267" s="507"/>
      <c r="R267" s="505"/>
      <c r="S267" s="514"/>
      <c r="T267" s="515"/>
      <c r="U267" s="84"/>
      <c r="V267" s="397">
        <f t="shared" si="182"/>
        <v>0</v>
      </c>
      <c r="W267" s="397">
        <f t="shared" si="176"/>
        <v>0</v>
      </c>
      <c r="X267" s="512"/>
      <c r="Y267" s="508"/>
      <c r="Z267" s="507"/>
      <c r="AA267" s="505"/>
      <c r="AB267" s="295"/>
      <c r="AC267" s="336"/>
      <c r="AD267" s="813"/>
      <c r="AE267" s="800"/>
      <c r="AF267" s="814"/>
      <c r="AG267" s="1137">
        <f t="shared" si="183"/>
        <v>0</v>
      </c>
      <c r="AH267" s="813"/>
      <c r="AI267" s="800"/>
      <c r="AJ267" s="814"/>
      <c r="AK267" s="1137">
        <f t="shared" si="178"/>
        <v>0</v>
      </c>
      <c r="AL267" s="813"/>
      <c r="AM267" s="800"/>
      <c r="AN267" s="814"/>
      <c r="AO267" s="1137">
        <f t="shared" si="179"/>
        <v>0</v>
      </c>
      <c r="AP267" s="1079">
        <f t="shared" si="180"/>
        <v>0</v>
      </c>
      <c r="AQ267" s="1079">
        <f t="shared" si="184"/>
        <v>0</v>
      </c>
      <c r="AR267" s="1080">
        <f t="shared" si="185"/>
        <v>0</v>
      </c>
      <c r="AS267" s="310"/>
      <c r="AT267" s="310"/>
      <c r="AU267" s="307"/>
      <c r="AV267" s="307"/>
      <c r="AW267" s="307"/>
      <c r="AX267" s="307"/>
      <c r="AY267" s="307"/>
      <c r="AZ267" s="307"/>
      <c r="BA267" s="307"/>
      <c r="BB267" s="196" t="s">
        <v>779</v>
      </c>
      <c r="BC267" s="196" t="s">
        <v>779</v>
      </c>
      <c r="BD267" s="212"/>
      <c r="BE267" s="212"/>
      <c r="BF267" s="212"/>
      <c r="BG267" s="212"/>
      <c r="BH267" s="212"/>
      <c r="BI267" s="212"/>
      <c r="BJ267" s="212"/>
      <c r="BK267" s="212"/>
      <c r="BL267" s="212"/>
      <c r="BM267" s="212"/>
      <c r="BN267" s="212"/>
      <c r="BO267" s="212"/>
      <c r="BP267" s="212"/>
      <c r="BQ267" s="212"/>
      <c r="BR267" s="212"/>
      <c r="BS267" s="212"/>
      <c r="BT267" s="212"/>
      <c r="BU267" s="212"/>
      <c r="BV267" s="212"/>
      <c r="BW267" s="212"/>
      <c r="BX267" s="212"/>
      <c r="BY267" s="212"/>
      <c r="BZ267" s="212"/>
      <c r="CA267" s="212"/>
      <c r="CB267" s="212"/>
      <c r="CC267" s="212"/>
      <c r="CD267" s="212"/>
      <c r="CE267" s="212"/>
    </row>
    <row r="268" spans="1:83" ht="12.75" customHeight="1" x14ac:dyDescent="0.2">
      <c r="A268" s="1091">
        <v>91</v>
      </c>
      <c r="B268" s="1082" t="str">
        <f>IF(Stammblatt!$L$4=1,'Kalkulation Herstellungskosten'!BB268,'Kalkulation Herstellungskosten'!BC268)</f>
        <v>KunstmalerIn, BildhauerIn</v>
      </c>
      <c r="C268" s="354"/>
      <c r="D268" s="354"/>
      <c r="E268" s="32"/>
      <c r="F268" s="319"/>
      <c r="G268" s="1168"/>
      <c r="H268" s="1168"/>
      <c r="I268" s="845"/>
      <c r="J268" s="751"/>
      <c r="K268" s="751"/>
      <c r="L268" s="489">
        <f t="shared" si="172"/>
        <v>0</v>
      </c>
      <c r="M268" s="489">
        <f t="shared" si="173"/>
        <v>0</v>
      </c>
      <c r="N268" s="357" t="str">
        <f t="shared" si="174"/>
        <v/>
      </c>
      <c r="O268" s="512"/>
      <c r="P268" s="506"/>
      <c r="Q268" s="507"/>
      <c r="R268" s="505"/>
      <c r="S268" s="514"/>
      <c r="T268" s="526"/>
      <c r="U268" s="527"/>
      <c r="V268" s="397">
        <f t="shared" ref="V268:V269" si="186">SUM(T268:U268)</f>
        <v>0</v>
      </c>
      <c r="W268" s="397">
        <f t="shared" si="176"/>
        <v>0</v>
      </c>
      <c r="X268" s="512"/>
      <c r="Y268" s="508"/>
      <c r="Z268" s="507"/>
      <c r="AA268" s="505"/>
      <c r="AB268" s="295"/>
      <c r="AC268" s="305"/>
      <c r="AD268" s="799"/>
      <c r="AE268" s="800"/>
      <c r="AF268" s="829"/>
      <c r="AG268" s="1137">
        <f t="shared" ref="AG268:AG270" si="187">SUM(AE268:AF268)</f>
        <v>0</v>
      </c>
      <c r="AH268" s="799"/>
      <c r="AI268" s="800"/>
      <c r="AJ268" s="829"/>
      <c r="AK268" s="1137">
        <f t="shared" ref="AK268:AK270" si="188">SUM(AI268:AJ268)</f>
        <v>0</v>
      </c>
      <c r="AL268" s="799"/>
      <c r="AM268" s="800"/>
      <c r="AN268" s="829"/>
      <c r="AO268" s="1137">
        <f t="shared" ref="AO268:AO270" si="189">SUM(AM268:AN268)</f>
        <v>0</v>
      </c>
      <c r="AP268" s="1079">
        <f t="shared" si="180"/>
        <v>0</v>
      </c>
      <c r="AQ268" s="1079">
        <f t="shared" si="184"/>
        <v>0</v>
      </c>
      <c r="AR268" s="1080">
        <f t="shared" si="185"/>
        <v>0</v>
      </c>
      <c r="AS268" s="310"/>
      <c r="AT268" s="310"/>
      <c r="AU268" s="307"/>
      <c r="AV268" s="307"/>
      <c r="AW268" s="307"/>
      <c r="AX268" s="307"/>
      <c r="AY268" s="307"/>
      <c r="AZ268" s="307"/>
      <c r="BA268" s="307"/>
      <c r="BB268" s="196" t="s">
        <v>780</v>
      </c>
      <c r="BC268" s="196" t="s">
        <v>781</v>
      </c>
      <c r="BD268" s="212"/>
      <c r="BE268" s="212"/>
      <c r="BF268" s="212"/>
      <c r="BG268" s="212"/>
      <c r="BH268" s="212"/>
      <c r="BI268" s="212"/>
      <c r="BJ268" s="212"/>
      <c r="BK268" s="212"/>
      <c r="BL268" s="212"/>
      <c r="BM268" s="212"/>
      <c r="BN268" s="212"/>
      <c r="BO268" s="212"/>
      <c r="BP268" s="212"/>
      <c r="BQ268" s="212"/>
      <c r="BR268" s="212"/>
      <c r="BS268" s="212"/>
      <c r="BT268" s="212"/>
      <c r="BU268" s="212"/>
      <c r="BV268" s="212"/>
      <c r="BW268" s="212"/>
      <c r="BX268" s="212"/>
      <c r="BY268" s="212"/>
      <c r="BZ268" s="212"/>
      <c r="CA268" s="212"/>
      <c r="CB268" s="212"/>
      <c r="CC268" s="212"/>
      <c r="CD268" s="212"/>
      <c r="CE268" s="212"/>
    </row>
    <row r="269" spans="1:83" ht="12.75" customHeight="1" x14ac:dyDescent="0.2">
      <c r="A269" s="1091">
        <v>92</v>
      </c>
      <c r="B269" s="1082" t="str">
        <f>IF(Stammblatt!$L$4=1,'Kalkulation Herstellungskosten'!BB269,'Kalkulation Herstellungskosten'!BC269)</f>
        <v>StandfotografIn</v>
      </c>
      <c r="C269" s="354"/>
      <c r="D269" s="354"/>
      <c r="E269" s="32"/>
      <c r="F269" s="319"/>
      <c r="G269" s="1168"/>
      <c r="H269" s="1168"/>
      <c r="I269" s="845"/>
      <c r="J269" s="751"/>
      <c r="K269" s="751"/>
      <c r="L269" s="489">
        <f t="shared" si="172"/>
        <v>0</v>
      </c>
      <c r="M269" s="489">
        <f t="shared" si="173"/>
        <v>0</v>
      </c>
      <c r="N269" s="357" t="str">
        <f t="shared" si="174"/>
        <v/>
      </c>
      <c r="O269" s="512"/>
      <c r="P269" s="506"/>
      <c r="Q269" s="507"/>
      <c r="R269" s="505"/>
      <c r="S269" s="514"/>
      <c r="T269" s="526"/>
      <c r="U269" s="527"/>
      <c r="V269" s="397">
        <f t="shared" si="186"/>
        <v>0</v>
      </c>
      <c r="W269" s="397">
        <f t="shared" si="176"/>
        <v>0</v>
      </c>
      <c r="X269" s="512"/>
      <c r="Y269" s="508"/>
      <c r="Z269" s="507"/>
      <c r="AA269" s="505"/>
      <c r="AB269" s="295"/>
      <c r="AC269" s="305"/>
      <c r="AD269" s="799"/>
      <c r="AE269" s="800"/>
      <c r="AF269" s="829"/>
      <c r="AG269" s="1137">
        <f t="shared" si="187"/>
        <v>0</v>
      </c>
      <c r="AH269" s="799"/>
      <c r="AI269" s="800"/>
      <c r="AJ269" s="829"/>
      <c r="AK269" s="1137">
        <f t="shared" si="188"/>
        <v>0</v>
      </c>
      <c r="AL269" s="799"/>
      <c r="AM269" s="800"/>
      <c r="AN269" s="829"/>
      <c r="AO269" s="1137">
        <f t="shared" si="189"/>
        <v>0</v>
      </c>
      <c r="AP269" s="1079">
        <f t="shared" si="180"/>
        <v>0</v>
      </c>
      <c r="AQ269" s="1079">
        <f t="shared" si="184"/>
        <v>0</v>
      </c>
      <c r="AR269" s="1080">
        <f t="shared" si="185"/>
        <v>0</v>
      </c>
      <c r="AS269" s="307"/>
      <c r="AT269" s="307"/>
      <c r="AU269" s="307"/>
      <c r="AV269" s="307"/>
      <c r="AW269" s="307"/>
      <c r="AX269" s="307"/>
      <c r="AY269" s="307"/>
      <c r="AZ269" s="307"/>
      <c r="BA269" s="307"/>
      <c r="BB269" s="196" t="s">
        <v>533</v>
      </c>
      <c r="BC269" s="196" t="s">
        <v>324</v>
      </c>
      <c r="BD269" s="212"/>
      <c r="BE269" s="212"/>
      <c r="BF269" s="212"/>
      <c r="BG269" s="212"/>
      <c r="BH269" s="212"/>
      <c r="BI269" s="212"/>
      <c r="BJ269" s="212"/>
      <c r="BK269" s="212"/>
      <c r="BL269" s="212"/>
      <c r="BM269" s="212"/>
      <c r="BN269" s="212"/>
      <c r="BO269" s="212"/>
      <c r="BP269" s="212"/>
      <c r="BQ269" s="212"/>
      <c r="BR269" s="212"/>
      <c r="BS269" s="212"/>
      <c r="BT269" s="212"/>
      <c r="BU269" s="212"/>
      <c r="BV269" s="212"/>
      <c r="BW269" s="212"/>
      <c r="BX269" s="212"/>
      <c r="BY269" s="212"/>
      <c r="BZ269" s="212"/>
      <c r="CA269" s="212"/>
      <c r="CB269" s="212"/>
      <c r="CC269" s="212"/>
      <c r="CD269" s="212"/>
      <c r="CE269" s="212"/>
    </row>
    <row r="270" spans="1:83" ht="12.75" customHeight="1" x14ac:dyDescent="0.2">
      <c r="A270" s="1091">
        <v>93</v>
      </c>
      <c r="B270" s="1082" t="str">
        <f>IF(Stammblatt!$L$4=1,'Kalkulation Herstellungskosten'!BB270,'Kalkulation Herstellungskosten'!BC270)</f>
        <v>GrafikerIn</v>
      </c>
      <c r="C270" s="354"/>
      <c r="D270" s="354"/>
      <c r="E270" s="32"/>
      <c r="F270" s="319"/>
      <c r="G270" s="1168"/>
      <c r="H270" s="1168"/>
      <c r="I270" s="845"/>
      <c r="J270" s="751"/>
      <c r="K270" s="751"/>
      <c r="L270" s="489">
        <f t="shared" si="172"/>
        <v>0</v>
      </c>
      <c r="M270" s="489">
        <f t="shared" si="173"/>
        <v>0</v>
      </c>
      <c r="N270" s="357" t="str">
        <f t="shared" si="174"/>
        <v/>
      </c>
      <c r="O270" s="512"/>
      <c r="P270" s="506"/>
      <c r="Q270" s="507"/>
      <c r="R270" s="505"/>
      <c r="S270" s="514"/>
      <c r="T270" s="526"/>
      <c r="U270" s="527"/>
      <c r="V270" s="397">
        <f t="shared" ref="V270:V281" si="190">SUM(T270:U270)</f>
        <v>0</v>
      </c>
      <c r="W270" s="397">
        <f t="shared" si="176"/>
        <v>0</v>
      </c>
      <c r="X270" s="512"/>
      <c r="Y270" s="508"/>
      <c r="Z270" s="507"/>
      <c r="AA270" s="505"/>
      <c r="AB270" s="295"/>
      <c r="AC270" s="305"/>
      <c r="AD270" s="799"/>
      <c r="AE270" s="800"/>
      <c r="AF270" s="829"/>
      <c r="AG270" s="1137">
        <f t="shared" si="187"/>
        <v>0</v>
      </c>
      <c r="AH270" s="799"/>
      <c r="AI270" s="800"/>
      <c r="AJ270" s="829"/>
      <c r="AK270" s="1137">
        <f t="shared" si="188"/>
        <v>0</v>
      </c>
      <c r="AL270" s="799"/>
      <c r="AM270" s="800"/>
      <c r="AN270" s="829"/>
      <c r="AO270" s="1137">
        <f t="shared" si="189"/>
        <v>0</v>
      </c>
      <c r="AP270" s="1079">
        <f t="shared" si="180"/>
        <v>0</v>
      </c>
      <c r="AQ270" s="1079">
        <f t="shared" si="184"/>
        <v>0</v>
      </c>
      <c r="AR270" s="1080">
        <f t="shared" si="185"/>
        <v>0</v>
      </c>
      <c r="AS270" s="307"/>
      <c r="AT270" s="307"/>
      <c r="AU270" s="307"/>
      <c r="AV270" s="307"/>
      <c r="AW270" s="307"/>
      <c r="AX270" s="307"/>
      <c r="AY270" s="307"/>
      <c r="AZ270" s="307"/>
      <c r="BA270" s="307"/>
      <c r="BB270" s="196" t="s">
        <v>535</v>
      </c>
      <c r="BC270" s="196" t="s">
        <v>479</v>
      </c>
      <c r="BD270" s="212"/>
      <c r="BE270" s="212"/>
      <c r="BF270" s="212"/>
      <c r="BG270" s="212"/>
      <c r="BH270" s="212"/>
      <c r="BI270" s="212"/>
      <c r="BJ270" s="212"/>
      <c r="BK270" s="212"/>
      <c r="BL270" s="212"/>
      <c r="BM270" s="212"/>
      <c r="BN270" s="212"/>
      <c r="BO270" s="212"/>
      <c r="BP270" s="212"/>
      <c r="BQ270" s="212"/>
      <c r="BR270" s="212"/>
      <c r="BS270" s="212"/>
      <c r="BT270" s="212"/>
      <c r="BU270" s="212"/>
      <c r="BV270" s="212"/>
      <c r="BW270" s="212"/>
      <c r="BX270" s="212"/>
      <c r="BY270" s="212"/>
      <c r="BZ270" s="212"/>
      <c r="CA270" s="212"/>
      <c r="CB270" s="212"/>
      <c r="CC270" s="212"/>
      <c r="CD270" s="212"/>
      <c r="CE270" s="212"/>
    </row>
    <row r="271" spans="1:83" ht="12.75" customHeight="1" x14ac:dyDescent="0.2">
      <c r="A271" s="1107"/>
      <c r="B271" s="1108"/>
      <c r="C271" s="358"/>
      <c r="D271" s="358"/>
      <c r="E271" s="358"/>
      <c r="F271" s="304"/>
      <c r="G271" s="1120"/>
      <c r="H271" s="1120"/>
      <c r="I271" s="1169"/>
      <c r="J271" s="757"/>
      <c r="K271" s="758"/>
      <c r="L271" s="359"/>
      <c r="M271" s="359"/>
      <c r="N271" s="360"/>
      <c r="O271" s="528"/>
      <c r="P271" s="528"/>
      <c r="Q271" s="528"/>
      <c r="R271" s="528"/>
      <c r="S271" s="514"/>
      <c r="T271" s="510"/>
      <c r="U271" s="327"/>
      <c r="V271" s="1041"/>
      <c r="W271" s="1041"/>
      <c r="X271" s="518"/>
      <c r="Y271" s="518"/>
      <c r="Z271" s="509"/>
      <c r="AA271" s="509"/>
      <c r="AB271" s="295"/>
      <c r="AC271" s="305"/>
      <c r="AD271" s="803"/>
      <c r="AE271" s="816"/>
      <c r="AF271" s="805"/>
      <c r="AG271" s="822"/>
      <c r="AH271" s="803"/>
      <c r="AI271" s="816"/>
      <c r="AJ271" s="805"/>
      <c r="AK271" s="822"/>
      <c r="AL271" s="803"/>
      <c r="AM271" s="816"/>
      <c r="AN271" s="805"/>
      <c r="AO271" s="822"/>
      <c r="AP271" s="1145"/>
      <c r="AQ271" s="1145"/>
      <c r="AR271" s="1146"/>
      <c r="AS271" s="307"/>
      <c r="AT271" s="307"/>
      <c r="AU271" s="307"/>
      <c r="AV271" s="307"/>
      <c r="AW271" s="307"/>
      <c r="AX271" s="307"/>
      <c r="AY271" s="307"/>
      <c r="AZ271" s="307"/>
      <c r="BA271" s="307"/>
      <c r="BB271" s="196"/>
      <c r="BC271" s="196"/>
      <c r="BD271" s="212"/>
      <c r="BE271" s="212"/>
      <c r="BF271" s="212"/>
      <c r="BG271" s="212"/>
      <c r="BH271" s="212"/>
      <c r="BI271" s="212"/>
      <c r="BJ271" s="212"/>
      <c r="BK271" s="212"/>
      <c r="BL271" s="212"/>
      <c r="BM271" s="212"/>
      <c r="BN271" s="212"/>
      <c r="BO271" s="212"/>
      <c r="BP271" s="212"/>
      <c r="BQ271" s="212"/>
      <c r="BR271" s="212"/>
      <c r="BS271" s="212"/>
      <c r="BT271" s="212"/>
      <c r="BU271" s="212"/>
      <c r="BV271" s="212"/>
      <c r="BW271" s="212"/>
      <c r="BX271" s="212"/>
      <c r="BY271" s="212"/>
      <c r="BZ271" s="212"/>
      <c r="CA271" s="212"/>
      <c r="CB271" s="212"/>
      <c r="CC271" s="212"/>
      <c r="CD271" s="212"/>
      <c r="CE271" s="212"/>
    </row>
    <row r="272" spans="1:83" x14ac:dyDescent="0.2">
      <c r="A272" s="1112">
        <v>94</v>
      </c>
      <c r="B272" s="1113" t="str">
        <f>IF(Stammblatt!$L$4=1,'Kalkulation Herstellungskosten'!BB272,'Kalkulation Herstellungskosten'!BC272)</f>
        <v>Sonstige Dienstleister/Rechnungsleger</v>
      </c>
      <c r="C272" s="722" t="str">
        <f>IF(Stammblatt!$L$4=1,"Tage","Days")</f>
        <v>Tage</v>
      </c>
      <c r="D272" s="723" t="str">
        <f>IF(Stammblatt!$L$4=1,"Tagsatz","Daily rate")</f>
        <v>Tagsatz</v>
      </c>
      <c r="E272" s="355"/>
      <c r="F272" s="304"/>
      <c r="G272" s="1056"/>
      <c r="H272" s="1056"/>
      <c r="I272" s="1057"/>
      <c r="J272" s="759"/>
      <c r="K272" s="760"/>
      <c r="L272" s="324"/>
      <c r="M272" s="324"/>
      <c r="N272" s="326"/>
      <c r="O272" s="509"/>
      <c r="P272" s="509"/>
      <c r="Q272" s="509"/>
      <c r="R272" s="509"/>
      <c r="S272" s="514"/>
      <c r="T272" s="510"/>
      <c r="U272" s="327"/>
      <c r="V272" s="1041"/>
      <c r="W272" s="1041"/>
      <c r="X272" s="509"/>
      <c r="Y272" s="509"/>
      <c r="Z272" s="509"/>
      <c r="AA272" s="509"/>
      <c r="AB272" s="295"/>
      <c r="AC272" s="305"/>
      <c r="AD272" s="806"/>
      <c r="AE272" s="817"/>
      <c r="AF272" s="805"/>
      <c r="AG272" s="822"/>
      <c r="AH272" s="806"/>
      <c r="AI272" s="817"/>
      <c r="AJ272" s="805"/>
      <c r="AK272" s="822"/>
      <c r="AL272" s="806"/>
      <c r="AM272" s="817"/>
      <c r="AN272" s="805"/>
      <c r="AO272" s="822"/>
      <c r="AP272" s="1147"/>
      <c r="AQ272" s="1147"/>
      <c r="AR272" s="1148"/>
      <c r="AS272" s="307"/>
      <c r="AT272" s="307"/>
      <c r="AU272" s="307"/>
      <c r="AV272" s="307"/>
      <c r="AW272" s="307"/>
      <c r="AX272" s="307"/>
      <c r="AY272" s="307"/>
      <c r="AZ272" s="307"/>
      <c r="BA272" s="307"/>
      <c r="BB272" s="196" t="s">
        <v>618</v>
      </c>
      <c r="BC272" s="196" t="s">
        <v>619</v>
      </c>
      <c r="BD272" s="212"/>
      <c r="BE272" s="212"/>
      <c r="BF272" s="212"/>
      <c r="BG272" s="212"/>
      <c r="BH272" s="212"/>
      <c r="BI272" s="212"/>
      <c r="BJ272" s="212"/>
      <c r="BK272" s="212"/>
      <c r="BL272" s="212"/>
      <c r="BM272" s="212"/>
      <c r="BN272" s="212"/>
      <c r="BO272" s="212"/>
      <c r="BP272" s="212"/>
      <c r="BQ272" s="212"/>
      <c r="BR272" s="212"/>
      <c r="BS272" s="212"/>
      <c r="BT272" s="212"/>
      <c r="BU272" s="212"/>
      <c r="BV272" s="212"/>
      <c r="BW272" s="212"/>
      <c r="BX272" s="212"/>
      <c r="BY272" s="212"/>
      <c r="BZ272" s="212"/>
      <c r="CA272" s="212"/>
      <c r="CB272" s="212"/>
      <c r="CC272" s="212"/>
      <c r="CD272" s="212"/>
      <c r="CE272" s="212"/>
    </row>
    <row r="273" spans="1:83" ht="12.75" customHeight="1" x14ac:dyDescent="0.2">
      <c r="A273" s="1091" t="s">
        <v>1073</v>
      </c>
      <c r="B273" s="695" t="s">
        <v>785</v>
      </c>
      <c r="C273" s="704"/>
      <c r="D273" s="78"/>
      <c r="E273" s="396">
        <f>C273*D273</f>
        <v>0</v>
      </c>
      <c r="F273" s="319"/>
      <c r="G273" s="1168"/>
      <c r="H273" s="1168"/>
      <c r="I273" s="845"/>
      <c r="J273" s="751"/>
      <c r="K273" s="751"/>
      <c r="L273" s="489">
        <f t="shared" ref="L273:L304" si="191">E273*J273</f>
        <v>0</v>
      </c>
      <c r="M273" s="489">
        <f t="shared" ref="M273:M304" si="192">E273*K273</f>
        <v>0</v>
      </c>
      <c r="N273" s="357" t="str">
        <f t="shared" ref="N273:N304" si="193">IF((L273+M273)&gt;E273,"?","")</f>
        <v/>
      </c>
      <c r="O273" s="512"/>
      <c r="P273" s="506"/>
      <c r="Q273" s="507"/>
      <c r="R273" s="505"/>
      <c r="S273" s="514"/>
      <c r="T273" s="526"/>
      <c r="U273" s="527"/>
      <c r="V273" s="397">
        <f t="shared" si="190"/>
        <v>0</v>
      </c>
      <c r="W273" s="397">
        <f t="shared" ref="W273:W304" si="194">E273-V273</f>
        <v>0</v>
      </c>
      <c r="X273" s="512"/>
      <c r="Y273" s="508"/>
      <c r="Z273" s="507"/>
      <c r="AA273" s="505"/>
      <c r="AB273" s="295"/>
      <c r="AC273" s="305"/>
      <c r="AD273" s="799"/>
      <c r="AE273" s="800"/>
      <c r="AF273" s="829"/>
      <c r="AG273" s="1137">
        <f t="shared" ref="AG273:AG281" si="195">SUM(AE273:AF273)</f>
        <v>0</v>
      </c>
      <c r="AH273" s="799"/>
      <c r="AI273" s="800"/>
      <c r="AJ273" s="829"/>
      <c r="AK273" s="1137">
        <f t="shared" ref="AK273:AK281" si="196">SUM(AI273:AJ273)</f>
        <v>0</v>
      </c>
      <c r="AL273" s="799"/>
      <c r="AM273" s="800"/>
      <c r="AN273" s="829"/>
      <c r="AO273" s="1137">
        <f t="shared" ref="AO273:AO281" si="197">SUM(AM273:AN273)</f>
        <v>0</v>
      </c>
      <c r="AP273" s="1079">
        <f t="shared" ref="AP273:AP304" si="198">SUM(E273,AD273,AH273,AL273)</f>
        <v>0</v>
      </c>
      <c r="AQ273" s="1079">
        <f t="shared" ref="AQ273" si="199">SUM(AO273,AK273,AG273,V273)</f>
        <v>0</v>
      </c>
      <c r="AR273" s="1080">
        <f t="shared" ref="AR273" si="200">AP273-AQ273</f>
        <v>0</v>
      </c>
      <c r="AS273" s="307"/>
      <c r="AT273" s="307"/>
      <c r="AU273" s="307"/>
      <c r="AV273" s="307"/>
      <c r="AW273" s="307"/>
      <c r="AX273" s="307"/>
      <c r="AY273" s="307"/>
      <c r="AZ273" s="307"/>
      <c r="BA273" s="307"/>
      <c r="BB273" s="196"/>
      <c r="BC273" s="196"/>
      <c r="BD273" s="212"/>
      <c r="BE273" s="212"/>
      <c r="BF273" s="212"/>
      <c r="BG273" s="212"/>
      <c r="BH273" s="212"/>
      <c r="BI273" s="212"/>
      <c r="BJ273" s="212"/>
      <c r="BK273" s="212"/>
      <c r="BL273" s="212"/>
      <c r="BM273" s="212"/>
      <c r="BN273" s="212"/>
      <c r="BO273" s="212"/>
      <c r="BP273" s="212"/>
      <c r="BQ273" s="212"/>
      <c r="BR273" s="212"/>
      <c r="BS273" s="212"/>
      <c r="BT273" s="212"/>
      <c r="BU273" s="212"/>
      <c r="BV273" s="212"/>
      <c r="BW273" s="212"/>
      <c r="BX273" s="212"/>
      <c r="BY273" s="212"/>
      <c r="BZ273" s="212"/>
      <c r="CA273" s="212"/>
      <c r="CB273" s="212"/>
      <c r="CC273" s="212"/>
      <c r="CD273" s="212"/>
      <c r="CE273" s="212"/>
    </row>
    <row r="274" spans="1:83" ht="12.75" customHeight="1" x14ac:dyDescent="0.2">
      <c r="A274" s="1091" t="s">
        <v>1074</v>
      </c>
      <c r="B274" s="1082" t="str">
        <f>IF(Stammblatt!$L$4=1,'Kalkulation Herstellungskosten'!BB274,'Kalkulation Herstellungskosten'!BC274)</f>
        <v>Kosten der Zertifizierung UZ76</v>
      </c>
      <c r="C274" s="354"/>
      <c r="D274" s="354"/>
      <c r="E274" s="32"/>
      <c r="F274" s="319"/>
      <c r="G274" s="1168"/>
      <c r="H274" s="1168"/>
      <c r="I274" s="845"/>
      <c r="J274" s="751"/>
      <c r="K274" s="751"/>
      <c r="L274" s="489">
        <f t="shared" si="191"/>
        <v>0</v>
      </c>
      <c r="M274" s="489">
        <f t="shared" si="192"/>
        <v>0</v>
      </c>
      <c r="N274" s="357" t="str">
        <f t="shared" si="193"/>
        <v/>
      </c>
      <c r="O274" s="512"/>
      <c r="P274" s="506"/>
      <c r="Q274" s="507"/>
      <c r="R274" s="505"/>
      <c r="S274" s="514"/>
      <c r="T274" s="526"/>
      <c r="U274" s="527"/>
      <c r="V274" s="397">
        <f t="shared" si="190"/>
        <v>0</v>
      </c>
      <c r="W274" s="397">
        <f t="shared" si="194"/>
        <v>0</v>
      </c>
      <c r="X274" s="512"/>
      <c r="Y274" s="508"/>
      <c r="Z274" s="507"/>
      <c r="AA274" s="505"/>
      <c r="AB274" s="295"/>
      <c r="AC274" s="305"/>
      <c r="AD274" s="799"/>
      <c r="AE274" s="800"/>
      <c r="AF274" s="829"/>
      <c r="AG274" s="1137">
        <f t="shared" si="195"/>
        <v>0</v>
      </c>
      <c r="AH274" s="799"/>
      <c r="AI274" s="800"/>
      <c r="AJ274" s="829"/>
      <c r="AK274" s="1137">
        <f t="shared" si="196"/>
        <v>0</v>
      </c>
      <c r="AL274" s="799"/>
      <c r="AM274" s="800"/>
      <c r="AN274" s="829"/>
      <c r="AO274" s="1137">
        <f t="shared" si="197"/>
        <v>0</v>
      </c>
      <c r="AP274" s="1079">
        <f t="shared" si="198"/>
        <v>0</v>
      </c>
      <c r="AQ274" s="1079">
        <f t="shared" ref="AQ274:AQ324" si="201">SUM(AO274,AK274,AG274,V274)</f>
        <v>0</v>
      </c>
      <c r="AR274" s="1080">
        <f t="shared" ref="AR274:AR324" si="202">AP274-AQ274</f>
        <v>0</v>
      </c>
      <c r="AS274" s="307"/>
      <c r="AT274" s="307"/>
      <c r="AU274" s="307"/>
      <c r="AV274" s="307"/>
      <c r="AW274" s="307"/>
      <c r="AX274" s="307"/>
      <c r="AY274" s="307"/>
      <c r="AZ274" s="307"/>
      <c r="BA274" s="307"/>
      <c r="BB274" s="196" t="s">
        <v>1224</v>
      </c>
      <c r="BC274" s="196" t="s">
        <v>1049</v>
      </c>
      <c r="BD274" s="212"/>
      <c r="BE274" s="212"/>
      <c r="BF274" s="212"/>
      <c r="BG274" s="212"/>
      <c r="BH274" s="212"/>
      <c r="BI274" s="212"/>
      <c r="BJ274" s="212"/>
      <c r="BK274" s="212"/>
      <c r="BL274" s="212"/>
      <c r="BM274" s="212"/>
      <c r="BN274" s="212"/>
      <c r="BO274" s="212"/>
      <c r="BP274" s="212"/>
      <c r="BQ274" s="212"/>
      <c r="BR274" s="212"/>
      <c r="BS274" s="212"/>
      <c r="BT274" s="212"/>
      <c r="BU274" s="212"/>
      <c r="BV274" s="212"/>
      <c r="BW274" s="212"/>
      <c r="BX274" s="212"/>
      <c r="BY274" s="212"/>
      <c r="BZ274" s="212"/>
      <c r="CA274" s="212"/>
      <c r="CB274" s="212"/>
      <c r="CC274" s="212"/>
      <c r="CD274" s="212"/>
      <c r="CE274" s="212"/>
    </row>
    <row r="275" spans="1:83" ht="12.75" customHeight="1" x14ac:dyDescent="0.2">
      <c r="A275" s="1091" t="s">
        <v>1075</v>
      </c>
      <c r="B275" s="1082" t="str">
        <f>IF(Stammblatt!$L$4=1,'Kalkulation Herstellungskosten'!BB275,'Kalkulation Herstellungskosten'!BC275)</f>
        <v>Kosten CO2-Kompensation</v>
      </c>
      <c r="C275" s="354"/>
      <c r="D275" s="354"/>
      <c r="E275" s="32"/>
      <c r="F275" s="319"/>
      <c r="G275" s="1168"/>
      <c r="H275" s="1168"/>
      <c r="I275" s="845"/>
      <c r="J275" s="751"/>
      <c r="K275" s="751"/>
      <c r="L275" s="489">
        <f t="shared" si="191"/>
        <v>0</v>
      </c>
      <c r="M275" s="489">
        <f t="shared" si="192"/>
        <v>0</v>
      </c>
      <c r="N275" s="357" t="str">
        <f t="shared" si="193"/>
        <v/>
      </c>
      <c r="O275" s="512"/>
      <c r="P275" s="506"/>
      <c r="Q275" s="507"/>
      <c r="R275" s="505"/>
      <c r="S275" s="514"/>
      <c r="T275" s="526"/>
      <c r="U275" s="527"/>
      <c r="V275" s="397">
        <f t="shared" si="190"/>
        <v>0</v>
      </c>
      <c r="W275" s="397">
        <f t="shared" si="194"/>
        <v>0</v>
      </c>
      <c r="X275" s="512"/>
      <c r="Y275" s="508"/>
      <c r="Z275" s="507"/>
      <c r="AA275" s="505"/>
      <c r="AB275" s="295"/>
      <c r="AC275" s="305"/>
      <c r="AD275" s="799"/>
      <c r="AE275" s="800"/>
      <c r="AF275" s="829"/>
      <c r="AG275" s="1137">
        <f t="shared" si="195"/>
        <v>0</v>
      </c>
      <c r="AH275" s="799"/>
      <c r="AI275" s="800"/>
      <c r="AJ275" s="829"/>
      <c r="AK275" s="1137">
        <f t="shared" si="196"/>
        <v>0</v>
      </c>
      <c r="AL275" s="799"/>
      <c r="AM275" s="800"/>
      <c r="AN275" s="829"/>
      <c r="AO275" s="1137">
        <f t="shared" si="197"/>
        <v>0</v>
      </c>
      <c r="AP275" s="1079">
        <f t="shared" si="198"/>
        <v>0</v>
      </c>
      <c r="AQ275" s="1079">
        <f t="shared" si="201"/>
        <v>0</v>
      </c>
      <c r="AR275" s="1080">
        <f t="shared" si="202"/>
        <v>0</v>
      </c>
      <c r="AS275" s="307"/>
      <c r="AT275" s="307"/>
      <c r="AU275" s="307"/>
      <c r="AV275" s="307"/>
      <c r="AW275" s="307"/>
      <c r="AX275" s="307"/>
      <c r="AY275" s="307"/>
      <c r="AZ275" s="307"/>
      <c r="BA275" s="307"/>
      <c r="BB275" s="196" t="s">
        <v>1036</v>
      </c>
      <c r="BC275" s="196" t="s">
        <v>1050</v>
      </c>
      <c r="BD275" s="212"/>
      <c r="BE275" s="212"/>
      <c r="BF275" s="212"/>
      <c r="BG275" s="212"/>
      <c r="BH275" s="212"/>
      <c r="BI275" s="212"/>
      <c r="BJ275" s="212"/>
      <c r="BK275" s="212"/>
      <c r="BL275" s="212"/>
      <c r="BM275" s="212"/>
      <c r="BN275" s="212"/>
      <c r="BO275" s="212"/>
      <c r="BP275" s="212"/>
      <c r="BQ275" s="212"/>
      <c r="BR275" s="212"/>
      <c r="BS275" s="212"/>
      <c r="BT275" s="212"/>
      <c r="BU275" s="212"/>
      <c r="BV275" s="212"/>
      <c r="BW275" s="212"/>
      <c r="BX275" s="212"/>
      <c r="BY275" s="212"/>
      <c r="BZ275" s="212"/>
      <c r="CA275" s="212"/>
      <c r="CB275" s="212"/>
      <c r="CC275" s="212"/>
      <c r="CD275" s="212"/>
      <c r="CE275" s="212"/>
    </row>
    <row r="276" spans="1:83" ht="12.75" customHeight="1" x14ac:dyDescent="0.2">
      <c r="A276" s="316" t="s">
        <v>1076</v>
      </c>
      <c r="B276" s="1082" t="str">
        <f>IF(Stammblatt!$L$4=1,'Kalkulation Herstellungskosten'!BB276,'Kalkulation Herstellungskosten'!BC276)</f>
        <v>UZ76 Berater</v>
      </c>
      <c r="C276" s="354"/>
      <c r="D276" s="354"/>
      <c r="E276" s="32"/>
      <c r="F276" s="319"/>
      <c r="G276" s="1168"/>
      <c r="H276" s="1168"/>
      <c r="I276" s="845"/>
      <c r="J276" s="751"/>
      <c r="K276" s="751"/>
      <c r="L276" s="489">
        <f t="shared" si="191"/>
        <v>0</v>
      </c>
      <c r="M276" s="489">
        <f t="shared" si="192"/>
        <v>0</v>
      </c>
      <c r="N276" s="357" t="str">
        <f t="shared" si="193"/>
        <v/>
      </c>
      <c r="O276" s="512"/>
      <c r="P276" s="506"/>
      <c r="Q276" s="507"/>
      <c r="R276" s="505"/>
      <c r="S276" s="514"/>
      <c r="T276" s="526"/>
      <c r="U276" s="527"/>
      <c r="V276" s="397">
        <f t="shared" si="190"/>
        <v>0</v>
      </c>
      <c r="W276" s="397">
        <f t="shared" si="194"/>
        <v>0</v>
      </c>
      <c r="X276" s="512"/>
      <c r="Y276" s="508"/>
      <c r="Z276" s="507"/>
      <c r="AA276" s="505"/>
      <c r="AB276" s="295"/>
      <c r="AC276" s="305"/>
      <c r="AD276" s="799"/>
      <c r="AE276" s="800"/>
      <c r="AF276" s="829"/>
      <c r="AG276" s="1137">
        <f t="shared" si="195"/>
        <v>0</v>
      </c>
      <c r="AH276" s="799"/>
      <c r="AI276" s="800"/>
      <c r="AJ276" s="829"/>
      <c r="AK276" s="1137">
        <f t="shared" si="196"/>
        <v>0</v>
      </c>
      <c r="AL276" s="799"/>
      <c r="AM276" s="800"/>
      <c r="AN276" s="829"/>
      <c r="AO276" s="1137">
        <f t="shared" si="197"/>
        <v>0</v>
      </c>
      <c r="AP276" s="1079">
        <f t="shared" si="198"/>
        <v>0</v>
      </c>
      <c r="AQ276" s="1079">
        <f t="shared" si="201"/>
        <v>0</v>
      </c>
      <c r="AR276" s="1080">
        <f t="shared" si="202"/>
        <v>0</v>
      </c>
      <c r="AS276" s="307"/>
      <c r="AT276" s="307"/>
      <c r="AU276" s="307"/>
      <c r="AV276" s="307"/>
      <c r="AW276" s="307"/>
      <c r="AX276" s="307"/>
      <c r="AY276" s="307"/>
      <c r="AZ276" s="307"/>
      <c r="BA276" s="307"/>
      <c r="BB276" s="196" t="s">
        <v>1223</v>
      </c>
      <c r="BC276" s="196" t="s">
        <v>1225</v>
      </c>
      <c r="BD276" s="212"/>
      <c r="BE276" s="212"/>
      <c r="BF276" s="212"/>
      <c r="BG276" s="212"/>
      <c r="BH276" s="212"/>
      <c r="BI276" s="212"/>
      <c r="BJ276" s="212"/>
      <c r="BK276" s="212"/>
      <c r="BL276" s="212"/>
      <c r="BM276" s="212"/>
      <c r="BN276" s="212"/>
      <c r="BO276" s="212"/>
      <c r="BP276" s="212"/>
      <c r="BQ276" s="212"/>
      <c r="BR276" s="212"/>
      <c r="BS276" s="212"/>
      <c r="BT276" s="212"/>
      <c r="BU276" s="212"/>
      <c r="BV276" s="212"/>
      <c r="BW276" s="212"/>
      <c r="BX276" s="212"/>
      <c r="BY276" s="212"/>
      <c r="BZ276" s="212"/>
      <c r="CA276" s="212"/>
      <c r="CB276" s="212"/>
      <c r="CC276" s="212"/>
      <c r="CD276" s="212"/>
      <c r="CE276" s="212"/>
    </row>
    <row r="277" spans="1:83" ht="12.75" customHeight="1" x14ac:dyDescent="0.2">
      <c r="A277" s="316" t="s">
        <v>1077</v>
      </c>
      <c r="B277" s="38"/>
      <c r="C277" s="354"/>
      <c r="D277" s="354"/>
      <c r="E277" s="32"/>
      <c r="F277" s="319"/>
      <c r="G277" s="1168"/>
      <c r="H277" s="1168"/>
      <c r="I277" s="845"/>
      <c r="J277" s="751"/>
      <c r="K277" s="751"/>
      <c r="L277" s="489">
        <f t="shared" si="191"/>
        <v>0</v>
      </c>
      <c r="M277" s="489">
        <f t="shared" si="192"/>
        <v>0</v>
      </c>
      <c r="N277" s="357" t="str">
        <f t="shared" si="193"/>
        <v/>
      </c>
      <c r="O277" s="512"/>
      <c r="P277" s="506"/>
      <c r="Q277" s="507"/>
      <c r="R277" s="505"/>
      <c r="S277" s="514"/>
      <c r="T277" s="526"/>
      <c r="U277" s="527"/>
      <c r="V277" s="397">
        <f t="shared" si="190"/>
        <v>0</v>
      </c>
      <c r="W277" s="397">
        <f t="shared" si="194"/>
        <v>0</v>
      </c>
      <c r="X277" s="512"/>
      <c r="Y277" s="508"/>
      <c r="Z277" s="507"/>
      <c r="AA277" s="505"/>
      <c r="AB277" s="295"/>
      <c r="AC277" s="305"/>
      <c r="AD277" s="799"/>
      <c r="AE277" s="800"/>
      <c r="AF277" s="829"/>
      <c r="AG277" s="1137">
        <f t="shared" si="195"/>
        <v>0</v>
      </c>
      <c r="AH277" s="799"/>
      <c r="AI277" s="800"/>
      <c r="AJ277" s="829"/>
      <c r="AK277" s="1137">
        <f t="shared" si="196"/>
        <v>0</v>
      </c>
      <c r="AL277" s="799"/>
      <c r="AM277" s="800"/>
      <c r="AN277" s="829"/>
      <c r="AO277" s="1137">
        <f t="shared" si="197"/>
        <v>0</v>
      </c>
      <c r="AP277" s="1079">
        <f t="shared" si="198"/>
        <v>0</v>
      </c>
      <c r="AQ277" s="1079">
        <f t="shared" si="201"/>
        <v>0</v>
      </c>
      <c r="AR277" s="1080">
        <f t="shared" si="202"/>
        <v>0</v>
      </c>
      <c r="AS277" s="307"/>
      <c r="AT277" s="307"/>
      <c r="AU277" s="307"/>
      <c r="AV277" s="307"/>
      <c r="AW277" s="307"/>
      <c r="AX277" s="307"/>
      <c r="AY277" s="307"/>
      <c r="AZ277" s="307"/>
      <c r="BA277" s="307"/>
      <c r="BB277" s="196"/>
      <c r="BC277" s="196"/>
      <c r="BD277" s="212"/>
      <c r="BE277" s="212"/>
      <c r="BF277" s="212"/>
      <c r="BG277" s="212"/>
      <c r="BH277" s="212"/>
      <c r="BI277" s="212"/>
      <c r="BJ277" s="212"/>
      <c r="BK277" s="212"/>
      <c r="BL277" s="212"/>
      <c r="BM277" s="212"/>
      <c r="BN277" s="212"/>
      <c r="BO277" s="212"/>
      <c r="BP277" s="212"/>
      <c r="BQ277" s="212"/>
      <c r="BR277" s="212"/>
      <c r="BS277" s="212"/>
      <c r="BT277" s="212"/>
      <c r="BU277" s="212"/>
      <c r="BV277" s="212"/>
      <c r="BW277" s="212"/>
      <c r="BX277" s="212"/>
      <c r="BY277" s="212"/>
      <c r="BZ277" s="212"/>
      <c r="CA277" s="212"/>
      <c r="CB277" s="212"/>
      <c r="CC277" s="212"/>
      <c r="CD277" s="212"/>
      <c r="CE277" s="212"/>
    </row>
    <row r="278" spans="1:83" ht="12.75" customHeight="1" x14ac:dyDescent="0.2">
      <c r="A278" s="316" t="s">
        <v>1078</v>
      </c>
      <c r="B278" s="38"/>
      <c r="C278" s="354"/>
      <c r="D278" s="354"/>
      <c r="E278" s="32"/>
      <c r="F278" s="319"/>
      <c r="G278" s="1168"/>
      <c r="H278" s="1168"/>
      <c r="I278" s="845"/>
      <c r="J278" s="751"/>
      <c r="K278" s="751"/>
      <c r="L278" s="489">
        <f t="shared" si="191"/>
        <v>0</v>
      </c>
      <c r="M278" s="489">
        <f t="shared" si="192"/>
        <v>0</v>
      </c>
      <c r="N278" s="357" t="str">
        <f t="shared" si="193"/>
        <v/>
      </c>
      <c r="O278" s="512"/>
      <c r="P278" s="506"/>
      <c r="Q278" s="507"/>
      <c r="R278" s="505"/>
      <c r="S278" s="514"/>
      <c r="T278" s="526"/>
      <c r="U278" s="527"/>
      <c r="V278" s="397">
        <f t="shared" si="190"/>
        <v>0</v>
      </c>
      <c r="W278" s="397">
        <f t="shared" si="194"/>
        <v>0</v>
      </c>
      <c r="X278" s="512"/>
      <c r="Y278" s="508"/>
      <c r="Z278" s="507"/>
      <c r="AA278" s="505"/>
      <c r="AB278" s="295"/>
      <c r="AC278" s="305"/>
      <c r="AD278" s="799"/>
      <c r="AE278" s="800"/>
      <c r="AF278" s="829"/>
      <c r="AG278" s="1137">
        <f t="shared" si="195"/>
        <v>0</v>
      </c>
      <c r="AH278" s="799"/>
      <c r="AI278" s="800"/>
      <c r="AJ278" s="829"/>
      <c r="AK278" s="1137">
        <f t="shared" si="196"/>
        <v>0</v>
      </c>
      <c r="AL278" s="799"/>
      <c r="AM278" s="800"/>
      <c r="AN278" s="829"/>
      <c r="AO278" s="1137">
        <f t="shared" si="197"/>
        <v>0</v>
      </c>
      <c r="AP278" s="1079">
        <f t="shared" si="198"/>
        <v>0</v>
      </c>
      <c r="AQ278" s="1079">
        <f t="shared" si="201"/>
        <v>0</v>
      </c>
      <c r="AR278" s="1080">
        <f t="shared" si="202"/>
        <v>0</v>
      </c>
      <c r="AS278" s="307"/>
      <c r="AT278" s="307"/>
      <c r="AU278" s="307"/>
      <c r="AV278" s="307"/>
      <c r="AW278" s="307"/>
      <c r="AX278" s="307"/>
      <c r="AY278" s="307"/>
      <c r="AZ278" s="307"/>
      <c r="BA278" s="307"/>
      <c r="BB278" s="196"/>
      <c r="BC278" s="196"/>
      <c r="BD278" s="212"/>
      <c r="BE278" s="212"/>
      <c r="BF278" s="212"/>
      <c r="BG278" s="212"/>
      <c r="BH278" s="212"/>
      <c r="BI278" s="212"/>
      <c r="BJ278" s="212"/>
      <c r="BK278" s="212"/>
      <c r="BL278" s="212"/>
      <c r="BM278" s="212"/>
      <c r="BN278" s="212"/>
      <c r="BO278" s="212"/>
      <c r="BP278" s="212"/>
      <c r="BQ278" s="212"/>
      <c r="BR278" s="212"/>
      <c r="BS278" s="212"/>
      <c r="BT278" s="212"/>
      <c r="BU278" s="212"/>
      <c r="BV278" s="212"/>
      <c r="BW278" s="212"/>
      <c r="BX278" s="212"/>
      <c r="BY278" s="212"/>
      <c r="BZ278" s="212"/>
      <c r="CA278" s="212"/>
      <c r="CB278" s="212"/>
      <c r="CC278" s="212"/>
      <c r="CD278" s="212"/>
      <c r="CE278" s="212"/>
    </row>
    <row r="279" spans="1:83" ht="12.75" customHeight="1" x14ac:dyDescent="0.2">
      <c r="A279" s="316" t="s">
        <v>1079</v>
      </c>
      <c r="B279" s="38"/>
      <c r="C279" s="354"/>
      <c r="D279" s="354"/>
      <c r="E279" s="32"/>
      <c r="F279" s="319"/>
      <c r="G279" s="1168"/>
      <c r="H279" s="1168"/>
      <c r="I279" s="845"/>
      <c r="J279" s="751"/>
      <c r="K279" s="751"/>
      <c r="L279" s="489">
        <f t="shared" si="191"/>
        <v>0</v>
      </c>
      <c r="M279" s="489">
        <f t="shared" si="192"/>
        <v>0</v>
      </c>
      <c r="N279" s="357" t="str">
        <f t="shared" si="193"/>
        <v/>
      </c>
      <c r="O279" s="512"/>
      <c r="P279" s="506"/>
      <c r="Q279" s="507"/>
      <c r="R279" s="505"/>
      <c r="S279" s="514"/>
      <c r="T279" s="526"/>
      <c r="U279" s="527"/>
      <c r="V279" s="397">
        <f t="shared" si="190"/>
        <v>0</v>
      </c>
      <c r="W279" s="397">
        <f t="shared" si="194"/>
        <v>0</v>
      </c>
      <c r="X279" s="512"/>
      <c r="Y279" s="508"/>
      <c r="Z279" s="507"/>
      <c r="AA279" s="505"/>
      <c r="AB279" s="295"/>
      <c r="AC279" s="305"/>
      <c r="AD279" s="799"/>
      <c r="AE279" s="800"/>
      <c r="AF279" s="829"/>
      <c r="AG279" s="1137">
        <f t="shared" si="195"/>
        <v>0</v>
      </c>
      <c r="AH279" s="799"/>
      <c r="AI279" s="800"/>
      <c r="AJ279" s="829"/>
      <c r="AK279" s="1137">
        <f t="shared" si="196"/>
        <v>0</v>
      </c>
      <c r="AL279" s="799"/>
      <c r="AM279" s="800"/>
      <c r="AN279" s="829"/>
      <c r="AO279" s="1137">
        <f t="shared" si="197"/>
        <v>0</v>
      </c>
      <c r="AP279" s="1079">
        <f t="shared" si="198"/>
        <v>0</v>
      </c>
      <c r="AQ279" s="1079">
        <f t="shared" si="201"/>
        <v>0</v>
      </c>
      <c r="AR279" s="1080">
        <f t="shared" si="202"/>
        <v>0</v>
      </c>
      <c r="AS279" s="307"/>
      <c r="AT279" s="307"/>
      <c r="AU279" s="307"/>
      <c r="AV279" s="307"/>
      <c r="AW279" s="307"/>
      <c r="AX279" s="307"/>
      <c r="AY279" s="307"/>
      <c r="AZ279" s="307"/>
      <c r="BA279" s="307"/>
      <c r="BB279" s="196"/>
      <c r="BC279" s="196"/>
      <c r="BD279" s="212"/>
      <c r="BE279" s="212"/>
      <c r="BF279" s="212"/>
      <c r="BG279" s="212"/>
      <c r="BH279" s="212"/>
      <c r="BI279" s="212"/>
      <c r="BJ279" s="212"/>
      <c r="BK279" s="212"/>
      <c r="BL279" s="212"/>
      <c r="BM279" s="212"/>
      <c r="BN279" s="212"/>
      <c r="BO279" s="212"/>
      <c r="BP279" s="212"/>
      <c r="BQ279" s="212"/>
      <c r="BR279" s="212"/>
      <c r="BS279" s="212"/>
      <c r="BT279" s="212"/>
      <c r="BU279" s="212"/>
      <c r="BV279" s="212"/>
      <c r="BW279" s="212"/>
      <c r="BX279" s="212"/>
      <c r="BY279" s="212"/>
      <c r="BZ279" s="212"/>
      <c r="CA279" s="212"/>
      <c r="CB279" s="212"/>
      <c r="CC279" s="212"/>
      <c r="CD279" s="212"/>
      <c r="CE279" s="212"/>
    </row>
    <row r="280" spans="1:83" ht="12.75" customHeight="1" x14ac:dyDescent="0.2">
      <c r="A280" s="316" t="s">
        <v>1080</v>
      </c>
      <c r="B280" s="38"/>
      <c r="C280" s="354"/>
      <c r="D280" s="354"/>
      <c r="E280" s="32"/>
      <c r="F280" s="319"/>
      <c r="G280" s="1168"/>
      <c r="H280" s="1168"/>
      <c r="I280" s="845"/>
      <c r="J280" s="751"/>
      <c r="K280" s="751"/>
      <c r="L280" s="489">
        <f t="shared" si="191"/>
        <v>0</v>
      </c>
      <c r="M280" s="489">
        <f t="shared" si="192"/>
        <v>0</v>
      </c>
      <c r="N280" s="357" t="str">
        <f t="shared" si="193"/>
        <v/>
      </c>
      <c r="O280" s="512"/>
      <c r="P280" s="506"/>
      <c r="Q280" s="507"/>
      <c r="R280" s="505"/>
      <c r="S280" s="514"/>
      <c r="T280" s="526"/>
      <c r="U280" s="527"/>
      <c r="V280" s="397">
        <f t="shared" si="190"/>
        <v>0</v>
      </c>
      <c r="W280" s="397">
        <f t="shared" si="194"/>
        <v>0</v>
      </c>
      <c r="X280" s="512"/>
      <c r="Y280" s="508"/>
      <c r="Z280" s="507"/>
      <c r="AA280" s="505"/>
      <c r="AB280" s="295"/>
      <c r="AC280" s="305"/>
      <c r="AD280" s="799"/>
      <c r="AE280" s="800"/>
      <c r="AF280" s="829"/>
      <c r="AG280" s="1137">
        <f t="shared" si="195"/>
        <v>0</v>
      </c>
      <c r="AH280" s="799"/>
      <c r="AI280" s="800"/>
      <c r="AJ280" s="829"/>
      <c r="AK280" s="1137">
        <f t="shared" si="196"/>
        <v>0</v>
      </c>
      <c r="AL280" s="799"/>
      <c r="AM280" s="800"/>
      <c r="AN280" s="829"/>
      <c r="AO280" s="1137">
        <f t="shared" si="197"/>
        <v>0</v>
      </c>
      <c r="AP280" s="1079">
        <f t="shared" si="198"/>
        <v>0</v>
      </c>
      <c r="AQ280" s="1079">
        <f t="shared" si="201"/>
        <v>0</v>
      </c>
      <c r="AR280" s="1080">
        <f t="shared" si="202"/>
        <v>0</v>
      </c>
      <c r="AS280" s="307"/>
      <c r="AT280" s="307"/>
      <c r="AU280" s="307"/>
      <c r="AV280" s="307"/>
      <c r="AW280" s="307"/>
      <c r="AX280" s="307"/>
      <c r="AY280" s="307"/>
      <c r="AZ280" s="307"/>
      <c r="BA280" s="307"/>
      <c r="BB280" s="196"/>
      <c r="BC280" s="196"/>
      <c r="BD280" s="212"/>
      <c r="BE280" s="212"/>
      <c r="BF280" s="212"/>
      <c r="BG280" s="212"/>
      <c r="BH280" s="212"/>
      <c r="BI280" s="212"/>
      <c r="BJ280" s="212"/>
      <c r="BK280" s="212"/>
      <c r="BL280" s="212"/>
      <c r="BM280" s="212"/>
      <c r="BN280" s="212"/>
      <c r="BO280" s="212"/>
      <c r="BP280" s="212"/>
      <c r="BQ280" s="212"/>
      <c r="BR280" s="212"/>
      <c r="BS280" s="212"/>
      <c r="BT280" s="212"/>
      <c r="BU280" s="212"/>
      <c r="BV280" s="212"/>
      <c r="BW280" s="212"/>
      <c r="BX280" s="212"/>
      <c r="BY280" s="212"/>
      <c r="BZ280" s="212"/>
      <c r="CA280" s="212"/>
      <c r="CB280" s="212"/>
      <c r="CC280" s="212"/>
      <c r="CD280" s="212"/>
      <c r="CE280" s="212"/>
    </row>
    <row r="281" spans="1:83" ht="12.75" customHeight="1" x14ac:dyDescent="0.2">
      <c r="A281" s="316" t="s">
        <v>1081</v>
      </c>
      <c r="B281" s="38"/>
      <c r="C281" s="354"/>
      <c r="D281" s="354"/>
      <c r="E281" s="32"/>
      <c r="F281" s="319"/>
      <c r="G281" s="1168"/>
      <c r="H281" s="1168"/>
      <c r="I281" s="845"/>
      <c r="J281" s="751"/>
      <c r="K281" s="751"/>
      <c r="L281" s="489">
        <f t="shared" si="191"/>
        <v>0</v>
      </c>
      <c r="M281" s="489">
        <f t="shared" si="192"/>
        <v>0</v>
      </c>
      <c r="N281" s="357" t="str">
        <f t="shared" si="193"/>
        <v/>
      </c>
      <c r="O281" s="512"/>
      <c r="P281" s="506"/>
      <c r="Q281" s="507"/>
      <c r="R281" s="505"/>
      <c r="S281" s="514"/>
      <c r="T281" s="526"/>
      <c r="U281" s="527"/>
      <c r="V281" s="397">
        <f t="shared" si="190"/>
        <v>0</v>
      </c>
      <c r="W281" s="397">
        <f t="shared" si="194"/>
        <v>0</v>
      </c>
      <c r="X281" s="512"/>
      <c r="Y281" s="508"/>
      <c r="Z281" s="507"/>
      <c r="AA281" s="505"/>
      <c r="AB281" s="295"/>
      <c r="AC281" s="305"/>
      <c r="AD281" s="799"/>
      <c r="AE281" s="800"/>
      <c r="AF281" s="829"/>
      <c r="AG281" s="1137">
        <f t="shared" si="195"/>
        <v>0</v>
      </c>
      <c r="AH281" s="799"/>
      <c r="AI281" s="800"/>
      <c r="AJ281" s="829"/>
      <c r="AK281" s="1137">
        <f t="shared" si="196"/>
        <v>0</v>
      </c>
      <c r="AL281" s="799"/>
      <c r="AM281" s="800"/>
      <c r="AN281" s="829"/>
      <c r="AO281" s="1137">
        <f t="shared" si="197"/>
        <v>0</v>
      </c>
      <c r="AP281" s="1079">
        <f t="shared" si="198"/>
        <v>0</v>
      </c>
      <c r="AQ281" s="1079">
        <f t="shared" si="201"/>
        <v>0</v>
      </c>
      <c r="AR281" s="1080">
        <f t="shared" si="202"/>
        <v>0</v>
      </c>
      <c r="AS281" s="307"/>
      <c r="AT281" s="307"/>
      <c r="AU281" s="307"/>
      <c r="AV281" s="307"/>
      <c r="AW281" s="307"/>
      <c r="AX281" s="307"/>
      <c r="AY281" s="307"/>
      <c r="AZ281" s="307"/>
      <c r="BA281" s="307"/>
      <c r="BB281" s="196"/>
      <c r="BC281" s="196"/>
      <c r="BD281" s="212"/>
      <c r="BE281" s="212"/>
      <c r="BF281" s="212"/>
      <c r="BG281" s="212"/>
      <c r="BH281" s="212"/>
      <c r="BI281" s="212"/>
      <c r="BJ281" s="212"/>
      <c r="BK281" s="212"/>
      <c r="BL281" s="212"/>
      <c r="BM281" s="212"/>
      <c r="BN281" s="212"/>
      <c r="BO281" s="212"/>
      <c r="BP281" s="212"/>
      <c r="BQ281" s="212"/>
      <c r="BR281" s="212"/>
      <c r="BS281" s="212"/>
      <c r="BT281" s="212"/>
      <c r="BU281" s="212"/>
      <c r="BV281" s="212"/>
      <c r="BW281" s="212"/>
      <c r="BX281" s="212"/>
      <c r="BY281" s="212"/>
      <c r="BZ281" s="212"/>
      <c r="CA281" s="212"/>
      <c r="CB281" s="212"/>
      <c r="CC281" s="212"/>
      <c r="CD281" s="212"/>
      <c r="CE281" s="212"/>
    </row>
    <row r="282" spans="1:83" ht="12.75" customHeight="1" x14ac:dyDescent="0.2">
      <c r="A282" s="316" t="s">
        <v>1082</v>
      </c>
      <c r="B282" s="38"/>
      <c r="C282" s="354"/>
      <c r="D282" s="354"/>
      <c r="E282" s="32"/>
      <c r="F282" s="319"/>
      <c r="G282" s="1168"/>
      <c r="H282" s="1168"/>
      <c r="I282" s="845"/>
      <c r="J282" s="751"/>
      <c r="K282" s="751"/>
      <c r="L282" s="489">
        <f t="shared" si="191"/>
        <v>0</v>
      </c>
      <c r="M282" s="489">
        <f t="shared" si="192"/>
        <v>0</v>
      </c>
      <c r="N282" s="357" t="str">
        <f t="shared" si="193"/>
        <v/>
      </c>
      <c r="O282" s="512"/>
      <c r="P282" s="506"/>
      <c r="Q282" s="507"/>
      <c r="R282" s="505"/>
      <c r="S282" s="514"/>
      <c r="T282" s="526"/>
      <c r="U282" s="527"/>
      <c r="V282" s="397">
        <f>SUM(T282:U282)</f>
        <v>0</v>
      </c>
      <c r="W282" s="397">
        <f t="shared" si="194"/>
        <v>0</v>
      </c>
      <c r="X282" s="512"/>
      <c r="Y282" s="508"/>
      <c r="Z282" s="507"/>
      <c r="AA282" s="505"/>
      <c r="AB282" s="295"/>
      <c r="AC282" s="305"/>
      <c r="AD282" s="799"/>
      <c r="AE282" s="800"/>
      <c r="AF282" s="829"/>
      <c r="AG282" s="1137">
        <f>SUM(AE282:AF282)</f>
        <v>0</v>
      </c>
      <c r="AH282" s="799"/>
      <c r="AI282" s="800"/>
      <c r="AJ282" s="829"/>
      <c r="AK282" s="1137">
        <f>SUM(AI282:AJ282)</f>
        <v>0</v>
      </c>
      <c r="AL282" s="799"/>
      <c r="AM282" s="800"/>
      <c r="AN282" s="829"/>
      <c r="AO282" s="1137">
        <f>SUM(AM282:AN282)</f>
        <v>0</v>
      </c>
      <c r="AP282" s="1079">
        <f t="shared" si="198"/>
        <v>0</v>
      </c>
      <c r="AQ282" s="1079">
        <f t="shared" si="201"/>
        <v>0</v>
      </c>
      <c r="AR282" s="1080">
        <f t="shared" si="202"/>
        <v>0</v>
      </c>
      <c r="AS282" s="307"/>
      <c r="AT282" s="307"/>
      <c r="AU282" s="307"/>
      <c r="AV282" s="307"/>
      <c r="AW282" s="307"/>
      <c r="AX282" s="307"/>
      <c r="AY282" s="307"/>
      <c r="AZ282" s="307"/>
      <c r="BA282" s="307"/>
      <c r="BB282" s="196"/>
      <c r="BC282" s="196"/>
      <c r="BD282" s="212"/>
      <c r="BE282" s="212"/>
      <c r="BF282" s="212"/>
      <c r="BG282" s="212"/>
      <c r="BH282" s="212"/>
      <c r="BI282" s="212"/>
      <c r="BJ282" s="212"/>
      <c r="BK282" s="212"/>
      <c r="BL282" s="212"/>
      <c r="BM282" s="212"/>
      <c r="BN282" s="212"/>
      <c r="BO282" s="212"/>
      <c r="BP282" s="212"/>
      <c r="BQ282" s="212"/>
      <c r="BR282" s="212"/>
      <c r="BS282" s="212"/>
      <c r="BT282" s="212"/>
      <c r="BU282" s="212"/>
      <c r="BV282" s="212"/>
      <c r="BW282" s="212"/>
      <c r="BX282" s="212"/>
      <c r="BY282" s="212"/>
      <c r="BZ282" s="212"/>
      <c r="CA282" s="212"/>
      <c r="CB282" s="212"/>
      <c r="CC282" s="212"/>
      <c r="CD282" s="212"/>
      <c r="CE282" s="212"/>
    </row>
    <row r="283" spans="1:83" ht="12.75" customHeight="1" x14ac:dyDescent="0.2">
      <c r="A283" s="316" t="s">
        <v>1083</v>
      </c>
      <c r="B283" s="38"/>
      <c r="C283" s="354"/>
      <c r="D283" s="354"/>
      <c r="E283" s="32"/>
      <c r="F283" s="319"/>
      <c r="G283" s="1168"/>
      <c r="H283" s="1168"/>
      <c r="I283" s="845"/>
      <c r="J283" s="751"/>
      <c r="K283" s="751"/>
      <c r="L283" s="489">
        <f t="shared" si="191"/>
        <v>0</v>
      </c>
      <c r="M283" s="489">
        <f t="shared" si="192"/>
        <v>0</v>
      </c>
      <c r="N283" s="357" t="str">
        <f t="shared" si="193"/>
        <v/>
      </c>
      <c r="O283" s="512"/>
      <c r="P283" s="506"/>
      <c r="Q283" s="507"/>
      <c r="R283" s="505"/>
      <c r="S283" s="514"/>
      <c r="T283" s="526"/>
      <c r="U283" s="527"/>
      <c r="V283" s="397">
        <f t="shared" ref="V283:V293" si="203">SUM(T283:U283)</f>
        <v>0</v>
      </c>
      <c r="W283" s="397">
        <f t="shared" si="194"/>
        <v>0</v>
      </c>
      <c r="X283" s="512"/>
      <c r="Y283" s="508"/>
      <c r="Z283" s="507"/>
      <c r="AA283" s="505"/>
      <c r="AB283" s="295"/>
      <c r="AC283" s="305"/>
      <c r="AD283" s="799"/>
      <c r="AE283" s="800"/>
      <c r="AF283" s="829"/>
      <c r="AG283" s="1137">
        <f t="shared" ref="AG283:AG323" si="204">SUM(AE283:AF283)</f>
        <v>0</v>
      </c>
      <c r="AH283" s="799"/>
      <c r="AI283" s="800"/>
      <c r="AJ283" s="829"/>
      <c r="AK283" s="1137">
        <f t="shared" ref="AK283:AK323" si="205">SUM(AI283:AJ283)</f>
        <v>0</v>
      </c>
      <c r="AL283" s="799"/>
      <c r="AM283" s="800"/>
      <c r="AN283" s="829"/>
      <c r="AO283" s="1137">
        <f t="shared" ref="AO283:AO323" si="206">SUM(AM283:AN283)</f>
        <v>0</v>
      </c>
      <c r="AP283" s="1079">
        <f t="shared" si="198"/>
        <v>0</v>
      </c>
      <c r="AQ283" s="1079">
        <f t="shared" si="201"/>
        <v>0</v>
      </c>
      <c r="AR283" s="1080">
        <f t="shared" si="202"/>
        <v>0</v>
      </c>
      <c r="AS283" s="307"/>
      <c r="AT283" s="307"/>
      <c r="AU283" s="307"/>
      <c r="AV283" s="307"/>
      <c r="AW283" s="307"/>
      <c r="AX283" s="307"/>
      <c r="AY283" s="307"/>
      <c r="AZ283" s="307"/>
      <c r="BA283" s="307"/>
      <c r="BB283" s="196"/>
      <c r="BC283" s="196"/>
      <c r="BD283" s="212"/>
      <c r="BE283" s="212"/>
      <c r="BF283" s="212"/>
      <c r="BG283" s="212"/>
      <c r="BH283" s="212"/>
      <c r="BI283" s="212"/>
      <c r="BJ283" s="212"/>
      <c r="BK283" s="212"/>
      <c r="BL283" s="212"/>
      <c r="BM283" s="212"/>
      <c r="BN283" s="212"/>
      <c r="BO283" s="212"/>
      <c r="BP283" s="212"/>
      <c r="BQ283" s="212"/>
      <c r="BR283" s="212"/>
      <c r="BS283" s="212"/>
      <c r="BT283" s="212"/>
      <c r="BU283" s="212"/>
      <c r="BV283" s="212"/>
      <c r="BW283" s="212"/>
      <c r="BX283" s="212"/>
      <c r="BY283" s="212"/>
      <c r="BZ283" s="212"/>
      <c r="CA283" s="212"/>
      <c r="CB283" s="212"/>
      <c r="CC283" s="212"/>
      <c r="CD283" s="212"/>
      <c r="CE283" s="212"/>
    </row>
    <row r="284" spans="1:83" ht="12.75" customHeight="1" x14ac:dyDescent="0.2">
      <c r="A284" s="316" t="s">
        <v>1084</v>
      </c>
      <c r="B284" s="38"/>
      <c r="C284" s="354"/>
      <c r="D284" s="354"/>
      <c r="E284" s="32"/>
      <c r="F284" s="319"/>
      <c r="G284" s="1168"/>
      <c r="H284" s="1168"/>
      <c r="I284" s="845"/>
      <c r="J284" s="751"/>
      <c r="K284" s="751"/>
      <c r="L284" s="489">
        <f t="shared" si="191"/>
        <v>0</v>
      </c>
      <c r="M284" s="489">
        <f t="shared" si="192"/>
        <v>0</v>
      </c>
      <c r="N284" s="357" t="str">
        <f t="shared" si="193"/>
        <v/>
      </c>
      <c r="O284" s="512"/>
      <c r="P284" s="506"/>
      <c r="Q284" s="507"/>
      <c r="R284" s="505"/>
      <c r="S284" s="514"/>
      <c r="T284" s="526"/>
      <c r="U284" s="527"/>
      <c r="V284" s="397">
        <f t="shared" si="203"/>
        <v>0</v>
      </c>
      <c r="W284" s="397">
        <f t="shared" si="194"/>
        <v>0</v>
      </c>
      <c r="X284" s="512"/>
      <c r="Y284" s="508"/>
      <c r="Z284" s="507"/>
      <c r="AA284" s="505"/>
      <c r="AB284" s="295"/>
      <c r="AC284" s="305"/>
      <c r="AD284" s="799"/>
      <c r="AE284" s="800"/>
      <c r="AF284" s="829"/>
      <c r="AG284" s="1137">
        <f t="shared" si="204"/>
        <v>0</v>
      </c>
      <c r="AH284" s="799"/>
      <c r="AI284" s="800"/>
      <c r="AJ284" s="829"/>
      <c r="AK284" s="1137">
        <f t="shared" si="205"/>
        <v>0</v>
      </c>
      <c r="AL284" s="799"/>
      <c r="AM284" s="800"/>
      <c r="AN284" s="829"/>
      <c r="AO284" s="1137">
        <f t="shared" si="206"/>
        <v>0</v>
      </c>
      <c r="AP284" s="1079">
        <f t="shared" si="198"/>
        <v>0</v>
      </c>
      <c r="AQ284" s="1079">
        <f t="shared" si="201"/>
        <v>0</v>
      </c>
      <c r="AR284" s="1080">
        <f t="shared" si="202"/>
        <v>0</v>
      </c>
      <c r="AS284" s="307"/>
      <c r="AT284" s="307"/>
      <c r="AU284" s="307"/>
      <c r="AV284" s="307"/>
      <c r="AW284" s="307"/>
      <c r="AX284" s="307"/>
      <c r="AY284" s="307"/>
      <c r="AZ284" s="307"/>
      <c r="BA284" s="307"/>
      <c r="BB284" s="196"/>
      <c r="BC284" s="196"/>
      <c r="BD284" s="212"/>
      <c r="BE284" s="212"/>
      <c r="BF284" s="212"/>
      <c r="BG284" s="212"/>
      <c r="BH284" s="212"/>
      <c r="BI284" s="212"/>
      <c r="BJ284" s="212"/>
      <c r="BK284" s="212"/>
      <c r="BL284" s="212"/>
      <c r="BM284" s="212"/>
      <c r="BN284" s="212"/>
      <c r="BO284" s="212"/>
      <c r="BP284" s="212"/>
      <c r="BQ284" s="212"/>
      <c r="BR284" s="212"/>
      <c r="BS284" s="212"/>
      <c r="BT284" s="212"/>
      <c r="BU284" s="212"/>
      <c r="BV284" s="212"/>
      <c r="BW284" s="212"/>
      <c r="BX284" s="212"/>
      <c r="BY284" s="212"/>
      <c r="BZ284" s="212"/>
      <c r="CA284" s="212"/>
      <c r="CB284" s="212"/>
      <c r="CC284" s="212"/>
      <c r="CD284" s="212"/>
      <c r="CE284" s="212"/>
    </row>
    <row r="285" spans="1:83" ht="12.75" customHeight="1" x14ac:dyDescent="0.2">
      <c r="A285" s="316" t="s">
        <v>1085</v>
      </c>
      <c r="B285" s="38"/>
      <c r="C285" s="354"/>
      <c r="D285" s="354"/>
      <c r="E285" s="32"/>
      <c r="F285" s="319"/>
      <c r="G285" s="1168"/>
      <c r="H285" s="1168"/>
      <c r="I285" s="845"/>
      <c r="J285" s="751"/>
      <c r="K285" s="751"/>
      <c r="L285" s="489">
        <f t="shared" si="191"/>
        <v>0</v>
      </c>
      <c r="M285" s="489">
        <f t="shared" si="192"/>
        <v>0</v>
      </c>
      <c r="N285" s="357" t="str">
        <f t="shared" si="193"/>
        <v/>
      </c>
      <c r="O285" s="512"/>
      <c r="P285" s="506"/>
      <c r="Q285" s="507"/>
      <c r="R285" s="505"/>
      <c r="S285" s="514"/>
      <c r="T285" s="526"/>
      <c r="U285" s="527"/>
      <c r="V285" s="397">
        <f t="shared" si="203"/>
        <v>0</v>
      </c>
      <c r="W285" s="397">
        <f t="shared" si="194"/>
        <v>0</v>
      </c>
      <c r="X285" s="512"/>
      <c r="Y285" s="508"/>
      <c r="Z285" s="507"/>
      <c r="AA285" s="505"/>
      <c r="AB285" s="295"/>
      <c r="AC285" s="305"/>
      <c r="AD285" s="799"/>
      <c r="AE285" s="800"/>
      <c r="AF285" s="829"/>
      <c r="AG285" s="1137">
        <f t="shared" si="204"/>
        <v>0</v>
      </c>
      <c r="AH285" s="799"/>
      <c r="AI285" s="800"/>
      <c r="AJ285" s="829"/>
      <c r="AK285" s="1137">
        <f t="shared" si="205"/>
        <v>0</v>
      </c>
      <c r="AL285" s="799"/>
      <c r="AM285" s="800"/>
      <c r="AN285" s="829"/>
      <c r="AO285" s="1137">
        <f t="shared" si="206"/>
        <v>0</v>
      </c>
      <c r="AP285" s="1079">
        <f t="shared" si="198"/>
        <v>0</v>
      </c>
      <c r="AQ285" s="1079">
        <f t="shared" si="201"/>
        <v>0</v>
      </c>
      <c r="AR285" s="1080">
        <f t="shared" si="202"/>
        <v>0</v>
      </c>
      <c r="AS285" s="307"/>
      <c r="AT285" s="307"/>
      <c r="AU285" s="307"/>
      <c r="AV285" s="307"/>
      <c r="AW285" s="307"/>
      <c r="AX285" s="307"/>
      <c r="AY285" s="307"/>
      <c r="AZ285" s="307"/>
      <c r="BA285" s="307"/>
      <c r="BB285" s="196"/>
      <c r="BC285" s="196"/>
      <c r="BD285" s="212"/>
      <c r="BE285" s="212"/>
      <c r="BF285" s="212"/>
      <c r="BG285" s="212"/>
      <c r="BH285" s="212"/>
      <c r="BI285" s="212"/>
      <c r="BJ285" s="212"/>
      <c r="BK285" s="212"/>
      <c r="BL285" s="212"/>
      <c r="BM285" s="212"/>
      <c r="BN285" s="212"/>
      <c r="BO285" s="212"/>
      <c r="BP285" s="212"/>
      <c r="BQ285" s="212"/>
      <c r="BR285" s="212"/>
      <c r="BS285" s="212"/>
      <c r="BT285" s="212"/>
      <c r="BU285" s="212"/>
      <c r="BV285" s="212"/>
      <c r="BW285" s="212"/>
      <c r="BX285" s="212"/>
      <c r="BY285" s="212"/>
      <c r="BZ285" s="212"/>
      <c r="CA285" s="212"/>
      <c r="CB285" s="212"/>
      <c r="CC285" s="212"/>
      <c r="CD285" s="212"/>
      <c r="CE285" s="212"/>
    </row>
    <row r="286" spans="1:83" ht="12.75" customHeight="1" x14ac:dyDescent="0.2">
      <c r="A286" s="316" t="s">
        <v>1086</v>
      </c>
      <c r="B286" s="38"/>
      <c r="C286" s="354"/>
      <c r="D286" s="354"/>
      <c r="E286" s="32"/>
      <c r="F286" s="319"/>
      <c r="G286" s="1168"/>
      <c r="H286" s="1168"/>
      <c r="I286" s="845"/>
      <c r="J286" s="751"/>
      <c r="K286" s="751"/>
      <c r="L286" s="489">
        <f t="shared" si="191"/>
        <v>0</v>
      </c>
      <c r="M286" s="489">
        <f t="shared" si="192"/>
        <v>0</v>
      </c>
      <c r="N286" s="357" t="str">
        <f t="shared" si="193"/>
        <v/>
      </c>
      <c r="O286" s="512"/>
      <c r="P286" s="506"/>
      <c r="Q286" s="507"/>
      <c r="R286" s="505"/>
      <c r="S286" s="514"/>
      <c r="T286" s="526"/>
      <c r="U286" s="527"/>
      <c r="V286" s="397">
        <f t="shared" si="203"/>
        <v>0</v>
      </c>
      <c r="W286" s="397">
        <f t="shared" si="194"/>
        <v>0</v>
      </c>
      <c r="X286" s="512"/>
      <c r="Y286" s="508"/>
      <c r="Z286" s="507"/>
      <c r="AA286" s="505"/>
      <c r="AB286" s="295"/>
      <c r="AC286" s="305"/>
      <c r="AD286" s="799"/>
      <c r="AE286" s="800"/>
      <c r="AF286" s="829"/>
      <c r="AG286" s="1137">
        <f t="shared" si="204"/>
        <v>0</v>
      </c>
      <c r="AH286" s="799"/>
      <c r="AI286" s="800"/>
      <c r="AJ286" s="829"/>
      <c r="AK286" s="1137">
        <f t="shared" si="205"/>
        <v>0</v>
      </c>
      <c r="AL286" s="799"/>
      <c r="AM286" s="800"/>
      <c r="AN286" s="829"/>
      <c r="AO286" s="1137">
        <f t="shared" si="206"/>
        <v>0</v>
      </c>
      <c r="AP286" s="1079">
        <f t="shared" si="198"/>
        <v>0</v>
      </c>
      <c r="AQ286" s="1079">
        <f t="shared" si="201"/>
        <v>0</v>
      </c>
      <c r="AR286" s="1080">
        <f t="shared" si="202"/>
        <v>0</v>
      </c>
      <c r="AS286" s="307"/>
      <c r="AT286" s="307"/>
      <c r="AU286" s="307"/>
      <c r="AV286" s="307"/>
      <c r="AW286" s="307"/>
      <c r="AX286" s="307"/>
      <c r="AY286" s="307"/>
      <c r="AZ286" s="307"/>
      <c r="BA286" s="307"/>
      <c r="BB286" s="196"/>
      <c r="BC286" s="196"/>
      <c r="BD286" s="212"/>
      <c r="BE286" s="212"/>
      <c r="BF286" s="212"/>
      <c r="BG286" s="212"/>
      <c r="BH286" s="212"/>
      <c r="BI286" s="212"/>
      <c r="BJ286" s="212"/>
      <c r="BK286" s="212"/>
      <c r="BL286" s="212"/>
      <c r="BM286" s="212"/>
      <c r="BN286" s="212"/>
      <c r="BO286" s="212"/>
      <c r="BP286" s="212"/>
      <c r="BQ286" s="212"/>
      <c r="BR286" s="212"/>
      <c r="BS286" s="212"/>
      <c r="BT286" s="212"/>
      <c r="BU286" s="212"/>
      <c r="BV286" s="212"/>
      <c r="BW286" s="212"/>
      <c r="BX286" s="212"/>
      <c r="BY286" s="212"/>
      <c r="BZ286" s="212"/>
      <c r="CA286" s="212"/>
      <c r="CB286" s="212"/>
      <c r="CC286" s="212"/>
      <c r="CD286" s="212"/>
      <c r="CE286" s="212"/>
    </row>
    <row r="287" spans="1:83" ht="12.75" customHeight="1" x14ac:dyDescent="0.2">
      <c r="A287" s="316" t="s">
        <v>1087</v>
      </c>
      <c r="B287" s="38"/>
      <c r="C287" s="354"/>
      <c r="D287" s="354"/>
      <c r="E287" s="32"/>
      <c r="F287" s="319"/>
      <c r="G287" s="1168"/>
      <c r="H287" s="1168"/>
      <c r="I287" s="845"/>
      <c r="J287" s="751"/>
      <c r="K287" s="751"/>
      <c r="L287" s="489">
        <f t="shared" si="191"/>
        <v>0</v>
      </c>
      <c r="M287" s="489">
        <f t="shared" si="192"/>
        <v>0</v>
      </c>
      <c r="N287" s="357" t="str">
        <f t="shared" si="193"/>
        <v/>
      </c>
      <c r="O287" s="512"/>
      <c r="P287" s="506"/>
      <c r="Q287" s="507"/>
      <c r="R287" s="505"/>
      <c r="S287" s="514"/>
      <c r="T287" s="526"/>
      <c r="U287" s="527"/>
      <c r="V287" s="397">
        <f t="shared" si="203"/>
        <v>0</v>
      </c>
      <c r="W287" s="397">
        <f t="shared" si="194"/>
        <v>0</v>
      </c>
      <c r="X287" s="512"/>
      <c r="Y287" s="508"/>
      <c r="Z287" s="507"/>
      <c r="AA287" s="505"/>
      <c r="AB287" s="295"/>
      <c r="AC287" s="305"/>
      <c r="AD287" s="799"/>
      <c r="AE287" s="800"/>
      <c r="AF287" s="829"/>
      <c r="AG287" s="1137">
        <f t="shared" si="204"/>
        <v>0</v>
      </c>
      <c r="AH287" s="799"/>
      <c r="AI287" s="800"/>
      <c r="AJ287" s="829"/>
      <c r="AK287" s="1137">
        <f t="shared" si="205"/>
        <v>0</v>
      </c>
      <c r="AL287" s="799"/>
      <c r="AM287" s="800"/>
      <c r="AN287" s="829"/>
      <c r="AO287" s="1137">
        <f t="shared" si="206"/>
        <v>0</v>
      </c>
      <c r="AP287" s="1079">
        <f t="shared" si="198"/>
        <v>0</v>
      </c>
      <c r="AQ287" s="1079">
        <f t="shared" si="201"/>
        <v>0</v>
      </c>
      <c r="AR287" s="1080">
        <f t="shared" si="202"/>
        <v>0</v>
      </c>
      <c r="AS287" s="307"/>
      <c r="AT287" s="307"/>
      <c r="AU287" s="307"/>
      <c r="AV287" s="307"/>
      <c r="AW287" s="307"/>
      <c r="AX287" s="307"/>
      <c r="AY287" s="307"/>
      <c r="AZ287" s="307"/>
      <c r="BA287" s="307"/>
      <c r="BB287" s="196"/>
      <c r="BC287" s="196"/>
      <c r="BD287" s="212"/>
      <c r="BE287" s="212"/>
      <c r="BF287" s="212"/>
      <c r="BG287" s="212"/>
      <c r="BH287" s="212"/>
      <c r="BI287" s="212"/>
      <c r="BJ287" s="212"/>
      <c r="BK287" s="212"/>
      <c r="BL287" s="212"/>
      <c r="BM287" s="212"/>
      <c r="BN287" s="212"/>
      <c r="BO287" s="212"/>
      <c r="BP287" s="212"/>
      <c r="BQ287" s="212"/>
      <c r="BR287" s="212"/>
      <c r="BS287" s="212"/>
      <c r="BT287" s="212"/>
      <c r="BU287" s="212"/>
      <c r="BV287" s="212"/>
      <c r="BW287" s="212"/>
      <c r="BX287" s="212"/>
      <c r="BY287" s="212"/>
      <c r="BZ287" s="212"/>
      <c r="CA287" s="212"/>
      <c r="CB287" s="212"/>
      <c r="CC287" s="212"/>
      <c r="CD287" s="212"/>
      <c r="CE287" s="212"/>
    </row>
    <row r="288" spans="1:83" ht="12.75" customHeight="1" x14ac:dyDescent="0.2">
      <c r="A288" s="316" t="s">
        <v>1088</v>
      </c>
      <c r="B288" s="38"/>
      <c r="C288" s="354"/>
      <c r="D288" s="354"/>
      <c r="E288" s="32"/>
      <c r="F288" s="319"/>
      <c r="G288" s="1168"/>
      <c r="H288" s="1168"/>
      <c r="I288" s="845"/>
      <c r="J288" s="751"/>
      <c r="K288" s="751"/>
      <c r="L288" s="489">
        <f t="shared" si="191"/>
        <v>0</v>
      </c>
      <c r="M288" s="489">
        <f t="shared" si="192"/>
        <v>0</v>
      </c>
      <c r="N288" s="357" t="str">
        <f t="shared" si="193"/>
        <v/>
      </c>
      <c r="O288" s="512"/>
      <c r="P288" s="506"/>
      <c r="Q288" s="507"/>
      <c r="R288" s="505"/>
      <c r="S288" s="514"/>
      <c r="T288" s="526"/>
      <c r="U288" s="527"/>
      <c r="V288" s="397">
        <f t="shared" si="203"/>
        <v>0</v>
      </c>
      <c r="W288" s="397">
        <f t="shared" si="194"/>
        <v>0</v>
      </c>
      <c r="X288" s="512"/>
      <c r="Y288" s="508"/>
      <c r="Z288" s="507"/>
      <c r="AA288" s="505"/>
      <c r="AB288" s="295"/>
      <c r="AC288" s="305"/>
      <c r="AD288" s="799"/>
      <c r="AE288" s="800"/>
      <c r="AF288" s="829"/>
      <c r="AG288" s="1137">
        <f t="shared" si="204"/>
        <v>0</v>
      </c>
      <c r="AH288" s="799"/>
      <c r="AI288" s="800"/>
      <c r="AJ288" s="829"/>
      <c r="AK288" s="1137">
        <f t="shared" si="205"/>
        <v>0</v>
      </c>
      <c r="AL288" s="799"/>
      <c r="AM288" s="800"/>
      <c r="AN288" s="829"/>
      <c r="AO288" s="1137">
        <f t="shared" si="206"/>
        <v>0</v>
      </c>
      <c r="AP288" s="1079">
        <f t="shared" si="198"/>
        <v>0</v>
      </c>
      <c r="AQ288" s="1079">
        <f t="shared" si="201"/>
        <v>0</v>
      </c>
      <c r="AR288" s="1080">
        <f t="shared" si="202"/>
        <v>0</v>
      </c>
      <c r="AS288" s="307"/>
      <c r="AT288" s="307"/>
      <c r="AU288" s="307"/>
      <c r="AV288" s="307"/>
      <c r="AW288" s="307"/>
      <c r="AX288" s="307"/>
      <c r="AY288" s="307"/>
      <c r="AZ288" s="307"/>
      <c r="BA288" s="307"/>
      <c r="BB288" s="196"/>
      <c r="BC288" s="196"/>
      <c r="BD288" s="212"/>
      <c r="BE288" s="212"/>
      <c r="BF288" s="212"/>
      <c r="BG288" s="212"/>
      <c r="BH288" s="212"/>
      <c r="BI288" s="212"/>
      <c r="BJ288" s="212"/>
      <c r="BK288" s="212"/>
      <c r="BL288" s="212"/>
      <c r="BM288" s="212"/>
      <c r="BN288" s="212"/>
      <c r="BO288" s="212"/>
      <c r="BP288" s="212"/>
      <c r="BQ288" s="212"/>
      <c r="BR288" s="212"/>
      <c r="BS288" s="212"/>
      <c r="BT288" s="212"/>
      <c r="BU288" s="212"/>
      <c r="BV288" s="212"/>
      <c r="BW288" s="212"/>
      <c r="BX288" s="212"/>
      <c r="BY288" s="212"/>
      <c r="BZ288" s="212"/>
      <c r="CA288" s="212"/>
      <c r="CB288" s="212"/>
      <c r="CC288" s="212"/>
      <c r="CD288" s="212"/>
      <c r="CE288" s="212"/>
    </row>
    <row r="289" spans="1:83" ht="12.75" customHeight="1" x14ac:dyDescent="0.2">
      <c r="A289" s="316" t="s">
        <v>1089</v>
      </c>
      <c r="B289" s="38"/>
      <c r="C289" s="354"/>
      <c r="D289" s="354"/>
      <c r="E289" s="32"/>
      <c r="F289" s="319"/>
      <c r="G289" s="1168"/>
      <c r="H289" s="1168"/>
      <c r="I289" s="845"/>
      <c r="J289" s="751"/>
      <c r="K289" s="751"/>
      <c r="L289" s="489">
        <f t="shared" si="191"/>
        <v>0</v>
      </c>
      <c r="M289" s="489">
        <f t="shared" si="192"/>
        <v>0</v>
      </c>
      <c r="N289" s="357" t="str">
        <f t="shared" si="193"/>
        <v/>
      </c>
      <c r="O289" s="512"/>
      <c r="P289" s="506"/>
      <c r="Q289" s="507"/>
      <c r="R289" s="505"/>
      <c r="S289" s="514"/>
      <c r="T289" s="526"/>
      <c r="U289" s="527"/>
      <c r="V289" s="397">
        <f t="shared" si="203"/>
        <v>0</v>
      </c>
      <c r="W289" s="397">
        <f t="shared" si="194"/>
        <v>0</v>
      </c>
      <c r="X289" s="512"/>
      <c r="Y289" s="508"/>
      <c r="Z289" s="507"/>
      <c r="AA289" s="505"/>
      <c r="AB289" s="295"/>
      <c r="AC289" s="305"/>
      <c r="AD289" s="799"/>
      <c r="AE289" s="800"/>
      <c r="AF289" s="829"/>
      <c r="AG289" s="1137">
        <f t="shared" si="204"/>
        <v>0</v>
      </c>
      <c r="AH289" s="799"/>
      <c r="AI289" s="800"/>
      <c r="AJ289" s="829"/>
      <c r="AK289" s="1137">
        <f t="shared" si="205"/>
        <v>0</v>
      </c>
      <c r="AL289" s="799"/>
      <c r="AM289" s="800"/>
      <c r="AN289" s="829"/>
      <c r="AO289" s="1137">
        <f t="shared" si="206"/>
        <v>0</v>
      </c>
      <c r="AP289" s="1079">
        <f t="shared" si="198"/>
        <v>0</v>
      </c>
      <c r="AQ289" s="1079">
        <f t="shared" si="201"/>
        <v>0</v>
      </c>
      <c r="AR289" s="1080">
        <f t="shared" si="202"/>
        <v>0</v>
      </c>
      <c r="AS289" s="307"/>
      <c r="AT289" s="307"/>
      <c r="AU289" s="307"/>
      <c r="AV289" s="307"/>
      <c r="AW289" s="307"/>
      <c r="AX289" s="307"/>
      <c r="AY289" s="307"/>
      <c r="AZ289" s="307"/>
      <c r="BA289" s="307"/>
      <c r="BB289" s="196"/>
      <c r="BC289" s="196"/>
      <c r="BD289" s="212"/>
      <c r="BE289" s="212"/>
      <c r="BF289" s="212"/>
      <c r="BG289" s="212"/>
      <c r="BH289" s="212"/>
      <c r="BI289" s="212"/>
      <c r="BJ289" s="212"/>
      <c r="BK289" s="212"/>
      <c r="BL289" s="212"/>
      <c r="BM289" s="212"/>
      <c r="BN289" s="212"/>
      <c r="BO289" s="212"/>
      <c r="BP289" s="212"/>
      <c r="BQ289" s="212"/>
      <c r="BR289" s="212"/>
      <c r="BS289" s="212"/>
      <c r="BT289" s="212"/>
      <c r="BU289" s="212"/>
      <c r="BV289" s="212"/>
      <c r="BW289" s="212"/>
      <c r="BX289" s="212"/>
      <c r="BY289" s="212"/>
      <c r="BZ289" s="212"/>
      <c r="CA289" s="212"/>
      <c r="CB289" s="212"/>
      <c r="CC289" s="212"/>
      <c r="CD289" s="212"/>
      <c r="CE289" s="212"/>
    </row>
    <row r="290" spans="1:83" ht="12.75" customHeight="1" x14ac:dyDescent="0.2">
      <c r="A290" s="316" t="s">
        <v>1090</v>
      </c>
      <c r="B290" s="38"/>
      <c r="C290" s="354"/>
      <c r="D290" s="354"/>
      <c r="E290" s="32"/>
      <c r="F290" s="319"/>
      <c r="G290" s="1168"/>
      <c r="H290" s="1168"/>
      <c r="I290" s="845"/>
      <c r="J290" s="751"/>
      <c r="K290" s="751"/>
      <c r="L290" s="489">
        <f t="shared" si="191"/>
        <v>0</v>
      </c>
      <c r="M290" s="489">
        <f t="shared" si="192"/>
        <v>0</v>
      </c>
      <c r="N290" s="357" t="str">
        <f t="shared" si="193"/>
        <v/>
      </c>
      <c r="O290" s="512"/>
      <c r="P290" s="506"/>
      <c r="Q290" s="507"/>
      <c r="R290" s="505"/>
      <c r="S290" s="514"/>
      <c r="T290" s="526"/>
      <c r="U290" s="527"/>
      <c r="V290" s="397">
        <f t="shared" si="203"/>
        <v>0</v>
      </c>
      <c r="W290" s="397">
        <f t="shared" si="194"/>
        <v>0</v>
      </c>
      <c r="X290" s="512"/>
      <c r="Y290" s="508"/>
      <c r="Z290" s="507"/>
      <c r="AA290" s="505"/>
      <c r="AB290" s="295"/>
      <c r="AC290" s="305"/>
      <c r="AD290" s="799"/>
      <c r="AE290" s="800"/>
      <c r="AF290" s="829"/>
      <c r="AG290" s="1137">
        <f t="shared" si="204"/>
        <v>0</v>
      </c>
      <c r="AH290" s="799"/>
      <c r="AI290" s="800"/>
      <c r="AJ290" s="829"/>
      <c r="AK290" s="1137">
        <f t="shared" si="205"/>
        <v>0</v>
      </c>
      <c r="AL290" s="799"/>
      <c r="AM290" s="800"/>
      <c r="AN290" s="829"/>
      <c r="AO290" s="1137">
        <f t="shared" si="206"/>
        <v>0</v>
      </c>
      <c r="AP290" s="1079">
        <f t="shared" si="198"/>
        <v>0</v>
      </c>
      <c r="AQ290" s="1079">
        <f t="shared" si="201"/>
        <v>0</v>
      </c>
      <c r="AR290" s="1080">
        <f t="shared" si="202"/>
        <v>0</v>
      </c>
      <c r="AS290" s="307"/>
      <c r="AT290" s="307"/>
      <c r="AU290" s="307"/>
      <c r="AV290" s="307"/>
      <c r="AW290" s="307"/>
      <c r="AX290" s="307"/>
      <c r="AY290" s="307"/>
      <c r="AZ290" s="307"/>
      <c r="BA290" s="307"/>
      <c r="BB290" s="196"/>
      <c r="BC290" s="196"/>
      <c r="BD290" s="212"/>
      <c r="BE290" s="212"/>
      <c r="BF290" s="212"/>
      <c r="BG290" s="212"/>
      <c r="BH290" s="212"/>
      <c r="BI290" s="212"/>
      <c r="BJ290" s="212"/>
      <c r="BK290" s="212"/>
      <c r="BL290" s="212"/>
      <c r="BM290" s="212"/>
      <c r="BN290" s="212"/>
      <c r="BO290" s="212"/>
      <c r="BP290" s="212"/>
      <c r="BQ290" s="212"/>
      <c r="BR290" s="212"/>
      <c r="BS290" s="212"/>
      <c r="BT290" s="212"/>
      <c r="BU290" s="212"/>
      <c r="BV290" s="212"/>
      <c r="BW290" s="212"/>
      <c r="BX290" s="212"/>
      <c r="BY290" s="212"/>
      <c r="BZ290" s="212"/>
      <c r="CA290" s="212"/>
      <c r="CB290" s="212"/>
      <c r="CC290" s="212"/>
      <c r="CD290" s="212"/>
      <c r="CE290" s="212"/>
    </row>
    <row r="291" spans="1:83" ht="12.75" customHeight="1" x14ac:dyDescent="0.2">
      <c r="A291" s="316" t="s">
        <v>1091</v>
      </c>
      <c r="B291" s="38"/>
      <c r="C291" s="354"/>
      <c r="D291" s="354"/>
      <c r="E291" s="32"/>
      <c r="F291" s="319"/>
      <c r="G291" s="1168"/>
      <c r="H291" s="1168"/>
      <c r="I291" s="845"/>
      <c r="J291" s="751"/>
      <c r="K291" s="751"/>
      <c r="L291" s="489">
        <f t="shared" si="191"/>
        <v>0</v>
      </c>
      <c r="M291" s="489">
        <f t="shared" si="192"/>
        <v>0</v>
      </c>
      <c r="N291" s="357" t="str">
        <f t="shared" si="193"/>
        <v/>
      </c>
      <c r="O291" s="512"/>
      <c r="P291" s="506"/>
      <c r="Q291" s="507"/>
      <c r="R291" s="505"/>
      <c r="S291" s="514"/>
      <c r="T291" s="526"/>
      <c r="U291" s="527"/>
      <c r="V291" s="397">
        <f t="shared" si="203"/>
        <v>0</v>
      </c>
      <c r="W291" s="397">
        <f t="shared" si="194"/>
        <v>0</v>
      </c>
      <c r="X291" s="512"/>
      <c r="Y291" s="508"/>
      <c r="Z291" s="507"/>
      <c r="AA291" s="505"/>
      <c r="AB291" s="295"/>
      <c r="AC291" s="305"/>
      <c r="AD291" s="799"/>
      <c r="AE291" s="800"/>
      <c r="AF291" s="829"/>
      <c r="AG291" s="1137">
        <f t="shared" si="204"/>
        <v>0</v>
      </c>
      <c r="AH291" s="799"/>
      <c r="AI291" s="800"/>
      <c r="AJ291" s="829"/>
      <c r="AK291" s="1137">
        <f t="shared" si="205"/>
        <v>0</v>
      </c>
      <c r="AL291" s="799"/>
      <c r="AM291" s="800"/>
      <c r="AN291" s="829"/>
      <c r="AO291" s="1137">
        <f t="shared" si="206"/>
        <v>0</v>
      </c>
      <c r="AP291" s="1079">
        <f t="shared" si="198"/>
        <v>0</v>
      </c>
      <c r="AQ291" s="1079">
        <f t="shared" si="201"/>
        <v>0</v>
      </c>
      <c r="AR291" s="1080">
        <f t="shared" si="202"/>
        <v>0</v>
      </c>
      <c r="AS291" s="307"/>
      <c r="AT291" s="307"/>
      <c r="AU291" s="307"/>
      <c r="AV291" s="307"/>
      <c r="AW291" s="307"/>
      <c r="AX291" s="307"/>
      <c r="AY291" s="307"/>
      <c r="AZ291" s="307"/>
      <c r="BA291" s="307"/>
      <c r="BB291" s="196"/>
      <c r="BC291" s="196"/>
      <c r="BD291" s="212"/>
      <c r="BE291" s="212"/>
      <c r="BF291" s="212"/>
      <c r="BG291" s="212"/>
      <c r="BH291" s="212"/>
      <c r="BI291" s="212"/>
      <c r="BJ291" s="212"/>
      <c r="BK291" s="212"/>
      <c r="BL291" s="212"/>
      <c r="BM291" s="212"/>
      <c r="BN291" s="212"/>
      <c r="BO291" s="212"/>
      <c r="BP291" s="212"/>
      <c r="BQ291" s="212"/>
      <c r="BR291" s="212"/>
      <c r="BS291" s="212"/>
      <c r="BT291" s="212"/>
      <c r="BU291" s="212"/>
      <c r="BV291" s="212"/>
      <c r="BW291" s="212"/>
      <c r="BX291" s="212"/>
      <c r="BY291" s="212"/>
      <c r="BZ291" s="212"/>
      <c r="CA291" s="212"/>
      <c r="CB291" s="212"/>
      <c r="CC291" s="212"/>
      <c r="CD291" s="212"/>
      <c r="CE291" s="212"/>
    </row>
    <row r="292" spans="1:83" ht="12.75" customHeight="1" x14ac:dyDescent="0.2">
      <c r="A292" s="316" t="s">
        <v>1092</v>
      </c>
      <c r="B292" s="38"/>
      <c r="C292" s="354"/>
      <c r="D292" s="354"/>
      <c r="E292" s="32"/>
      <c r="F292" s="319"/>
      <c r="G292" s="1168"/>
      <c r="H292" s="1168"/>
      <c r="I292" s="845"/>
      <c r="J292" s="751"/>
      <c r="K292" s="751"/>
      <c r="L292" s="489">
        <f t="shared" si="191"/>
        <v>0</v>
      </c>
      <c r="M292" s="489">
        <f t="shared" si="192"/>
        <v>0</v>
      </c>
      <c r="N292" s="357" t="str">
        <f t="shared" si="193"/>
        <v/>
      </c>
      <c r="O292" s="512"/>
      <c r="P292" s="506"/>
      <c r="Q292" s="507"/>
      <c r="R292" s="505"/>
      <c r="S292" s="514"/>
      <c r="T292" s="526"/>
      <c r="U292" s="527"/>
      <c r="V292" s="397">
        <f t="shared" si="203"/>
        <v>0</v>
      </c>
      <c r="W292" s="397">
        <f t="shared" si="194"/>
        <v>0</v>
      </c>
      <c r="X292" s="512"/>
      <c r="Y292" s="508"/>
      <c r="Z292" s="507"/>
      <c r="AA292" s="505"/>
      <c r="AB292" s="295"/>
      <c r="AC292" s="305"/>
      <c r="AD292" s="799"/>
      <c r="AE292" s="800"/>
      <c r="AF292" s="829"/>
      <c r="AG292" s="1137">
        <f t="shared" si="204"/>
        <v>0</v>
      </c>
      <c r="AH292" s="799"/>
      <c r="AI292" s="800"/>
      <c r="AJ292" s="829"/>
      <c r="AK292" s="1137">
        <f t="shared" si="205"/>
        <v>0</v>
      </c>
      <c r="AL292" s="799"/>
      <c r="AM292" s="800"/>
      <c r="AN292" s="829"/>
      <c r="AO292" s="1137">
        <f t="shared" si="206"/>
        <v>0</v>
      </c>
      <c r="AP292" s="1079">
        <f t="shared" si="198"/>
        <v>0</v>
      </c>
      <c r="AQ292" s="1079">
        <f t="shared" si="201"/>
        <v>0</v>
      </c>
      <c r="AR292" s="1080">
        <f t="shared" si="202"/>
        <v>0</v>
      </c>
      <c r="AS292" s="307"/>
      <c r="AT292" s="307"/>
      <c r="AU292" s="307"/>
      <c r="AV292" s="307"/>
      <c r="AW292" s="307"/>
      <c r="AX292" s="307"/>
      <c r="AY292" s="307"/>
      <c r="AZ292" s="307"/>
      <c r="BA292" s="307"/>
      <c r="BB292" s="196"/>
      <c r="BC292" s="196"/>
      <c r="BD292" s="212"/>
      <c r="BE292" s="212"/>
      <c r="BF292" s="212"/>
      <c r="BG292" s="212"/>
      <c r="BH292" s="212"/>
      <c r="BI292" s="212"/>
      <c r="BJ292" s="212"/>
      <c r="BK292" s="212"/>
      <c r="BL292" s="212"/>
      <c r="BM292" s="212"/>
      <c r="BN292" s="212"/>
      <c r="BO292" s="212"/>
      <c r="BP292" s="212"/>
      <c r="BQ292" s="212"/>
      <c r="BR292" s="212"/>
      <c r="BS292" s="212"/>
      <c r="BT292" s="212"/>
      <c r="BU292" s="212"/>
      <c r="BV292" s="212"/>
      <c r="BW292" s="212"/>
      <c r="BX292" s="212"/>
      <c r="BY292" s="212"/>
      <c r="BZ292" s="212"/>
      <c r="CA292" s="212"/>
      <c r="CB292" s="212"/>
      <c r="CC292" s="212"/>
      <c r="CD292" s="212"/>
      <c r="CE292" s="212"/>
    </row>
    <row r="293" spans="1:83" ht="12.75" customHeight="1" x14ac:dyDescent="0.2">
      <c r="A293" s="316" t="s">
        <v>1093</v>
      </c>
      <c r="B293" s="38"/>
      <c r="C293" s="354"/>
      <c r="D293" s="354"/>
      <c r="E293" s="32"/>
      <c r="F293" s="319"/>
      <c r="G293" s="1168"/>
      <c r="H293" s="1168"/>
      <c r="I293" s="845"/>
      <c r="J293" s="751"/>
      <c r="K293" s="751"/>
      <c r="L293" s="489">
        <f t="shared" si="191"/>
        <v>0</v>
      </c>
      <c r="M293" s="489">
        <f t="shared" si="192"/>
        <v>0</v>
      </c>
      <c r="N293" s="357" t="str">
        <f t="shared" si="193"/>
        <v/>
      </c>
      <c r="O293" s="512"/>
      <c r="P293" s="506"/>
      <c r="Q293" s="507"/>
      <c r="R293" s="505"/>
      <c r="S293" s="514"/>
      <c r="T293" s="526"/>
      <c r="U293" s="527"/>
      <c r="V293" s="397">
        <f t="shared" si="203"/>
        <v>0</v>
      </c>
      <c r="W293" s="397">
        <f t="shared" si="194"/>
        <v>0</v>
      </c>
      <c r="X293" s="512"/>
      <c r="Y293" s="508"/>
      <c r="Z293" s="507"/>
      <c r="AA293" s="505"/>
      <c r="AB293" s="295"/>
      <c r="AC293" s="305"/>
      <c r="AD293" s="799"/>
      <c r="AE293" s="800"/>
      <c r="AF293" s="829"/>
      <c r="AG293" s="1137">
        <f t="shared" si="204"/>
        <v>0</v>
      </c>
      <c r="AH293" s="799"/>
      <c r="AI293" s="800"/>
      <c r="AJ293" s="829"/>
      <c r="AK293" s="1137">
        <f t="shared" si="205"/>
        <v>0</v>
      </c>
      <c r="AL293" s="799"/>
      <c r="AM293" s="800"/>
      <c r="AN293" s="829"/>
      <c r="AO293" s="1137">
        <f t="shared" si="206"/>
        <v>0</v>
      </c>
      <c r="AP293" s="1079">
        <f t="shared" si="198"/>
        <v>0</v>
      </c>
      <c r="AQ293" s="1079">
        <f t="shared" si="201"/>
        <v>0</v>
      </c>
      <c r="AR293" s="1080">
        <f t="shared" si="202"/>
        <v>0</v>
      </c>
      <c r="AS293" s="307"/>
      <c r="AT293" s="307"/>
      <c r="AU293" s="307"/>
      <c r="AV293" s="307"/>
      <c r="AW293" s="307"/>
      <c r="AX293" s="307"/>
      <c r="AY293" s="307"/>
      <c r="AZ293" s="307"/>
      <c r="BA293" s="307"/>
      <c r="BB293" s="196"/>
      <c r="BC293" s="196"/>
      <c r="BD293" s="212"/>
      <c r="BE293" s="212"/>
      <c r="BF293" s="212"/>
      <c r="BG293" s="212"/>
      <c r="BH293" s="212"/>
      <c r="BI293" s="212"/>
      <c r="BJ293" s="212"/>
      <c r="BK293" s="212"/>
      <c r="BL293" s="212"/>
      <c r="BM293" s="212"/>
      <c r="BN293" s="212"/>
      <c r="BO293" s="212"/>
      <c r="BP293" s="212"/>
      <c r="BQ293" s="212"/>
      <c r="BR293" s="212"/>
      <c r="BS293" s="212"/>
      <c r="BT293" s="212"/>
      <c r="BU293" s="212"/>
      <c r="BV293" s="212"/>
      <c r="BW293" s="212"/>
      <c r="BX293" s="212"/>
      <c r="BY293" s="212"/>
      <c r="BZ293" s="212"/>
      <c r="CA293" s="212"/>
      <c r="CB293" s="212"/>
      <c r="CC293" s="212"/>
      <c r="CD293" s="212"/>
      <c r="CE293" s="212"/>
    </row>
    <row r="294" spans="1:83" ht="12.75" customHeight="1" x14ac:dyDescent="0.2">
      <c r="A294" s="316" t="s">
        <v>1094</v>
      </c>
      <c r="B294" s="38"/>
      <c r="C294" s="354"/>
      <c r="D294" s="354"/>
      <c r="E294" s="32"/>
      <c r="F294" s="319"/>
      <c r="G294" s="1168"/>
      <c r="H294" s="1168"/>
      <c r="I294" s="845"/>
      <c r="J294" s="751"/>
      <c r="K294" s="751"/>
      <c r="L294" s="489">
        <f t="shared" si="191"/>
        <v>0</v>
      </c>
      <c r="M294" s="489">
        <f t="shared" si="192"/>
        <v>0</v>
      </c>
      <c r="N294" s="357" t="str">
        <f t="shared" si="193"/>
        <v/>
      </c>
      <c r="O294" s="512"/>
      <c r="P294" s="506"/>
      <c r="Q294" s="507"/>
      <c r="R294" s="505"/>
      <c r="S294" s="514"/>
      <c r="T294" s="526"/>
      <c r="U294" s="527"/>
      <c r="V294" s="397">
        <f t="shared" ref="V294:V323" si="207">SUM(T294:U294)</f>
        <v>0</v>
      </c>
      <c r="W294" s="397">
        <f t="shared" si="194"/>
        <v>0</v>
      </c>
      <c r="X294" s="512"/>
      <c r="Y294" s="508"/>
      <c r="Z294" s="507"/>
      <c r="AA294" s="505"/>
      <c r="AB294" s="295"/>
      <c r="AC294" s="305"/>
      <c r="AD294" s="799"/>
      <c r="AE294" s="800"/>
      <c r="AF294" s="829"/>
      <c r="AG294" s="1137">
        <f t="shared" si="204"/>
        <v>0</v>
      </c>
      <c r="AH294" s="799"/>
      <c r="AI294" s="800"/>
      <c r="AJ294" s="829"/>
      <c r="AK294" s="1137">
        <f t="shared" si="205"/>
        <v>0</v>
      </c>
      <c r="AL294" s="799"/>
      <c r="AM294" s="800"/>
      <c r="AN294" s="829"/>
      <c r="AO294" s="1137">
        <f t="shared" si="206"/>
        <v>0</v>
      </c>
      <c r="AP294" s="1079">
        <f t="shared" si="198"/>
        <v>0</v>
      </c>
      <c r="AQ294" s="1079">
        <f t="shared" si="201"/>
        <v>0</v>
      </c>
      <c r="AR294" s="1080">
        <f t="shared" si="202"/>
        <v>0</v>
      </c>
      <c r="AS294" s="307"/>
      <c r="AT294" s="307"/>
      <c r="AU294" s="307"/>
      <c r="AV294" s="307"/>
      <c r="AW294" s="307"/>
      <c r="AX294" s="307"/>
      <c r="AY294" s="307"/>
      <c r="AZ294" s="307"/>
      <c r="BA294" s="307"/>
      <c r="BB294" s="196"/>
      <c r="BC294" s="196"/>
      <c r="BD294" s="212"/>
      <c r="BE294" s="212"/>
      <c r="BF294" s="212"/>
      <c r="BG294" s="212"/>
      <c r="BH294" s="212"/>
      <c r="BI294" s="212"/>
      <c r="BJ294" s="212"/>
      <c r="BK294" s="212"/>
      <c r="BL294" s="212"/>
      <c r="BM294" s="212"/>
      <c r="BN294" s="212"/>
      <c r="BO294" s="212"/>
      <c r="BP294" s="212"/>
      <c r="BQ294" s="212"/>
      <c r="BR294" s="212"/>
      <c r="BS294" s="212"/>
      <c r="BT294" s="212"/>
      <c r="BU294" s="212"/>
      <c r="BV294" s="212"/>
      <c r="BW294" s="212"/>
      <c r="BX294" s="212"/>
      <c r="BY294" s="212"/>
      <c r="BZ294" s="212"/>
      <c r="CA294" s="212"/>
      <c r="CB294" s="212"/>
      <c r="CC294" s="212"/>
      <c r="CD294" s="212"/>
      <c r="CE294" s="212"/>
    </row>
    <row r="295" spans="1:83" ht="12.75" customHeight="1" x14ac:dyDescent="0.2">
      <c r="A295" s="316" t="s">
        <v>1095</v>
      </c>
      <c r="B295" s="38"/>
      <c r="C295" s="354"/>
      <c r="D295" s="354"/>
      <c r="E295" s="32"/>
      <c r="F295" s="319"/>
      <c r="G295" s="1168"/>
      <c r="H295" s="1168"/>
      <c r="I295" s="845"/>
      <c r="J295" s="751"/>
      <c r="K295" s="751"/>
      <c r="L295" s="489">
        <f t="shared" si="191"/>
        <v>0</v>
      </c>
      <c r="M295" s="489">
        <f t="shared" si="192"/>
        <v>0</v>
      </c>
      <c r="N295" s="357" t="str">
        <f t="shared" si="193"/>
        <v/>
      </c>
      <c r="O295" s="512"/>
      <c r="P295" s="506"/>
      <c r="Q295" s="507"/>
      <c r="R295" s="505"/>
      <c r="S295" s="514"/>
      <c r="T295" s="526"/>
      <c r="U295" s="527"/>
      <c r="V295" s="397">
        <f t="shared" si="207"/>
        <v>0</v>
      </c>
      <c r="W295" s="397">
        <f t="shared" si="194"/>
        <v>0</v>
      </c>
      <c r="X295" s="512"/>
      <c r="Y295" s="508"/>
      <c r="Z295" s="507"/>
      <c r="AA295" s="505"/>
      <c r="AB295" s="295"/>
      <c r="AC295" s="305"/>
      <c r="AD295" s="799"/>
      <c r="AE295" s="800"/>
      <c r="AF295" s="829"/>
      <c r="AG295" s="1137">
        <f t="shared" si="204"/>
        <v>0</v>
      </c>
      <c r="AH295" s="799"/>
      <c r="AI295" s="800"/>
      <c r="AJ295" s="829"/>
      <c r="AK295" s="1137">
        <f t="shared" si="205"/>
        <v>0</v>
      </c>
      <c r="AL295" s="799"/>
      <c r="AM295" s="800"/>
      <c r="AN295" s="829"/>
      <c r="AO295" s="1137">
        <f t="shared" si="206"/>
        <v>0</v>
      </c>
      <c r="AP295" s="1079">
        <f t="shared" si="198"/>
        <v>0</v>
      </c>
      <c r="AQ295" s="1079">
        <f t="shared" si="201"/>
        <v>0</v>
      </c>
      <c r="AR295" s="1080">
        <f t="shared" si="202"/>
        <v>0</v>
      </c>
      <c r="AS295" s="307"/>
      <c r="AT295" s="307"/>
      <c r="AU295" s="307"/>
      <c r="AV295" s="307"/>
      <c r="AW295" s="307"/>
      <c r="AX295" s="307"/>
      <c r="AY295" s="307"/>
      <c r="AZ295" s="307"/>
      <c r="BA295" s="307"/>
      <c r="BB295" s="196"/>
      <c r="BC295" s="196"/>
      <c r="BD295" s="212"/>
      <c r="BE295" s="212"/>
      <c r="BF295" s="212"/>
      <c r="BG295" s="212"/>
      <c r="BH295" s="212"/>
      <c r="BI295" s="212"/>
      <c r="BJ295" s="212"/>
      <c r="BK295" s="212"/>
      <c r="BL295" s="212"/>
      <c r="BM295" s="212"/>
      <c r="BN295" s="212"/>
      <c r="BO295" s="212"/>
      <c r="BP295" s="212"/>
      <c r="BQ295" s="212"/>
      <c r="BR295" s="212"/>
      <c r="BS295" s="212"/>
      <c r="BT295" s="212"/>
      <c r="BU295" s="212"/>
      <c r="BV295" s="212"/>
      <c r="BW295" s="212"/>
      <c r="BX295" s="212"/>
      <c r="BY295" s="212"/>
      <c r="BZ295" s="212"/>
      <c r="CA295" s="212"/>
      <c r="CB295" s="212"/>
      <c r="CC295" s="212"/>
      <c r="CD295" s="212"/>
      <c r="CE295" s="212"/>
    </row>
    <row r="296" spans="1:83" ht="12.75" customHeight="1" x14ac:dyDescent="0.2">
      <c r="A296" s="316" t="s">
        <v>1096</v>
      </c>
      <c r="B296" s="38"/>
      <c r="C296" s="354"/>
      <c r="D296" s="354"/>
      <c r="E296" s="32"/>
      <c r="F296" s="319"/>
      <c r="G296" s="1168"/>
      <c r="H296" s="1168"/>
      <c r="I296" s="845"/>
      <c r="J296" s="751"/>
      <c r="K296" s="751"/>
      <c r="L296" s="489">
        <f t="shared" si="191"/>
        <v>0</v>
      </c>
      <c r="M296" s="489">
        <f t="shared" si="192"/>
        <v>0</v>
      </c>
      <c r="N296" s="357" t="str">
        <f t="shared" si="193"/>
        <v/>
      </c>
      <c r="O296" s="512"/>
      <c r="P296" s="506"/>
      <c r="Q296" s="507"/>
      <c r="R296" s="505"/>
      <c r="S296" s="514"/>
      <c r="T296" s="526"/>
      <c r="U296" s="527"/>
      <c r="V296" s="397">
        <f t="shared" si="207"/>
        <v>0</v>
      </c>
      <c r="W296" s="397">
        <f t="shared" si="194"/>
        <v>0</v>
      </c>
      <c r="X296" s="512"/>
      <c r="Y296" s="508"/>
      <c r="Z296" s="507"/>
      <c r="AA296" s="505"/>
      <c r="AB296" s="295"/>
      <c r="AC296" s="305"/>
      <c r="AD296" s="799"/>
      <c r="AE296" s="800"/>
      <c r="AF296" s="829"/>
      <c r="AG296" s="1137">
        <f t="shared" si="204"/>
        <v>0</v>
      </c>
      <c r="AH296" s="799"/>
      <c r="AI296" s="800"/>
      <c r="AJ296" s="829"/>
      <c r="AK296" s="1137">
        <f t="shared" si="205"/>
        <v>0</v>
      </c>
      <c r="AL296" s="799"/>
      <c r="AM296" s="800"/>
      <c r="AN296" s="829"/>
      <c r="AO296" s="1137">
        <f t="shared" si="206"/>
        <v>0</v>
      </c>
      <c r="AP296" s="1079">
        <f t="shared" si="198"/>
        <v>0</v>
      </c>
      <c r="AQ296" s="1079">
        <f t="shared" si="201"/>
        <v>0</v>
      </c>
      <c r="AR296" s="1080">
        <f t="shared" si="202"/>
        <v>0</v>
      </c>
      <c r="AS296" s="307"/>
      <c r="AT296" s="307"/>
      <c r="AU296" s="307"/>
      <c r="AV296" s="307"/>
      <c r="AW296" s="307"/>
      <c r="AX296" s="307"/>
      <c r="AY296" s="307"/>
      <c r="AZ296" s="307"/>
      <c r="BA296" s="307"/>
      <c r="BB296" s="196"/>
      <c r="BC296" s="196"/>
      <c r="BD296" s="212"/>
      <c r="BE296" s="212"/>
      <c r="BF296" s="212"/>
      <c r="BG296" s="212"/>
      <c r="BH296" s="212"/>
      <c r="BI296" s="212"/>
      <c r="BJ296" s="212"/>
      <c r="BK296" s="212"/>
      <c r="BL296" s="212"/>
      <c r="BM296" s="212"/>
      <c r="BN296" s="212"/>
      <c r="BO296" s="212"/>
      <c r="BP296" s="212"/>
      <c r="BQ296" s="212"/>
      <c r="BR296" s="212"/>
      <c r="BS296" s="212"/>
      <c r="BT296" s="212"/>
      <c r="BU296" s="212"/>
      <c r="BV296" s="212"/>
      <c r="BW296" s="212"/>
      <c r="BX296" s="212"/>
      <c r="BY296" s="212"/>
      <c r="BZ296" s="212"/>
      <c r="CA296" s="212"/>
      <c r="CB296" s="212"/>
      <c r="CC296" s="212"/>
      <c r="CD296" s="212"/>
      <c r="CE296" s="212"/>
    </row>
    <row r="297" spans="1:83" ht="12.75" customHeight="1" x14ac:dyDescent="0.2">
      <c r="A297" s="316" t="s">
        <v>1097</v>
      </c>
      <c r="B297" s="38"/>
      <c r="C297" s="354"/>
      <c r="D297" s="354"/>
      <c r="E297" s="32"/>
      <c r="F297" s="319"/>
      <c r="G297" s="1168"/>
      <c r="H297" s="1168"/>
      <c r="I297" s="845"/>
      <c r="J297" s="751"/>
      <c r="K297" s="751"/>
      <c r="L297" s="489">
        <f t="shared" si="191"/>
        <v>0</v>
      </c>
      <c r="M297" s="489">
        <f t="shared" si="192"/>
        <v>0</v>
      </c>
      <c r="N297" s="357" t="str">
        <f t="shared" si="193"/>
        <v/>
      </c>
      <c r="O297" s="512"/>
      <c r="P297" s="506"/>
      <c r="Q297" s="507"/>
      <c r="R297" s="505"/>
      <c r="S297" s="514"/>
      <c r="T297" s="526"/>
      <c r="U297" s="527"/>
      <c r="V297" s="397">
        <f t="shared" ref="V297:V321" si="208">SUM(T297:U297)</f>
        <v>0</v>
      </c>
      <c r="W297" s="397">
        <f t="shared" si="194"/>
        <v>0</v>
      </c>
      <c r="X297" s="512"/>
      <c r="Y297" s="508"/>
      <c r="Z297" s="507"/>
      <c r="AA297" s="505"/>
      <c r="AB297" s="295"/>
      <c r="AC297" s="305"/>
      <c r="AD297" s="799"/>
      <c r="AE297" s="800"/>
      <c r="AF297" s="829"/>
      <c r="AG297" s="1137">
        <f t="shared" si="204"/>
        <v>0</v>
      </c>
      <c r="AH297" s="799"/>
      <c r="AI297" s="800"/>
      <c r="AJ297" s="829"/>
      <c r="AK297" s="1137">
        <f t="shared" si="205"/>
        <v>0</v>
      </c>
      <c r="AL297" s="799"/>
      <c r="AM297" s="800"/>
      <c r="AN297" s="829"/>
      <c r="AO297" s="1137">
        <f t="shared" si="206"/>
        <v>0</v>
      </c>
      <c r="AP297" s="1079">
        <f t="shared" si="198"/>
        <v>0</v>
      </c>
      <c r="AQ297" s="1079">
        <f t="shared" si="201"/>
        <v>0</v>
      </c>
      <c r="AR297" s="1080">
        <f t="shared" si="202"/>
        <v>0</v>
      </c>
      <c r="AS297" s="307"/>
      <c r="AT297" s="307"/>
      <c r="AU297" s="307"/>
      <c r="AV297" s="307"/>
      <c r="AW297" s="307"/>
      <c r="AX297" s="307"/>
      <c r="AY297" s="307"/>
      <c r="AZ297" s="307"/>
      <c r="BA297" s="307"/>
      <c r="BB297" s="196"/>
      <c r="BC297" s="196"/>
      <c r="BD297" s="212"/>
      <c r="BE297" s="212"/>
      <c r="BF297" s="212"/>
      <c r="BG297" s="212"/>
      <c r="BH297" s="212"/>
      <c r="BI297" s="212"/>
      <c r="BJ297" s="212"/>
      <c r="BK297" s="212"/>
      <c r="BL297" s="212"/>
      <c r="BM297" s="212"/>
      <c r="BN297" s="212"/>
      <c r="BO297" s="212"/>
      <c r="BP297" s="212"/>
      <c r="BQ297" s="212"/>
      <c r="BR297" s="212"/>
      <c r="BS297" s="212"/>
      <c r="BT297" s="212"/>
      <c r="BU297" s="212"/>
      <c r="BV297" s="212"/>
      <c r="BW297" s="212"/>
      <c r="BX297" s="212"/>
      <c r="BY297" s="212"/>
      <c r="BZ297" s="212"/>
      <c r="CA297" s="212"/>
      <c r="CB297" s="212"/>
      <c r="CC297" s="212"/>
      <c r="CD297" s="212"/>
      <c r="CE297" s="212"/>
    </row>
    <row r="298" spans="1:83" ht="12.75" customHeight="1" x14ac:dyDescent="0.2">
      <c r="A298" s="316" t="s">
        <v>1098</v>
      </c>
      <c r="B298" s="38"/>
      <c r="C298" s="354"/>
      <c r="D298" s="354"/>
      <c r="E298" s="32"/>
      <c r="F298" s="319"/>
      <c r="G298" s="1168"/>
      <c r="H298" s="1168"/>
      <c r="I298" s="845"/>
      <c r="J298" s="751"/>
      <c r="K298" s="751"/>
      <c r="L298" s="489">
        <f t="shared" si="191"/>
        <v>0</v>
      </c>
      <c r="M298" s="489">
        <f t="shared" si="192"/>
        <v>0</v>
      </c>
      <c r="N298" s="357" t="str">
        <f t="shared" si="193"/>
        <v/>
      </c>
      <c r="O298" s="512"/>
      <c r="P298" s="506"/>
      <c r="Q298" s="507"/>
      <c r="R298" s="505"/>
      <c r="S298" s="514"/>
      <c r="T298" s="526"/>
      <c r="U298" s="527"/>
      <c r="V298" s="397">
        <f t="shared" si="208"/>
        <v>0</v>
      </c>
      <c r="W298" s="397">
        <f t="shared" si="194"/>
        <v>0</v>
      </c>
      <c r="X298" s="512"/>
      <c r="Y298" s="508"/>
      <c r="Z298" s="507"/>
      <c r="AA298" s="505"/>
      <c r="AB298" s="295"/>
      <c r="AC298" s="305"/>
      <c r="AD298" s="799"/>
      <c r="AE298" s="800"/>
      <c r="AF298" s="829"/>
      <c r="AG298" s="1137">
        <f t="shared" si="204"/>
        <v>0</v>
      </c>
      <c r="AH298" s="799"/>
      <c r="AI298" s="800"/>
      <c r="AJ298" s="829"/>
      <c r="AK298" s="1137">
        <f t="shared" si="205"/>
        <v>0</v>
      </c>
      <c r="AL298" s="799"/>
      <c r="AM298" s="800"/>
      <c r="AN298" s="829"/>
      <c r="AO298" s="1137">
        <f t="shared" si="206"/>
        <v>0</v>
      </c>
      <c r="AP298" s="1079">
        <f t="shared" si="198"/>
        <v>0</v>
      </c>
      <c r="AQ298" s="1079">
        <f t="shared" si="201"/>
        <v>0</v>
      </c>
      <c r="AR298" s="1080">
        <f t="shared" si="202"/>
        <v>0</v>
      </c>
      <c r="AS298" s="307"/>
      <c r="AT298" s="307"/>
      <c r="AU298" s="307"/>
      <c r="AV298" s="307"/>
      <c r="AW298" s="307"/>
      <c r="AX298" s="307"/>
      <c r="AY298" s="307"/>
      <c r="AZ298" s="307"/>
      <c r="BA298" s="307"/>
      <c r="BB298" s="196"/>
      <c r="BC298" s="196"/>
      <c r="BD298" s="212"/>
      <c r="BE298" s="212"/>
      <c r="BF298" s="212"/>
      <c r="BG298" s="212"/>
      <c r="BH298" s="212"/>
      <c r="BI298" s="212"/>
      <c r="BJ298" s="212"/>
      <c r="BK298" s="212"/>
      <c r="BL298" s="212"/>
      <c r="BM298" s="212"/>
      <c r="BN298" s="212"/>
      <c r="BO298" s="212"/>
      <c r="BP298" s="212"/>
      <c r="BQ298" s="212"/>
      <c r="BR298" s="212"/>
      <c r="BS298" s="212"/>
      <c r="BT298" s="212"/>
      <c r="BU298" s="212"/>
      <c r="BV298" s="212"/>
      <c r="BW298" s="212"/>
      <c r="BX298" s="212"/>
      <c r="BY298" s="212"/>
      <c r="BZ298" s="212"/>
      <c r="CA298" s="212"/>
      <c r="CB298" s="212"/>
      <c r="CC298" s="212"/>
      <c r="CD298" s="212"/>
      <c r="CE298" s="212"/>
    </row>
    <row r="299" spans="1:83" ht="12.75" customHeight="1" outlineLevel="1" x14ac:dyDescent="0.2">
      <c r="A299" s="316" t="s">
        <v>1099</v>
      </c>
      <c r="B299" s="38"/>
      <c r="C299" s="354"/>
      <c r="D299" s="354"/>
      <c r="E299" s="32"/>
      <c r="F299" s="319"/>
      <c r="G299" s="1168"/>
      <c r="H299" s="1168"/>
      <c r="I299" s="845"/>
      <c r="J299" s="751"/>
      <c r="K299" s="751"/>
      <c r="L299" s="489">
        <f t="shared" si="191"/>
        <v>0</v>
      </c>
      <c r="M299" s="489">
        <f t="shared" si="192"/>
        <v>0</v>
      </c>
      <c r="N299" s="357" t="str">
        <f t="shared" si="193"/>
        <v/>
      </c>
      <c r="O299" s="512"/>
      <c r="P299" s="506"/>
      <c r="Q299" s="507"/>
      <c r="R299" s="505"/>
      <c r="S299" s="514"/>
      <c r="T299" s="526"/>
      <c r="U299" s="527"/>
      <c r="V299" s="397">
        <f t="shared" si="208"/>
        <v>0</v>
      </c>
      <c r="W299" s="397">
        <f t="shared" si="194"/>
        <v>0</v>
      </c>
      <c r="X299" s="512"/>
      <c r="Y299" s="508"/>
      <c r="Z299" s="507"/>
      <c r="AA299" s="505"/>
      <c r="AB299" s="295"/>
      <c r="AC299" s="305"/>
      <c r="AD299" s="799"/>
      <c r="AE299" s="800"/>
      <c r="AF299" s="829"/>
      <c r="AG299" s="1137">
        <f t="shared" si="204"/>
        <v>0</v>
      </c>
      <c r="AH299" s="799"/>
      <c r="AI299" s="800"/>
      <c r="AJ299" s="829"/>
      <c r="AK299" s="1137">
        <f t="shared" si="205"/>
        <v>0</v>
      </c>
      <c r="AL299" s="799"/>
      <c r="AM299" s="800"/>
      <c r="AN299" s="829"/>
      <c r="AO299" s="1137">
        <f t="shared" si="206"/>
        <v>0</v>
      </c>
      <c r="AP299" s="1079">
        <f t="shared" si="198"/>
        <v>0</v>
      </c>
      <c r="AQ299" s="1079">
        <f t="shared" si="201"/>
        <v>0</v>
      </c>
      <c r="AR299" s="1080">
        <f t="shared" si="202"/>
        <v>0</v>
      </c>
      <c r="AS299" s="307"/>
      <c r="AT299" s="307"/>
      <c r="AU299" s="307"/>
      <c r="AV299" s="307"/>
      <c r="AW299" s="307"/>
      <c r="AX299" s="307"/>
      <c r="AY299" s="307"/>
      <c r="AZ299" s="307"/>
      <c r="BA299" s="307"/>
      <c r="BB299" s="196"/>
      <c r="BC299" s="196"/>
      <c r="BD299" s="212"/>
      <c r="BE299" s="212"/>
      <c r="BF299" s="212"/>
      <c r="BG299" s="212"/>
      <c r="BH299" s="212"/>
      <c r="BI299" s="212"/>
      <c r="BJ299" s="212"/>
      <c r="BK299" s="212"/>
      <c r="BL299" s="212"/>
      <c r="BM299" s="212"/>
      <c r="BN299" s="212"/>
      <c r="BO299" s="212"/>
      <c r="BP299" s="212"/>
      <c r="BQ299" s="212"/>
      <c r="BR299" s="212"/>
      <c r="BS299" s="212"/>
      <c r="BT299" s="212"/>
      <c r="BU299" s="212"/>
      <c r="BV299" s="212"/>
      <c r="BW299" s="212"/>
      <c r="BX299" s="212"/>
      <c r="BY299" s="212"/>
      <c r="BZ299" s="212"/>
      <c r="CA299" s="212"/>
      <c r="CB299" s="212"/>
      <c r="CC299" s="212"/>
      <c r="CD299" s="212"/>
      <c r="CE299" s="212"/>
    </row>
    <row r="300" spans="1:83" ht="12.75" customHeight="1" outlineLevel="1" x14ac:dyDescent="0.2">
      <c r="A300" s="316" t="s">
        <v>1100</v>
      </c>
      <c r="B300" s="38"/>
      <c r="C300" s="354"/>
      <c r="D300" s="354"/>
      <c r="E300" s="32"/>
      <c r="F300" s="319"/>
      <c r="G300" s="1168"/>
      <c r="H300" s="1168"/>
      <c r="I300" s="845"/>
      <c r="J300" s="751"/>
      <c r="K300" s="751"/>
      <c r="L300" s="489">
        <f t="shared" si="191"/>
        <v>0</v>
      </c>
      <c r="M300" s="489">
        <f t="shared" si="192"/>
        <v>0</v>
      </c>
      <c r="N300" s="357" t="str">
        <f t="shared" si="193"/>
        <v/>
      </c>
      <c r="O300" s="512"/>
      <c r="P300" s="506"/>
      <c r="Q300" s="507"/>
      <c r="R300" s="505"/>
      <c r="S300" s="514"/>
      <c r="T300" s="526"/>
      <c r="U300" s="527"/>
      <c r="V300" s="397">
        <f t="shared" si="208"/>
        <v>0</v>
      </c>
      <c r="W300" s="397">
        <f t="shared" si="194"/>
        <v>0</v>
      </c>
      <c r="X300" s="512"/>
      <c r="Y300" s="508"/>
      <c r="Z300" s="507"/>
      <c r="AA300" s="505"/>
      <c r="AB300" s="295"/>
      <c r="AC300" s="305"/>
      <c r="AD300" s="799"/>
      <c r="AE300" s="800"/>
      <c r="AF300" s="829"/>
      <c r="AG300" s="1137">
        <f t="shared" si="204"/>
        <v>0</v>
      </c>
      <c r="AH300" s="799"/>
      <c r="AI300" s="800"/>
      <c r="AJ300" s="829"/>
      <c r="AK300" s="1137">
        <f t="shared" si="205"/>
        <v>0</v>
      </c>
      <c r="AL300" s="799"/>
      <c r="AM300" s="800"/>
      <c r="AN300" s="829"/>
      <c r="AO300" s="1137">
        <f t="shared" si="206"/>
        <v>0</v>
      </c>
      <c r="AP300" s="1079">
        <f t="shared" si="198"/>
        <v>0</v>
      </c>
      <c r="AQ300" s="1079">
        <f t="shared" si="201"/>
        <v>0</v>
      </c>
      <c r="AR300" s="1080">
        <f t="shared" si="202"/>
        <v>0</v>
      </c>
      <c r="AS300" s="307"/>
      <c r="AT300" s="307"/>
      <c r="AU300" s="307"/>
      <c r="AV300" s="307"/>
      <c r="AW300" s="307"/>
      <c r="AX300" s="307"/>
      <c r="AY300" s="307"/>
      <c r="AZ300" s="307"/>
      <c r="BA300" s="307"/>
      <c r="BB300" s="196"/>
      <c r="BC300" s="196"/>
      <c r="BD300" s="212"/>
      <c r="BE300" s="212"/>
      <c r="BF300" s="212"/>
      <c r="BG300" s="212"/>
      <c r="BH300" s="212"/>
      <c r="BI300" s="212"/>
      <c r="BJ300" s="212"/>
      <c r="BK300" s="212"/>
      <c r="BL300" s="212"/>
      <c r="BM300" s="212"/>
      <c r="BN300" s="212"/>
      <c r="BO300" s="212"/>
      <c r="BP300" s="212"/>
      <c r="BQ300" s="212"/>
      <c r="BR300" s="212"/>
      <c r="BS300" s="212"/>
      <c r="BT300" s="212"/>
      <c r="BU300" s="212"/>
      <c r="BV300" s="212"/>
      <c r="BW300" s="212"/>
      <c r="BX300" s="212"/>
      <c r="BY300" s="212"/>
      <c r="BZ300" s="212"/>
      <c r="CA300" s="212"/>
      <c r="CB300" s="212"/>
      <c r="CC300" s="212"/>
      <c r="CD300" s="212"/>
      <c r="CE300" s="212"/>
    </row>
    <row r="301" spans="1:83" ht="12.75" customHeight="1" outlineLevel="1" x14ac:dyDescent="0.2">
      <c r="A301" s="316" t="s">
        <v>1101</v>
      </c>
      <c r="B301" s="38"/>
      <c r="C301" s="354"/>
      <c r="D301" s="354"/>
      <c r="E301" s="32"/>
      <c r="F301" s="319"/>
      <c r="G301" s="1168"/>
      <c r="H301" s="1168"/>
      <c r="I301" s="845"/>
      <c r="J301" s="751"/>
      <c r="K301" s="751"/>
      <c r="L301" s="489">
        <f t="shared" si="191"/>
        <v>0</v>
      </c>
      <c r="M301" s="489">
        <f t="shared" si="192"/>
        <v>0</v>
      </c>
      <c r="N301" s="357" t="str">
        <f t="shared" si="193"/>
        <v/>
      </c>
      <c r="O301" s="512"/>
      <c r="P301" s="506"/>
      <c r="Q301" s="507"/>
      <c r="R301" s="505"/>
      <c r="S301" s="514"/>
      <c r="T301" s="526"/>
      <c r="U301" s="527"/>
      <c r="V301" s="397">
        <f t="shared" si="208"/>
        <v>0</v>
      </c>
      <c r="W301" s="397">
        <f t="shared" si="194"/>
        <v>0</v>
      </c>
      <c r="X301" s="512"/>
      <c r="Y301" s="508"/>
      <c r="Z301" s="507"/>
      <c r="AA301" s="505"/>
      <c r="AB301" s="295"/>
      <c r="AC301" s="305"/>
      <c r="AD301" s="799"/>
      <c r="AE301" s="800"/>
      <c r="AF301" s="829"/>
      <c r="AG301" s="1137">
        <f t="shared" si="204"/>
        <v>0</v>
      </c>
      <c r="AH301" s="799"/>
      <c r="AI301" s="800"/>
      <c r="AJ301" s="829"/>
      <c r="AK301" s="1137">
        <f t="shared" si="205"/>
        <v>0</v>
      </c>
      <c r="AL301" s="799"/>
      <c r="AM301" s="800"/>
      <c r="AN301" s="829"/>
      <c r="AO301" s="1137">
        <f t="shared" si="206"/>
        <v>0</v>
      </c>
      <c r="AP301" s="1079">
        <f t="shared" si="198"/>
        <v>0</v>
      </c>
      <c r="AQ301" s="1079">
        <f t="shared" si="201"/>
        <v>0</v>
      </c>
      <c r="AR301" s="1080">
        <f t="shared" si="202"/>
        <v>0</v>
      </c>
      <c r="AS301" s="307"/>
      <c r="AT301" s="307"/>
      <c r="AU301" s="307"/>
      <c r="AV301" s="307"/>
      <c r="AW301" s="307"/>
      <c r="AX301" s="307"/>
      <c r="AY301" s="307"/>
      <c r="AZ301" s="307"/>
      <c r="BA301" s="307"/>
      <c r="BB301" s="196"/>
      <c r="BC301" s="196"/>
      <c r="BD301" s="212"/>
      <c r="BE301" s="212"/>
      <c r="BF301" s="212"/>
      <c r="BG301" s="212"/>
      <c r="BH301" s="212"/>
      <c r="BI301" s="212"/>
      <c r="BJ301" s="212"/>
      <c r="BK301" s="212"/>
      <c r="BL301" s="212"/>
      <c r="BM301" s="212"/>
      <c r="BN301" s="212"/>
      <c r="BO301" s="212"/>
      <c r="BP301" s="212"/>
      <c r="BQ301" s="212"/>
      <c r="BR301" s="212"/>
      <c r="BS301" s="212"/>
      <c r="BT301" s="212"/>
      <c r="BU301" s="212"/>
      <c r="BV301" s="212"/>
      <c r="BW301" s="212"/>
      <c r="BX301" s="212"/>
      <c r="BY301" s="212"/>
      <c r="BZ301" s="212"/>
      <c r="CA301" s="212"/>
      <c r="CB301" s="212"/>
      <c r="CC301" s="212"/>
      <c r="CD301" s="212"/>
      <c r="CE301" s="212"/>
    </row>
    <row r="302" spans="1:83" ht="12.75" customHeight="1" outlineLevel="1" x14ac:dyDescent="0.2">
      <c r="A302" s="316" t="s">
        <v>1102</v>
      </c>
      <c r="B302" s="38"/>
      <c r="C302" s="354"/>
      <c r="D302" s="354"/>
      <c r="E302" s="32"/>
      <c r="F302" s="319"/>
      <c r="G302" s="1168"/>
      <c r="H302" s="1168"/>
      <c r="I302" s="845"/>
      <c r="J302" s="751"/>
      <c r="K302" s="751"/>
      <c r="L302" s="489">
        <f t="shared" si="191"/>
        <v>0</v>
      </c>
      <c r="M302" s="489">
        <f t="shared" si="192"/>
        <v>0</v>
      </c>
      <c r="N302" s="357" t="str">
        <f t="shared" si="193"/>
        <v/>
      </c>
      <c r="O302" s="512"/>
      <c r="P302" s="506"/>
      <c r="Q302" s="507"/>
      <c r="R302" s="505"/>
      <c r="S302" s="514"/>
      <c r="T302" s="526"/>
      <c r="U302" s="527"/>
      <c r="V302" s="397">
        <f t="shared" si="208"/>
        <v>0</v>
      </c>
      <c r="W302" s="397">
        <f t="shared" si="194"/>
        <v>0</v>
      </c>
      <c r="X302" s="512"/>
      <c r="Y302" s="508"/>
      <c r="Z302" s="507"/>
      <c r="AA302" s="505"/>
      <c r="AB302" s="295"/>
      <c r="AC302" s="305"/>
      <c r="AD302" s="799"/>
      <c r="AE302" s="800"/>
      <c r="AF302" s="829"/>
      <c r="AG302" s="1137">
        <f t="shared" si="204"/>
        <v>0</v>
      </c>
      <c r="AH302" s="799"/>
      <c r="AI302" s="800"/>
      <c r="AJ302" s="829"/>
      <c r="AK302" s="1137">
        <f t="shared" si="205"/>
        <v>0</v>
      </c>
      <c r="AL302" s="799"/>
      <c r="AM302" s="800"/>
      <c r="AN302" s="829"/>
      <c r="AO302" s="1137">
        <f t="shared" si="206"/>
        <v>0</v>
      </c>
      <c r="AP302" s="1079">
        <f t="shared" si="198"/>
        <v>0</v>
      </c>
      <c r="AQ302" s="1079">
        <f t="shared" si="201"/>
        <v>0</v>
      </c>
      <c r="AR302" s="1080">
        <f t="shared" si="202"/>
        <v>0</v>
      </c>
      <c r="AS302" s="307"/>
      <c r="AT302" s="307"/>
      <c r="AU302" s="307"/>
      <c r="AV302" s="307"/>
      <c r="AW302" s="307"/>
      <c r="AX302" s="307"/>
      <c r="AY302" s="307"/>
      <c r="AZ302" s="307"/>
      <c r="BA302" s="307"/>
      <c r="BB302" s="196"/>
      <c r="BC302" s="196"/>
      <c r="BD302" s="212"/>
      <c r="BE302" s="212"/>
      <c r="BF302" s="212"/>
      <c r="BG302" s="212"/>
      <c r="BH302" s="212"/>
      <c r="BI302" s="212"/>
      <c r="BJ302" s="212"/>
      <c r="BK302" s="212"/>
      <c r="BL302" s="212"/>
      <c r="BM302" s="212"/>
      <c r="BN302" s="212"/>
      <c r="BO302" s="212"/>
      <c r="BP302" s="212"/>
      <c r="BQ302" s="212"/>
      <c r="BR302" s="212"/>
      <c r="BS302" s="212"/>
      <c r="BT302" s="212"/>
      <c r="BU302" s="212"/>
      <c r="BV302" s="212"/>
      <c r="BW302" s="212"/>
      <c r="BX302" s="212"/>
      <c r="BY302" s="212"/>
      <c r="BZ302" s="212"/>
      <c r="CA302" s="212"/>
      <c r="CB302" s="212"/>
      <c r="CC302" s="212"/>
      <c r="CD302" s="212"/>
      <c r="CE302" s="212"/>
    </row>
    <row r="303" spans="1:83" ht="12.75" customHeight="1" outlineLevel="1" x14ac:dyDescent="0.2">
      <c r="A303" s="316" t="s">
        <v>1103</v>
      </c>
      <c r="B303" s="38"/>
      <c r="C303" s="354"/>
      <c r="D303" s="354"/>
      <c r="E303" s="32"/>
      <c r="F303" s="319"/>
      <c r="G303" s="1168"/>
      <c r="H303" s="1168"/>
      <c r="I303" s="845"/>
      <c r="J303" s="751"/>
      <c r="K303" s="751"/>
      <c r="L303" s="489">
        <f t="shared" si="191"/>
        <v>0</v>
      </c>
      <c r="M303" s="489">
        <f t="shared" si="192"/>
        <v>0</v>
      </c>
      <c r="N303" s="357" t="str">
        <f t="shared" si="193"/>
        <v/>
      </c>
      <c r="O303" s="512"/>
      <c r="P303" s="506"/>
      <c r="Q303" s="507"/>
      <c r="R303" s="505"/>
      <c r="S303" s="514"/>
      <c r="T303" s="526"/>
      <c r="U303" s="527"/>
      <c r="V303" s="397">
        <f t="shared" si="208"/>
        <v>0</v>
      </c>
      <c r="W303" s="397">
        <f t="shared" si="194"/>
        <v>0</v>
      </c>
      <c r="X303" s="512"/>
      <c r="Y303" s="508"/>
      <c r="Z303" s="507"/>
      <c r="AA303" s="505"/>
      <c r="AB303" s="295"/>
      <c r="AC303" s="305"/>
      <c r="AD303" s="799"/>
      <c r="AE303" s="800"/>
      <c r="AF303" s="829"/>
      <c r="AG303" s="1137">
        <f t="shared" si="204"/>
        <v>0</v>
      </c>
      <c r="AH303" s="799"/>
      <c r="AI303" s="800"/>
      <c r="AJ303" s="829"/>
      <c r="AK303" s="1137">
        <f t="shared" si="205"/>
        <v>0</v>
      </c>
      <c r="AL303" s="799"/>
      <c r="AM303" s="800"/>
      <c r="AN303" s="829"/>
      <c r="AO303" s="1137">
        <f t="shared" si="206"/>
        <v>0</v>
      </c>
      <c r="AP303" s="1079">
        <f t="shared" si="198"/>
        <v>0</v>
      </c>
      <c r="AQ303" s="1079">
        <f t="shared" si="201"/>
        <v>0</v>
      </c>
      <c r="AR303" s="1080">
        <f t="shared" si="202"/>
        <v>0</v>
      </c>
      <c r="AS303" s="307"/>
      <c r="AT303" s="307"/>
      <c r="AU303" s="307"/>
      <c r="AV303" s="307"/>
      <c r="AW303" s="307"/>
      <c r="AX303" s="307"/>
      <c r="AY303" s="307"/>
      <c r="AZ303" s="307"/>
      <c r="BA303" s="307"/>
      <c r="BB303" s="196"/>
      <c r="BC303" s="196"/>
      <c r="BD303" s="212"/>
      <c r="BE303" s="212"/>
      <c r="BF303" s="212"/>
      <c r="BG303" s="212"/>
      <c r="BH303" s="212"/>
      <c r="BI303" s="212"/>
      <c r="BJ303" s="212"/>
      <c r="BK303" s="212"/>
      <c r="BL303" s="212"/>
      <c r="BM303" s="212"/>
      <c r="BN303" s="212"/>
      <c r="BO303" s="212"/>
      <c r="BP303" s="212"/>
      <c r="BQ303" s="212"/>
      <c r="BR303" s="212"/>
      <c r="BS303" s="212"/>
      <c r="BT303" s="212"/>
      <c r="BU303" s="212"/>
      <c r="BV303" s="212"/>
      <c r="BW303" s="212"/>
      <c r="BX303" s="212"/>
      <c r="BY303" s="212"/>
      <c r="BZ303" s="212"/>
      <c r="CA303" s="212"/>
      <c r="CB303" s="212"/>
      <c r="CC303" s="212"/>
      <c r="CD303" s="212"/>
      <c r="CE303" s="212"/>
    </row>
    <row r="304" spans="1:83" ht="12.75" customHeight="1" outlineLevel="1" x14ac:dyDescent="0.2">
      <c r="A304" s="316" t="s">
        <v>1104</v>
      </c>
      <c r="B304" s="38"/>
      <c r="C304" s="354"/>
      <c r="D304" s="354"/>
      <c r="E304" s="32"/>
      <c r="F304" s="319"/>
      <c r="G304" s="1168"/>
      <c r="H304" s="1168"/>
      <c r="I304" s="845"/>
      <c r="J304" s="751"/>
      <c r="K304" s="751"/>
      <c r="L304" s="489">
        <f t="shared" si="191"/>
        <v>0</v>
      </c>
      <c r="M304" s="489">
        <f t="shared" si="192"/>
        <v>0</v>
      </c>
      <c r="N304" s="357" t="str">
        <f t="shared" si="193"/>
        <v/>
      </c>
      <c r="O304" s="512"/>
      <c r="P304" s="506"/>
      <c r="Q304" s="507"/>
      <c r="R304" s="505"/>
      <c r="S304" s="514"/>
      <c r="T304" s="526"/>
      <c r="U304" s="527"/>
      <c r="V304" s="397">
        <f t="shared" si="208"/>
        <v>0</v>
      </c>
      <c r="W304" s="397">
        <f t="shared" si="194"/>
        <v>0</v>
      </c>
      <c r="X304" s="512"/>
      <c r="Y304" s="508"/>
      <c r="Z304" s="507"/>
      <c r="AA304" s="505"/>
      <c r="AB304" s="295"/>
      <c r="AC304" s="305"/>
      <c r="AD304" s="799"/>
      <c r="AE304" s="800"/>
      <c r="AF304" s="829"/>
      <c r="AG304" s="1137">
        <f t="shared" si="204"/>
        <v>0</v>
      </c>
      <c r="AH304" s="799"/>
      <c r="AI304" s="800"/>
      <c r="AJ304" s="829"/>
      <c r="AK304" s="1137">
        <f t="shared" si="205"/>
        <v>0</v>
      </c>
      <c r="AL304" s="799"/>
      <c r="AM304" s="800"/>
      <c r="AN304" s="829"/>
      <c r="AO304" s="1137">
        <f t="shared" si="206"/>
        <v>0</v>
      </c>
      <c r="AP304" s="1079">
        <f t="shared" si="198"/>
        <v>0</v>
      </c>
      <c r="AQ304" s="1079">
        <f t="shared" si="201"/>
        <v>0</v>
      </c>
      <c r="AR304" s="1080">
        <f t="shared" si="202"/>
        <v>0</v>
      </c>
      <c r="AS304" s="307"/>
      <c r="AT304" s="307"/>
      <c r="AU304" s="307"/>
      <c r="AV304" s="307"/>
      <c r="AW304" s="307"/>
      <c r="AX304" s="307"/>
      <c r="AY304" s="307"/>
      <c r="AZ304" s="307"/>
      <c r="BA304" s="307"/>
      <c r="BB304" s="196"/>
      <c r="BC304" s="196"/>
      <c r="BD304" s="212"/>
      <c r="BE304" s="212"/>
      <c r="BF304" s="212"/>
      <c r="BG304" s="212"/>
      <c r="BH304" s="212"/>
      <c r="BI304" s="212"/>
      <c r="BJ304" s="212"/>
      <c r="BK304" s="212"/>
      <c r="BL304" s="212"/>
      <c r="BM304" s="212"/>
      <c r="BN304" s="212"/>
      <c r="BO304" s="212"/>
      <c r="BP304" s="212"/>
      <c r="BQ304" s="212"/>
      <c r="BR304" s="212"/>
      <c r="BS304" s="212"/>
      <c r="BT304" s="212"/>
      <c r="BU304" s="212"/>
      <c r="BV304" s="212"/>
      <c r="BW304" s="212"/>
      <c r="BX304" s="212"/>
      <c r="BY304" s="212"/>
      <c r="BZ304" s="212"/>
      <c r="CA304" s="212"/>
      <c r="CB304" s="212"/>
      <c r="CC304" s="212"/>
      <c r="CD304" s="212"/>
      <c r="CE304" s="212"/>
    </row>
    <row r="305" spans="1:83" ht="12.75" customHeight="1" outlineLevel="1" x14ac:dyDescent="0.2">
      <c r="A305" s="316" t="s">
        <v>1105</v>
      </c>
      <c r="B305" s="38"/>
      <c r="C305" s="354"/>
      <c r="D305" s="354"/>
      <c r="E305" s="32"/>
      <c r="F305" s="319"/>
      <c r="G305" s="1168"/>
      <c r="H305" s="1168"/>
      <c r="I305" s="845"/>
      <c r="J305" s="751"/>
      <c r="K305" s="751"/>
      <c r="L305" s="489">
        <f t="shared" ref="L305:L323" si="209">E305*J305</f>
        <v>0</v>
      </c>
      <c r="M305" s="489">
        <f t="shared" ref="M305:M323" si="210">E305*K305</f>
        <v>0</v>
      </c>
      <c r="N305" s="357" t="str">
        <f t="shared" ref="N305:N323" si="211">IF((L305+M305)&gt;E305,"?","")</f>
        <v/>
      </c>
      <c r="O305" s="512"/>
      <c r="P305" s="506"/>
      <c r="Q305" s="507"/>
      <c r="R305" s="505"/>
      <c r="S305" s="514"/>
      <c r="T305" s="526"/>
      <c r="U305" s="527"/>
      <c r="V305" s="397">
        <f t="shared" si="208"/>
        <v>0</v>
      </c>
      <c r="W305" s="397">
        <f t="shared" ref="W305:W323" si="212">E305-V305</f>
        <v>0</v>
      </c>
      <c r="X305" s="512"/>
      <c r="Y305" s="508"/>
      <c r="Z305" s="507"/>
      <c r="AA305" s="505"/>
      <c r="AB305" s="295"/>
      <c r="AC305" s="305"/>
      <c r="AD305" s="799"/>
      <c r="AE305" s="800"/>
      <c r="AF305" s="829"/>
      <c r="AG305" s="1137">
        <f t="shared" si="204"/>
        <v>0</v>
      </c>
      <c r="AH305" s="799"/>
      <c r="AI305" s="800"/>
      <c r="AJ305" s="829"/>
      <c r="AK305" s="1137">
        <f t="shared" si="205"/>
        <v>0</v>
      </c>
      <c r="AL305" s="799"/>
      <c r="AM305" s="800"/>
      <c r="AN305" s="829"/>
      <c r="AO305" s="1137">
        <f t="shared" si="206"/>
        <v>0</v>
      </c>
      <c r="AP305" s="1079">
        <f t="shared" ref="AP305:AP323" si="213">SUM(E305,AD305,AH305,AL305)</f>
        <v>0</v>
      </c>
      <c r="AQ305" s="1079">
        <f t="shared" si="201"/>
        <v>0</v>
      </c>
      <c r="AR305" s="1080">
        <f t="shared" si="202"/>
        <v>0</v>
      </c>
      <c r="AS305" s="307"/>
      <c r="AT305" s="307"/>
      <c r="AU305" s="307"/>
      <c r="AV305" s="307"/>
      <c r="AW305" s="307"/>
      <c r="AX305" s="307"/>
      <c r="AY305" s="307"/>
      <c r="AZ305" s="307"/>
      <c r="BA305" s="307"/>
      <c r="BB305" s="196"/>
      <c r="BC305" s="196"/>
      <c r="BD305" s="212"/>
      <c r="BE305" s="212"/>
      <c r="BF305" s="212"/>
      <c r="BG305" s="212"/>
      <c r="BH305" s="212"/>
      <c r="BI305" s="212"/>
      <c r="BJ305" s="212"/>
      <c r="BK305" s="212"/>
      <c r="BL305" s="212"/>
      <c r="BM305" s="212"/>
      <c r="BN305" s="212"/>
      <c r="BO305" s="212"/>
      <c r="BP305" s="212"/>
      <c r="BQ305" s="212"/>
      <c r="BR305" s="212"/>
      <c r="BS305" s="212"/>
      <c r="BT305" s="212"/>
      <c r="BU305" s="212"/>
      <c r="BV305" s="212"/>
      <c r="BW305" s="212"/>
      <c r="BX305" s="212"/>
      <c r="BY305" s="212"/>
      <c r="BZ305" s="212"/>
      <c r="CA305" s="212"/>
      <c r="CB305" s="212"/>
      <c r="CC305" s="212"/>
      <c r="CD305" s="212"/>
      <c r="CE305" s="212"/>
    </row>
    <row r="306" spans="1:83" ht="12.75" customHeight="1" outlineLevel="1" x14ac:dyDescent="0.2">
      <c r="A306" s="316" t="s">
        <v>1106</v>
      </c>
      <c r="B306" s="38"/>
      <c r="C306" s="354"/>
      <c r="D306" s="354"/>
      <c r="E306" s="32"/>
      <c r="F306" s="319"/>
      <c r="G306" s="1168"/>
      <c r="H306" s="1168"/>
      <c r="I306" s="845"/>
      <c r="J306" s="751"/>
      <c r="K306" s="751"/>
      <c r="L306" s="489">
        <f t="shared" si="209"/>
        <v>0</v>
      </c>
      <c r="M306" s="489">
        <f t="shared" si="210"/>
        <v>0</v>
      </c>
      <c r="N306" s="357" t="str">
        <f t="shared" si="211"/>
        <v/>
      </c>
      <c r="O306" s="512"/>
      <c r="P306" s="506"/>
      <c r="Q306" s="507"/>
      <c r="R306" s="505"/>
      <c r="S306" s="514"/>
      <c r="T306" s="526"/>
      <c r="U306" s="527"/>
      <c r="V306" s="397">
        <f t="shared" si="208"/>
        <v>0</v>
      </c>
      <c r="W306" s="397">
        <f t="shared" si="212"/>
        <v>0</v>
      </c>
      <c r="X306" s="512"/>
      <c r="Y306" s="508"/>
      <c r="Z306" s="507"/>
      <c r="AA306" s="505"/>
      <c r="AB306" s="295"/>
      <c r="AC306" s="305"/>
      <c r="AD306" s="799"/>
      <c r="AE306" s="800"/>
      <c r="AF306" s="829"/>
      <c r="AG306" s="1137">
        <f t="shared" si="204"/>
        <v>0</v>
      </c>
      <c r="AH306" s="799"/>
      <c r="AI306" s="800"/>
      <c r="AJ306" s="829"/>
      <c r="AK306" s="1137">
        <f t="shared" si="205"/>
        <v>0</v>
      </c>
      <c r="AL306" s="799"/>
      <c r="AM306" s="800"/>
      <c r="AN306" s="829"/>
      <c r="AO306" s="1137">
        <f t="shared" si="206"/>
        <v>0</v>
      </c>
      <c r="AP306" s="1079">
        <f t="shared" si="213"/>
        <v>0</v>
      </c>
      <c r="AQ306" s="1079">
        <f t="shared" si="201"/>
        <v>0</v>
      </c>
      <c r="AR306" s="1080">
        <f t="shared" si="202"/>
        <v>0</v>
      </c>
      <c r="AS306" s="307"/>
      <c r="AT306" s="307"/>
      <c r="AU306" s="307"/>
      <c r="AV306" s="307"/>
      <c r="AW306" s="307"/>
      <c r="AX306" s="307"/>
      <c r="AY306" s="307"/>
      <c r="AZ306" s="307"/>
      <c r="BA306" s="307"/>
      <c r="BB306" s="196"/>
      <c r="BC306" s="196"/>
      <c r="BD306" s="212"/>
      <c r="BE306" s="212"/>
      <c r="BF306" s="212"/>
      <c r="BG306" s="212"/>
      <c r="BH306" s="212"/>
      <c r="BI306" s="212"/>
      <c r="BJ306" s="212"/>
      <c r="BK306" s="212"/>
      <c r="BL306" s="212"/>
      <c r="BM306" s="212"/>
      <c r="BN306" s="212"/>
      <c r="BO306" s="212"/>
      <c r="BP306" s="212"/>
      <c r="BQ306" s="212"/>
      <c r="BR306" s="212"/>
      <c r="BS306" s="212"/>
      <c r="BT306" s="212"/>
      <c r="BU306" s="212"/>
      <c r="BV306" s="212"/>
      <c r="BW306" s="212"/>
      <c r="BX306" s="212"/>
      <c r="BY306" s="212"/>
      <c r="BZ306" s="212"/>
      <c r="CA306" s="212"/>
      <c r="CB306" s="212"/>
      <c r="CC306" s="212"/>
      <c r="CD306" s="212"/>
      <c r="CE306" s="212"/>
    </row>
    <row r="307" spans="1:83" ht="12.75" customHeight="1" outlineLevel="1" x14ac:dyDescent="0.2">
      <c r="A307" s="316" t="s">
        <v>1107</v>
      </c>
      <c r="B307" s="38"/>
      <c r="C307" s="354"/>
      <c r="D307" s="354"/>
      <c r="E307" s="32"/>
      <c r="F307" s="319"/>
      <c r="G307" s="1168"/>
      <c r="H307" s="1168"/>
      <c r="I307" s="845"/>
      <c r="J307" s="751"/>
      <c r="K307" s="751"/>
      <c r="L307" s="489">
        <f t="shared" si="209"/>
        <v>0</v>
      </c>
      <c r="M307" s="489">
        <f t="shared" si="210"/>
        <v>0</v>
      </c>
      <c r="N307" s="357" t="str">
        <f t="shared" si="211"/>
        <v/>
      </c>
      <c r="O307" s="512"/>
      <c r="P307" s="506"/>
      <c r="Q307" s="507"/>
      <c r="R307" s="505"/>
      <c r="S307" s="514"/>
      <c r="T307" s="526"/>
      <c r="U307" s="527"/>
      <c r="V307" s="397">
        <f t="shared" si="208"/>
        <v>0</v>
      </c>
      <c r="W307" s="397">
        <f t="shared" si="212"/>
        <v>0</v>
      </c>
      <c r="X307" s="512"/>
      <c r="Y307" s="508"/>
      <c r="Z307" s="507"/>
      <c r="AA307" s="505"/>
      <c r="AB307" s="295"/>
      <c r="AC307" s="305"/>
      <c r="AD307" s="799"/>
      <c r="AE307" s="800"/>
      <c r="AF307" s="829"/>
      <c r="AG307" s="1137">
        <f t="shared" si="204"/>
        <v>0</v>
      </c>
      <c r="AH307" s="799"/>
      <c r="AI307" s="800"/>
      <c r="AJ307" s="829"/>
      <c r="AK307" s="1137">
        <f t="shared" si="205"/>
        <v>0</v>
      </c>
      <c r="AL307" s="799"/>
      <c r="AM307" s="800"/>
      <c r="AN307" s="829"/>
      <c r="AO307" s="1137">
        <f t="shared" si="206"/>
        <v>0</v>
      </c>
      <c r="AP307" s="1079">
        <f t="shared" si="213"/>
        <v>0</v>
      </c>
      <c r="AQ307" s="1079">
        <f t="shared" si="201"/>
        <v>0</v>
      </c>
      <c r="AR307" s="1080">
        <f t="shared" si="202"/>
        <v>0</v>
      </c>
      <c r="AS307" s="307"/>
      <c r="AT307" s="307"/>
      <c r="AU307" s="307"/>
      <c r="AV307" s="307"/>
      <c r="AW307" s="307"/>
      <c r="AX307" s="307"/>
      <c r="AY307" s="307"/>
      <c r="AZ307" s="307"/>
      <c r="BA307" s="307"/>
      <c r="BB307" s="196"/>
      <c r="BC307" s="196"/>
      <c r="BD307" s="212"/>
      <c r="BE307" s="212"/>
      <c r="BF307" s="212"/>
      <c r="BG307" s="212"/>
      <c r="BH307" s="212"/>
      <c r="BI307" s="212"/>
      <c r="BJ307" s="212"/>
      <c r="BK307" s="212"/>
      <c r="BL307" s="212"/>
      <c r="BM307" s="212"/>
      <c r="BN307" s="212"/>
      <c r="BO307" s="212"/>
      <c r="BP307" s="212"/>
      <c r="BQ307" s="212"/>
      <c r="BR307" s="212"/>
      <c r="BS307" s="212"/>
      <c r="BT307" s="212"/>
      <c r="BU307" s="212"/>
      <c r="BV307" s="212"/>
      <c r="BW307" s="212"/>
      <c r="BX307" s="212"/>
      <c r="BY307" s="212"/>
      <c r="BZ307" s="212"/>
      <c r="CA307" s="212"/>
      <c r="CB307" s="212"/>
      <c r="CC307" s="212"/>
      <c r="CD307" s="212"/>
      <c r="CE307" s="212"/>
    </row>
    <row r="308" spans="1:83" ht="12.75" customHeight="1" outlineLevel="1" x14ac:dyDescent="0.2">
      <c r="A308" s="316" t="s">
        <v>1108</v>
      </c>
      <c r="B308" s="38"/>
      <c r="C308" s="354"/>
      <c r="D308" s="354"/>
      <c r="E308" s="32"/>
      <c r="F308" s="319"/>
      <c r="G308" s="1168"/>
      <c r="H308" s="1168"/>
      <c r="I308" s="845"/>
      <c r="J308" s="751"/>
      <c r="K308" s="751"/>
      <c r="L308" s="489">
        <f t="shared" si="209"/>
        <v>0</v>
      </c>
      <c r="M308" s="489">
        <f t="shared" si="210"/>
        <v>0</v>
      </c>
      <c r="N308" s="357" t="str">
        <f t="shared" si="211"/>
        <v/>
      </c>
      <c r="O308" s="512"/>
      <c r="P308" s="506"/>
      <c r="Q308" s="507"/>
      <c r="R308" s="505"/>
      <c r="S308" s="514"/>
      <c r="T308" s="526"/>
      <c r="U308" s="527"/>
      <c r="V308" s="397">
        <f t="shared" si="208"/>
        <v>0</v>
      </c>
      <c r="W308" s="397">
        <f t="shared" si="212"/>
        <v>0</v>
      </c>
      <c r="X308" s="512"/>
      <c r="Y308" s="508"/>
      <c r="Z308" s="507"/>
      <c r="AA308" s="505"/>
      <c r="AB308" s="295"/>
      <c r="AC308" s="305"/>
      <c r="AD308" s="799"/>
      <c r="AE308" s="800"/>
      <c r="AF308" s="829"/>
      <c r="AG308" s="1137">
        <f t="shared" si="204"/>
        <v>0</v>
      </c>
      <c r="AH308" s="799"/>
      <c r="AI308" s="800"/>
      <c r="AJ308" s="829"/>
      <c r="AK308" s="1137">
        <f t="shared" si="205"/>
        <v>0</v>
      </c>
      <c r="AL308" s="799"/>
      <c r="AM308" s="800"/>
      <c r="AN308" s="829"/>
      <c r="AO308" s="1137">
        <f t="shared" si="206"/>
        <v>0</v>
      </c>
      <c r="AP308" s="1079">
        <f t="shared" si="213"/>
        <v>0</v>
      </c>
      <c r="AQ308" s="1079">
        <f t="shared" si="201"/>
        <v>0</v>
      </c>
      <c r="AR308" s="1080">
        <f t="shared" si="202"/>
        <v>0</v>
      </c>
      <c r="AS308" s="307"/>
      <c r="AT308" s="307"/>
      <c r="AU308" s="307"/>
      <c r="AV308" s="307"/>
      <c r="AW308" s="307"/>
      <c r="AX308" s="307"/>
      <c r="AY308" s="307"/>
      <c r="AZ308" s="307"/>
      <c r="BA308" s="307"/>
      <c r="BB308" s="196"/>
      <c r="BC308" s="196"/>
      <c r="BD308" s="212"/>
      <c r="BE308" s="212"/>
      <c r="BF308" s="212"/>
      <c r="BG308" s="212"/>
      <c r="BH308" s="212"/>
      <c r="BI308" s="212"/>
      <c r="BJ308" s="212"/>
      <c r="BK308" s="212"/>
      <c r="BL308" s="212"/>
      <c r="BM308" s="212"/>
      <c r="BN308" s="212"/>
      <c r="BO308" s="212"/>
      <c r="BP308" s="212"/>
      <c r="BQ308" s="212"/>
      <c r="BR308" s="212"/>
      <c r="BS308" s="212"/>
      <c r="BT308" s="212"/>
      <c r="BU308" s="212"/>
      <c r="BV308" s="212"/>
      <c r="BW308" s="212"/>
      <c r="BX308" s="212"/>
      <c r="BY308" s="212"/>
      <c r="BZ308" s="212"/>
      <c r="CA308" s="212"/>
      <c r="CB308" s="212"/>
      <c r="CC308" s="212"/>
      <c r="CD308" s="212"/>
      <c r="CE308" s="212"/>
    </row>
    <row r="309" spans="1:83" ht="12.75" customHeight="1" outlineLevel="1" x14ac:dyDescent="0.2">
      <c r="A309" s="316" t="s">
        <v>1109</v>
      </c>
      <c r="B309" s="38"/>
      <c r="C309" s="354"/>
      <c r="D309" s="354"/>
      <c r="E309" s="32"/>
      <c r="F309" s="319"/>
      <c r="G309" s="1168"/>
      <c r="H309" s="1168"/>
      <c r="I309" s="845"/>
      <c r="J309" s="751"/>
      <c r="K309" s="751"/>
      <c r="L309" s="489">
        <f t="shared" si="209"/>
        <v>0</v>
      </c>
      <c r="M309" s="489">
        <f t="shared" si="210"/>
        <v>0</v>
      </c>
      <c r="N309" s="357" t="str">
        <f t="shared" si="211"/>
        <v/>
      </c>
      <c r="O309" s="512"/>
      <c r="P309" s="506"/>
      <c r="Q309" s="507"/>
      <c r="R309" s="505"/>
      <c r="S309" s="514"/>
      <c r="T309" s="526"/>
      <c r="U309" s="527"/>
      <c r="V309" s="397">
        <f t="shared" si="208"/>
        <v>0</v>
      </c>
      <c r="W309" s="397">
        <f t="shared" si="212"/>
        <v>0</v>
      </c>
      <c r="X309" s="512"/>
      <c r="Y309" s="508"/>
      <c r="Z309" s="507"/>
      <c r="AA309" s="505"/>
      <c r="AB309" s="295"/>
      <c r="AC309" s="305"/>
      <c r="AD309" s="799"/>
      <c r="AE309" s="800"/>
      <c r="AF309" s="829"/>
      <c r="AG309" s="1137">
        <f t="shared" si="204"/>
        <v>0</v>
      </c>
      <c r="AH309" s="799"/>
      <c r="AI309" s="800"/>
      <c r="AJ309" s="829"/>
      <c r="AK309" s="1137">
        <f t="shared" si="205"/>
        <v>0</v>
      </c>
      <c r="AL309" s="799"/>
      <c r="AM309" s="800"/>
      <c r="AN309" s="829"/>
      <c r="AO309" s="1137">
        <f t="shared" si="206"/>
        <v>0</v>
      </c>
      <c r="AP309" s="1079">
        <f t="shared" si="213"/>
        <v>0</v>
      </c>
      <c r="AQ309" s="1079">
        <f t="shared" si="201"/>
        <v>0</v>
      </c>
      <c r="AR309" s="1080">
        <f t="shared" si="202"/>
        <v>0</v>
      </c>
      <c r="AS309" s="307"/>
      <c r="AT309" s="307"/>
      <c r="AU309" s="307"/>
      <c r="AV309" s="307"/>
      <c r="AW309" s="307"/>
      <c r="AX309" s="307"/>
      <c r="AY309" s="307"/>
      <c r="AZ309" s="307"/>
      <c r="BA309" s="307"/>
      <c r="BB309" s="196"/>
      <c r="BC309" s="196"/>
      <c r="BD309" s="212"/>
      <c r="BE309" s="212"/>
      <c r="BF309" s="212"/>
      <c r="BG309" s="212"/>
      <c r="BH309" s="212"/>
      <c r="BI309" s="212"/>
      <c r="BJ309" s="212"/>
      <c r="BK309" s="212"/>
      <c r="BL309" s="212"/>
      <c r="BM309" s="212"/>
      <c r="BN309" s="212"/>
      <c r="BO309" s="212"/>
      <c r="BP309" s="212"/>
      <c r="BQ309" s="212"/>
      <c r="BR309" s="212"/>
      <c r="BS309" s="212"/>
      <c r="BT309" s="212"/>
      <c r="BU309" s="212"/>
      <c r="BV309" s="212"/>
      <c r="BW309" s="212"/>
      <c r="BX309" s="212"/>
      <c r="BY309" s="212"/>
      <c r="BZ309" s="212"/>
      <c r="CA309" s="212"/>
      <c r="CB309" s="212"/>
      <c r="CC309" s="212"/>
      <c r="CD309" s="212"/>
      <c r="CE309" s="212"/>
    </row>
    <row r="310" spans="1:83" ht="12.75" customHeight="1" outlineLevel="1" x14ac:dyDescent="0.2">
      <c r="A310" s="316" t="s">
        <v>1110</v>
      </c>
      <c r="B310" s="38"/>
      <c r="C310" s="354"/>
      <c r="D310" s="354"/>
      <c r="E310" s="32"/>
      <c r="F310" s="319"/>
      <c r="G310" s="1168"/>
      <c r="H310" s="1168"/>
      <c r="I310" s="845"/>
      <c r="J310" s="751"/>
      <c r="K310" s="751"/>
      <c r="L310" s="489">
        <f t="shared" si="209"/>
        <v>0</v>
      </c>
      <c r="M310" s="489">
        <f t="shared" si="210"/>
        <v>0</v>
      </c>
      <c r="N310" s="357" t="str">
        <f t="shared" si="211"/>
        <v/>
      </c>
      <c r="O310" s="512"/>
      <c r="P310" s="506"/>
      <c r="Q310" s="507"/>
      <c r="R310" s="505"/>
      <c r="S310" s="514"/>
      <c r="T310" s="526"/>
      <c r="U310" s="527"/>
      <c r="V310" s="397">
        <f t="shared" si="208"/>
        <v>0</v>
      </c>
      <c r="W310" s="397">
        <f t="shared" si="212"/>
        <v>0</v>
      </c>
      <c r="X310" s="512"/>
      <c r="Y310" s="508"/>
      <c r="Z310" s="507"/>
      <c r="AA310" s="505"/>
      <c r="AB310" s="295"/>
      <c r="AC310" s="305"/>
      <c r="AD310" s="799"/>
      <c r="AE310" s="800"/>
      <c r="AF310" s="829"/>
      <c r="AG310" s="1137">
        <f t="shared" si="204"/>
        <v>0</v>
      </c>
      <c r="AH310" s="799"/>
      <c r="AI310" s="800"/>
      <c r="AJ310" s="829"/>
      <c r="AK310" s="1137">
        <f t="shared" si="205"/>
        <v>0</v>
      </c>
      <c r="AL310" s="799"/>
      <c r="AM310" s="800"/>
      <c r="AN310" s="829"/>
      <c r="AO310" s="1137">
        <f t="shared" si="206"/>
        <v>0</v>
      </c>
      <c r="AP310" s="1079">
        <f t="shared" si="213"/>
        <v>0</v>
      </c>
      <c r="AQ310" s="1079">
        <f t="shared" si="201"/>
        <v>0</v>
      </c>
      <c r="AR310" s="1080">
        <f t="shared" si="202"/>
        <v>0</v>
      </c>
      <c r="AS310" s="307"/>
      <c r="AT310" s="307"/>
      <c r="AU310" s="307"/>
      <c r="AV310" s="307"/>
      <c r="AW310" s="307"/>
      <c r="AX310" s="307"/>
      <c r="AY310" s="307"/>
      <c r="AZ310" s="307"/>
      <c r="BA310" s="307"/>
      <c r="BB310" s="196"/>
      <c r="BC310" s="196"/>
      <c r="BD310" s="212"/>
      <c r="BE310" s="212"/>
      <c r="BF310" s="212"/>
      <c r="BG310" s="212"/>
      <c r="BH310" s="212"/>
      <c r="BI310" s="212"/>
      <c r="BJ310" s="212"/>
      <c r="BK310" s="212"/>
      <c r="BL310" s="212"/>
      <c r="BM310" s="212"/>
      <c r="BN310" s="212"/>
      <c r="BO310" s="212"/>
      <c r="BP310" s="212"/>
      <c r="BQ310" s="212"/>
      <c r="BR310" s="212"/>
      <c r="BS310" s="212"/>
      <c r="BT310" s="212"/>
      <c r="BU310" s="212"/>
      <c r="BV310" s="212"/>
      <c r="BW310" s="212"/>
      <c r="BX310" s="212"/>
      <c r="BY310" s="212"/>
      <c r="BZ310" s="212"/>
      <c r="CA310" s="212"/>
      <c r="CB310" s="212"/>
      <c r="CC310" s="212"/>
      <c r="CD310" s="212"/>
      <c r="CE310" s="212"/>
    </row>
    <row r="311" spans="1:83" ht="12.75" customHeight="1" outlineLevel="1" x14ac:dyDescent="0.2">
      <c r="A311" s="316" t="s">
        <v>1111</v>
      </c>
      <c r="B311" s="38"/>
      <c r="C311" s="354"/>
      <c r="D311" s="354"/>
      <c r="E311" s="32"/>
      <c r="F311" s="319"/>
      <c r="G311" s="1168"/>
      <c r="H311" s="1168"/>
      <c r="I311" s="845"/>
      <c r="J311" s="751"/>
      <c r="K311" s="751"/>
      <c r="L311" s="489">
        <f t="shared" si="209"/>
        <v>0</v>
      </c>
      <c r="M311" s="489">
        <f t="shared" si="210"/>
        <v>0</v>
      </c>
      <c r="N311" s="357" t="str">
        <f t="shared" si="211"/>
        <v/>
      </c>
      <c r="O311" s="512"/>
      <c r="P311" s="506"/>
      <c r="Q311" s="507"/>
      <c r="R311" s="505"/>
      <c r="S311" s="514"/>
      <c r="T311" s="526"/>
      <c r="U311" s="527"/>
      <c r="V311" s="397">
        <f t="shared" si="208"/>
        <v>0</v>
      </c>
      <c r="W311" s="397">
        <f t="shared" si="212"/>
        <v>0</v>
      </c>
      <c r="X311" s="512"/>
      <c r="Y311" s="508"/>
      <c r="Z311" s="507"/>
      <c r="AA311" s="505"/>
      <c r="AB311" s="295"/>
      <c r="AC311" s="305"/>
      <c r="AD311" s="799"/>
      <c r="AE311" s="800"/>
      <c r="AF311" s="829"/>
      <c r="AG311" s="1137">
        <f t="shared" si="204"/>
        <v>0</v>
      </c>
      <c r="AH311" s="799"/>
      <c r="AI311" s="800"/>
      <c r="AJ311" s="829"/>
      <c r="AK311" s="1137">
        <f t="shared" si="205"/>
        <v>0</v>
      </c>
      <c r="AL311" s="799"/>
      <c r="AM311" s="800"/>
      <c r="AN311" s="829"/>
      <c r="AO311" s="1137">
        <f t="shared" si="206"/>
        <v>0</v>
      </c>
      <c r="AP311" s="1079">
        <f t="shared" si="213"/>
        <v>0</v>
      </c>
      <c r="AQ311" s="1079">
        <f t="shared" si="201"/>
        <v>0</v>
      </c>
      <c r="AR311" s="1080">
        <f t="shared" si="202"/>
        <v>0</v>
      </c>
      <c r="AS311" s="307"/>
      <c r="AT311" s="307"/>
      <c r="AU311" s="307"/>
      <c r="AV311" s="307"/>
      <c r="AW311" s="307"/>
      <c r="AX311" s="307"/>
      <c r="AY311" s="307"/>
      <c r="AZ311" s="307"/>
      <c r="BA311" s="307"/>
      <c r="BB311" s="196"/>
      <c r="BC311" s="196"/>
      <c r="BD311" s="212"/>
      <c r="BE311" s="212"/>
      <c r="BF311" s="212"/>
      <c r="BG311" s="212"/>
      <c r="BH311" s="212"/>
      <c r="BI311" s="212"/>
      <c r="BJ311" s="212"/>
      <c r="BK311" s="212"/>
      <c r="BL311" s="212"/>
      <c r="BM311" s="212"/>
      <c r="BN311" s="212"/>
      <c r="BO311" s="212"/>
      <c r="BP311" s="212"/>
      <c r="BQ311" s="212"/>
      <c r="BR311" s="212"/>
      <c r="BS311" s="212"/>
      <c r="BT311" s="212"/>
      <c r="BU311" s="212"/>
      <c r="BV311" s="212"/>
      <c r="BW311" s="212"/>
      <c r="BX311" s="212"/>
      <c r="BY311" s="212"/>
      <c r="BZ311" s="212"/>
      <c r="CA311" s="212"/>
      <c r="CB311" s="212"/>
      <c r="CC311" s="212"/>
      <c r="CD311" s="212"/>
      <c r="CE311" s="212"/>
    </row>
    <row r="312" spans="1:83" ht="12.75" customHeight="1" outlineLevel="1" x14ac:dyDescent="0.2">
      <c r="A312" s="316" t="s">
        <v>1112</v>
      </c>
      <c r="B312" s="38"/>
      <c r="C312" s="354"/>
      <c r="D312" s="354"/>
      <c r="E312" s="32"/>
      <c r="F312" s="319"/>
      <c r="G312" s="1168"/>
      <c r="H312" s="1168"/>
      <c r="I312" s="845"/>
      <c r="J312" s="751"/>
      <c r="K312" s="751"/>
      <c r="L312" s="489">
        <f t="shared" si="209"/>
        <v>0</v>
      </c>
      <c r="M312" s="489">
        <f t="shared" si="210"/>
        <v>0</v>
      </c>
      <c r="N312" s="357" t="str">
        <f t="shared" si="211"/>
        <v/>
      </c>
      <c r="O312" s="512"/>
      <c r="P312" s="506"/>
      <c r="Q312" s="507"/>
      <c r="R312" s="505"/>
      <c r="S312" s="514"/>
      <c r="T312" s="526"/>
      <c r="U312" s="527"/>
      <c r="V312" s="397">
        <f t="shared" si="208"/>
        <v>0</v>
      </c>
      <c r="W312" s="397">
        <f t="shared" si="212"/>
        <v>0</v>
      </c>
      <c r="X312" s="512"/>
      <c r="Y312" s="508"/>
      <c r="Z312" s="507"/>
      <c r="AA312" s="505"/>
      <c r="AB312" s="295"/>
      <c r="AC312" s="305"/>
      <c r="AD312" s="799"/>
      <c r="AE312" s="800"/>
      <c r="AF312" s="829"/>
      <c r="AG312" s="1137">
        <f t="shared" si="204"/>
        <v>0</v>
      </c>
      <c r="AH312" s="799"/>
      <c r="AI312" s="800"/>
      <c r="AJ312" s="829"/>
      <c r="AK312" s="1137">
        <f t="shared" si="205"/>
        <v>0</v>
      </c>
      <c r="AL312" s="799"/>
      <c r="AM312" s="800"/>
      <c r="AN312" s="829"/>
      <c r="AO312" s="1137">
        <f t="shared" si="206"/>
        <v>0</v>
      </c>
      <c r="AP312" s="1079">
        <f t="shared" si="213"/>
        <v>0</v>
      </c>
      <c r="AQ312" s="1079">
        <f t="shared" si="201"/>
        <v>0</v>
      </c>
      <c r="AR312" s="1080">
        <f t="shared" si="202"/>
        <v>0</v>
      </c>
      <c r="AS312" s="307"/>
      <c r="AT312" s="307"/>
      <c r="AU312" s="307"/>
      <c r="AV312" s="307"/>
      <c r="AW312" s="307"/>
      <c r="AX312" s="307"/>
      <c r="AY312" s="307"/>
      <c r="AZ312" s="307"/>
      <c r="BA312" s="307"/>
      <c r="BB312" s="196"/>
      <c r="BC312" s="196"/>
      <c r="BD312" s="212"/>
      <c r="BE312" s="212"/>
      <c r="BF312" s="212"/>
      <c r="BG312" s="212"/>
      <c r="BH312" s="212"/>
      <c r="BI312" s="212"/>
      <c r="BJ312" s="212"/>
      <c r="BK312" s="212"/>
      <c r="BL312" s="212"/>
      <c r="BM312" s="212"/>
      <c r="BN312" s="212"/>
      <c r="BO312" s="212"/>
      <c r="BP312" s="212"/>
      <c r="BQ312" s="212"/>
      <c r="BR312" s="212"/>
      <c r="BS312" s="212"/>
      <c r="BT312" s="212"/>
      <c r="BU312" s="212"/>
      <c r="BV312" s="212"/>
      <c r="BW312" s="212"/>
      <c r="BX312" s="212"/>
      <c r="BY312" s="212"/>
      <c r="BZ312" s="212"/>
      <c r="CA312" s="212"/>
      <c r="CB312" s="212"/>
      <c r="CC312" s="212"/>
      <c r="CD312" s="212"/>
      <c r="CE312" s="212"/>
    </row>
    <row r="313" spans="1:83" ht="12.75" customHeight="1" outlineLevel="1" x14ac:dyDescent="0.2">
      <c r="A313" s="316" t="s">
        <v>1113</v>
      </c>
      <c r="B313" s="38"/>
      <c r="C313" s="354"/>
      <c r="D313" s="354"/>
      <c r="E313" s="32"/>
      <c r="F313" s="319"/>
      <c r="G313" s="1168"/>
      <c r="H313" s="1168"/>
      <c r="I313" s="845"/>
      <c r="J313" s="751"/>
      <c r="K313" s="751"/>
      <c r="L313" s="489">
        <f t="shared" si="209"/>
        <v>0</v>
      </c>
      <c r="M313" s="489">
        <f t="shared" si="210"/>
        <v>0</v>
      </c>
      <c r="N313" s="357" t="str">
        <f t="shared" si="211"/>
        <v/>
      </c>
      <c r="O313" s="512"/>
      <c r="P313" s="506"/>
      <c r="Q313" s="507"/>
      <c r="R313" s="505"/>
      <c r="S313" s="514"/>
      <c r="T313" s="526"/>
      <c r="U313" s="527"/>
      <c r="V313" s="397">
        <f t="shared" si="208"/>
        <v>0</v>
      </c>
      <c r="W313" s="397">
        <f t="shared" si="212"/>
        <v>0</v>
      </c>
      <c r="X313" s="512"/>
      <c r="Y313" s="508"/>
      <c r="Z313" s="507"/>
      <c r="AA313" s="505"/>
      <c r="AB313" s="295"/>
      <c r="AC313" s="305"/>
      <c r="AD313" s="799"/>
      <c r="AE313" s="800"/>
      <c r="AF313" s="829"/>
      <c r="AG313" s="1137">
        <f t="shared" si="204"/>
        <v>0</v>
      </c>
      <c r="AH313" s="799"/>
      <c r="AI313" s="800"/>
      <c r="AJ313" s="829"/>
      <c r="AK313" s="1137">
        <f t="shared" si="205"/>
        <v>0</v>
      </c>
      <c r="AL313" s="799"/>
      <c r="AM313" s="800"/>
      <c r="AN313" s="829"/>
      <c r="AO313" s="1137">
        <f t="shared" si="206"/>
        <v>0</v>
      </c>
      <c r="AP313" s="1079">
        <f t="shared" si="213"/>
        <v>0</v>
      </c>
      <c r="AQ313" s="1079">
        <f t="shared" si="201"/>
        <v>0</v>
      </c>
      <c r="AR313" s="1080">
        <f t="shared" si="202"/>
        <v>0</v>
      </c>
      <c r="AS313" s="307"/>
      <c r="AT313" s="307"/>
      <c r="AU313" s="307"/>
      <c r="AV313" s="307"/>
      <c r="AW313" s="307"/>
      <c r="AX313" s="307"/>
      <c r="AY313" s="307"/>
      <c r="AZ313" s="307"/>
      <c r="BA313" s="307"/>
      <c r="BB313" s="196"/>
      <c r="BC313" s="196"/>
      <c r="BD313" s="212"/>
      <c r="BE313" s="212"/>
      <c r="BF313" s="212"/>
      <c r="BG313" s="212"/>
      <c r="BH313" s="212"/>
      <c r="BI313" s="212"/>
      <c r="BJ313" s="212"/>
      <c r="BK313" s="212"/>
      <c r="BL313" s="212"/>
      <c r="BM313" s="212"/>
      <c r="BN313" s="212"/>
      <c r="BO313" s="212"/>
      <c r="BP313" s="212"/>
      <c r="BQ313" s="212"/>
      <c r="BR313" s="212"/>
      <c r="BS313" s="212"/>
      <c r="BT313" s="212"/>
      <c r="BU313" s="212"/>
      <c r="BV313" s="212"/>
      <c r="BW313" s="212"/>
      <c r="BX313" s="212"/>
      <c r="BY313" s="212"/>
      <c r="BZ313" s="212"/>
      <c r="CA313" s="212"/>
      <c r="CB313" s="212"/>
      <c r="CC313" s="212"/>
      <c r="CD313" s="212"/>
      <c r="CE313" s="212"/>
    </row>
    <row r="314" spans="1:83" ht="12.75" customHeight="1" outlineLevel="1" x14ac:dyDescent="0.2">
      <c r="A314" s="316" t="s">
        <v>1114</v>
      </c>
      <c r="B314" s="38"/>
      <c r="C314" s="354"/>
      <c r="D314" s="354"/>
      <c r="E314" s="32"/>
      <c r="F314" s="319"/>
      <c r="G314" s="1168"/>
      <c r="H314" s="1168"/>
      <c r="I314" s="845"/>
      <c r="J314" s="751"/>
      <c r="K314" s="751"/>
      <c r="L314" s="489">
        <f t="shared" si="209"/>
        <v>0</v>
      </c>
      <c r="M314" s="489">
        <f t="shared" si="210"/>
        <v>0</v>
      </c>
      <c r="N314" s="357" t="str">
        <f t="shared" si="211"/>
        <v/>
      </c>
      <c r="O314" s="512"/>
      <c r="P314" s="506"/>
      <c r="Q314" s="507"/>
      <c r="R314" s="505"/>
      <c r="S314" s="514"/>
      <c r="T314" s="526"/>
      <c r="U314" s="527"/>
      <c r="V314" s="397">
        <f t="shared" si="208"/>
        <v>0</v>
      </c>
      <c r="W314" s="397">
        <f t="shared" si="212"/>
        <v>0</v>
      </c>
      <c r="X314" s="512"/>
      <c r="Y314" s="508"/>
      <c r="Z314" s="507"/>
      <c r="AA314" s="505"/>
      <c r="AB314" s="295"/>
      <c r="AC314" s="305"/>
      <c r="AD314" s="799"/>
      <c r="AE314" s="800"/>
      <c r="AF314" s="829"/>
      <c r="AG314" s="1137">
        <f t="shared" si="204"/>
        <v>0</v>
      </c>
      <c r="AH314" s="799"/>
      <c r="AI314" s="800"/>
      <c r="AJ314" s="829"/>
      <c r="AK314" s="1137">
        <f t="shared" si="205"/>
        <v>0</v>
      </c>
      <c r="AL314" s="799"/>
      <c r="AM314" s="800"/>
      <c r="AN314" s="829"/>
      <c r="AO314" s="1137">
        <f t="shared" si="206"/>
        <v>0</v>
      </c>
      <c r="AP314" s="1079">
        <f t="shared" si="213"/>
        <v>0</v>
      </c>
      <c r="AQ314" s="1079">
        <f t="shared" si="201"/>
        <v>0</v>
      </c>
      <c r="AR314" s="1080">
        <f t="shared" si="202"/>
        <v>0</v>
      </c>
      <c r="AS314" s="307"/>
      <c r="AT314" s="307"/>
      <c r="AU314" s="307"/>
      <c r="AV314" s="307"/>
      <c r="AW314" s="307"/>
      <c r="AX314" s="307"/>
      <c r="AY314" s="307"/>
      <c r="AZ314" s="307"/>
      <c r="BA314" s="307"/>
      <c r="BB314" s="196"/>
      <c r="BC314" s="196"/>
      <c r="BD314" s="212"/>
      <c r="BE314" s="212"/>
      <c r="BF314" s="212"/>
      <c r="BG314" s="212"/>
      <c r="BH314" s="212"/>
      <c r="BI314" s="212"/>
      <c r="BJ314" s="212"/>
      <c r="BK314" s="212"/>
      <c r="BL314" s="212"/>
      <c r="BM314" s="212"/>
      <c r="BN314" s="212"/>
      <c r="BO314" s="212"/>
      <c r="BP314" s="212"/>
      <c r="BQ314" s="212"/>
      <c r="BR314" s="212"/>
      <c r="BS314" s="212"/>
      <c r="BT314" s="212"/>
      <c r="BU314" s="212"/>
      <c r="BV314" s="212"/>
      <c r="BW314" s="212"/>
      <c r="BX314" s="212"/>
      <c r="BY314" s="212"/>
      <c r="BZ314" s="212"/>
      <c r="CA314" s="212"/>
      <c r="CB314" s="212"/>
      <c r="CC314" s="212"/>
      <c r="CD314" s="212"/>
      <c r="CE314" s="212"/>
    </row>
    <row r="315" spans="1:83" ht="12.75" customHeight="1" outlineLevel="1" x14ac:dyDescent="0.2">
      <c r="A315" s="316" t="s">
        <v>1115</v>
      </c>
      <c r="B315" s="38"/>
      <c r="C315" s="354"/>
      <c r="D315" s="354"/>
      <c r="E315" s="32"/>
      <c r="F315" s="319"/>
      <c r="G315" s="1168"/>
      <c r="H315" s="1168"/>
      <c r="I315" s="845"/>
      <c r="J315" s="751"/>
      <c r="K315" s="751"/>
      <c r="L315" s="489">
        <f t="shared" si="209"/>
        <v>0</v>
      </c>
      <c r="M315" s="489">
        <f t="shared" si="210"/>
        <v>0</v>
      </c>
      <c r="N315" s="357" t="str">
        <f t="shared" si="211"/>
        <v/>
      </c>
      <c r="O315" s="512"/>
      <c r="P315" s="506"/>
      <c r="Q315" s="507"/>
      <c r="R315" s="505"/>
      <c r="S315" s="514"/>
      <c r="T315" s="526"/>
      <c r="U315" s="527"/>
      <c r="V315" s="397">
        <f t="shared" si="208"/>
        <v>0</v>
      </c>
      <c r="W315" s="397">
        <f t="shared" si="212"/>
        <v>0</v>
      </c>
      <c r="X315" s="512"/>
      <c r="Y315" s="508"/>
      <c r="Z315" s="507"/>
      <c r="AA315" s="505"/>
      <c r="AB315" s="295"/>
      <c r="AC315" s="305"/>
      <c r="AD315" s="799"/>
      <c r="AE315" s="800"/>
      <c r="AF315" s="829"/>
      <c r="AG315" s="1137">
        <f t="shared" si="204"/>
        <v>0</v>
      </c>
      <c r="AH315" s="799"/>
      <c r="AI315" s="800"/>
      <c r="AJ315" s="829"/>
      <c r="AK315" s="1137">
        <f t="shared" si="205"/>
        <v>0</v>
      </c>
      <c r="AL315" s="799"/>
      <c r="AM315" s="800"/>
      <c r="AN315" s="829"/>
      <c r="AO315" s="1137">
        <f t="shared" si="206"/>
        <v>0</v>
      </c>
      <c r="AP315" s="1079">
        <f t="shared" si="213"/>
        <v>0</v>
      </c>
      <c r="AQ315" s="1079">
        <f t="shared" si="201"/>
        <v>0</v>
      </c>
      <c r="AR315" s="1080">
        <f t="shared" si="202"/>
        <v>0</v>
      </c>
      <c r="AS315" s="307"/>
      <c r="AT315" s="307"/>
      <c r="AU315" s="307"/>
      <c r="AV315" s="307"/>
      <c r="AW315" s="307"/>
      <c r="AX315" s="307"/>
      <c r="AY315" s="307"/>
      <c r="AZ315" s="307"/>
      <c r="BA315" s="307"/>
      <c r="BB315" s="196"/>
      <c r="BC315" s="196"/>
      <c r="BD315" s="212"/>
      <c r="BE315" s="212"/>
      <c r="BF315" s="212"/>
      <c r="BG315" s="212"/>
      <c r="BH315" s="212"/>
      <c r="BI315" s="212"/>
      <c r="BJ315" s="212"/>
      <c r="BK315" s="212"/>
      <c r="BL315" s="212"/>
      <c r="BM315" s="212"/>
      <c r="BN315" s="212"/>
      <c r="BO315" s="212"/>
      <c r="BP315" s="212"/>
      <c r="BQ315" s="212"/>
      <c r="BR315" s="212"/>
      <c r="BS315" s="212"/>
      <c r="BT315" s="212"/>
      <c r="BU315" s="212"/>
      <c r="BV315" s="212"/>
      <c r="BW315" s="212"/>
      <c r="BX315" s="212"/>
      <c r="BY315" s="212"/>
      <c r="BZ315" s="212"/>
      <c r="CA315" s="212"/>
      <c r="CB315" s="212"/>
      <c r="CC315" s="212"/>
      <c r="CD315" s="212"/>
      <c r="CE315" s="212"/>
    </row>
    <row r="316" spans="1:83" ht="12.75" customHeight="1" outlineLevel="1" x14ac:dyDescent="0.2">
      <c r="A316" s="316" t="s">
        <v>1116</v>
      </c>
      <c r="B316" s="38"/>
      <c r="C316" s="354"/>
      <c r="D316" s="354"/>
      <c r="E316" s="32"/>
      <c r="F316" s="319"/>
      <c r="G316" s="1168"/>
      <c r="H316" s="1168"/>
      <c r="I316" s="845"/>
      <c r="J316" s="751"/>
      <c r="K316" s="751"/>
      <c r="L316" s="489">
        <f t="shared" si="209"/>
        <v>0</v>
      </c>
      <c r="M316" s="489">
        <f t="shared" si="210"/>
        <v>0</v>
      </c>
      <c r="N316" s="357" t="str">
        <f t="shared" si="211"/>
        <v/>
      </c>
      <c r="O316" s="512"/>
      <c r="P316" s="506"/>
      <c r="Q316" s="507"/>
      <c r="R316" s="505"/>
      <c r="S316" s="514"/>
      <c r="T316" s="526"/>
      <c r="U316" s="527"/>
      <c r="V316" s="397">
        <f t="shared" si="208"/>
        <v>0</v>
      </c>
      <c r="W316" s="397">
        <f t="shared" si="212"/>
        <v>0</v>
      </c>
      <c r="X316" s="512"/>
      <c r="Y316" s="508"/>
      <c r="Z316" s="507"/>
      <c r="AA316" s="505"/>
      <c r="AB316" s="295"/>
      <c r="AC316" s="305"/>
      <c r="AD316" s="799"/>
      <c r="AE316" s="800"/>
      <c r="AF316" s="829"/>
      <c r="AG316" s="1137">
        <f t="shared" si="204"/>
        <v>0</v>
      </c>
      <c r="AH316" s="799"/>
      <c r="AI316" s="800"/>
      <c r="AJ316" s="829"/>
      <c r="AK316" s="1137">
        <f t="shared" si="205"/>
        <v>0</v>
      </c>
      <c r="AL316" s="799"/>
      <c r="AM316" s="800"/>
      <c r="AN316" s="829"/>
      <c r="AO316" s="1137">
        <f t="shared" si="206"/>
        <v>0</v>
      </c>
      <c r="AP316" s="1079">
        <f t="shared" si="213"/>
        <v>0</v>
      </c>
      <c r="AQ316" s="1079">
        <f t="shared" si="201"/>
        <v>0</v>
      </c>
      <c r="AR316" s="1080">
        <f t="shared" si="202"/>
        <v>0</v>
      </c>
      <c r="AS316" s="307"/>
      <c r="AT316" s="307"/>
      <c r="AU316" s="307"/>
      <c r="AV316" s="307"/>
      <c r="AW316" s="307"/>
      <c r="AX316" s="307"/>
      <c r="AY316" s="307"/>
      <c r="AZ316" s="307"/>
      <c r="BA316" s="307"/>
      <c r="BB316" s="196"/>
      <c r="BC316" s="196"/>
      <c r="BD316" s="212"/>
      <c r="BE316" s="212"/>
      <c r="BF316" s="212"/>
      <c r="BG316" s="212"/>
      <c r="BH316" s="212"/>
      <c r="BI316" s="212"/>
      <c r="BJ316" s="212"/>
      <c r="BK316" s="212"/>
      <c r="BL316" s="212"/>
      <c r="BM316" s="212"/>
      <c r="BN316" s="212"/>
      <c r="BO316" s="212"/>
      <c r="BP316" s="212"/>
      <c r="BQ316" s="212"/>
      <c r="BR316" s="212"/>
      <c r="BS316" s="212"/>
      <c r="BT316" s="212"/>
      <c r="BU316" s="212"/>
      <c r="BV316" s="212"/>
      <c r="BW316" s="212"/>
      <c r="BX316" s="212"/>
      <c r="BY316" s="212"/>
      <c r="BZ316" s="212"/>
      <c r="CA316" s="212"/>
      <c r="CB316" s="212"/>
      <c r="CC316" s="212"/>
      <c r="CD316" s="212"/>
      <c r="CE316" s="212"/>
    </row>
    <row r="317" spans="1:83" ht="12.75" customHeight="1" outlineLevel="1" x14ac:dyDescent="0.2">
      <c r="A317" s="316" t="s">
        <v>1117</v>
      </c>
      <c r="B317" s="38"/>
      <c r="C317" s="354"/>
      <c r="D317" s="354"/>
      <c r="E317" s="32"/>
      <c r="F317" s="319"/>
      <c r="G317" s="1168"/>
      <c r="H317" s="1168"/>
      <c r="I317" s="845"/>
      <c r="J317" s="751"/>
      <c r="K317" s="751"/>
      <c r="L317" s="489">
        <f t="shared" si="209"/>
        <v>0</v>
      </c>
      <c r="M317" s="489">
        <f t="shared" si="210"/>
        <v>0</v>
      </c>
      <c r="N317" s="357" t="str">
        <f t="shared" si="211"/>
        <v/>
      </c>
      <c r="O317" s="512"/>
      <c r="P317" s="506"/>
      <c r="Q317" s="507"/>
      <c r="R317" s="505"/>
      <c r="S317" s="514"/>
      <c r="T317" s="526"/>
      <c r="U317" s="527"/>
      <c r="V317" s="397">
        <f t="shared" si="208"/>
        <v>0</v>
      </c>
      <c r="W317" s="397">
        <f t="shared" si="212"/>
        <v>0</v>
      </c>
      <c r="X317" s="512"/>
      <c r="Y317" s="508"/>
      <c r="Z317" s="507"/>
      <c r="AA317" s="505"/>
      <c r="AB317" s="295"/>
      <c r="AC317" s="305"/>
      <c r="AD317" s="799"/>
      <c r="AE317" s="800"/>
      <c r="AF317" s="829"/>
      <c r="AG317" s="1137">
        <f t="shared" si="204"/>
        <v>0</v>
      </c>
      <c r="AH317" s="799"/>
      <c r="AI317" s="800"/>
      <c r="AJ317" s="829"/>
      <c r="AK317" s="1137">
        <f t="shared" si="205"/>
        <v>0</v>
      </c>
      <c r="AL317" s="799"/>
      <c r="AM317" s="800"/>
      <c r="AN317" s="829"/>
      <c r="AO317" s="1137">
        <f t="shared" si="206"/>
        <v>0</v>
      </c>
      <c r="AP317" s="1079">
        <f t="shared" si="213"/>
        <v>0</v>
      </c>
      <c r="AQ317" s="1079">
        <f t="shared" si="201"/>
        <v>0</v>
      </c>
      <c r="AR317" s="1080">
        <f t="shared" si="202"/>
        <v>0</v>
      </c>
      <c r="AS317" s="307"/>
      <c r="AT317" s="307"/>
      <c r="AU317" s="307"/>
      <c r="AV317" s="307"/>
      <c r="AW317" s="307"/>
      <c r="AX317" s="307"/>
      <c r="AY317" s="307"/>
      <c r="AZ317" s="307"/>
      <c r="BA317" s="307"/>
      <c r="BB317" s="196"/>
      <c r="BC317" s="196"/>
      <c r="BD317" s="212"/>
      <c r="BE317" s="212"/>
      <c r="BF317" s="212"/>
      <c r="BG317" s="212"/>
      <c r="BH317" s="212"/>
      <c r="BI317" s="212"/>
      <c r="BJ317" s="212"/>
      <c r="BK317" s="212"/>
      <c r="BL317" s="212"/>
      <c r="BM317" s="212"/>
      <c r="BN317" s="212"/>
      <c r="BO317" s="212"/>
      <c r="BP317" s="212"/>
      <c r="BQ317" s="212"/>
      <c r="BR317" s="212"/>
      <c r="BS317" s="212"/>
      <c r="BT317" s="212"/>
      <c r="BU317" s="212"/>
      <c r="BV317" s="212"/>
      <c r="BW317" s="212"/>
      <c r="BX317" s="212"/>
      <c r="BY317" s="212"/>
      <c r="BZ317" s="212"/>
      <c r="CA317" s="212"/>
      <c r="CB317" s="212"/>
      <c r="CC317" s="212"/>
      <c r="CD317" s="212"/>
      <c r="CE317" s="212"/>
    </row>
    <row r="318" spans="1:83" ht="12.75" customHeight="1" outlineLevel="1" x14ac:dyDescent="0.2">
      <c r="A318" s="316" t="s">
        <v>1118</v>
      </c>
      <c r="B318" s="38"/>
      <c r="C318" s="354"/>
      <c r="D318" s="354"/>
      <c r="E318" s="32"/>
      <c r="F318" s="319"/>
      <c r="G318" s="1168"/>
      <c r="H318" s="1168"/>
      <c r="I318" s="845"/>
      <c r="J318" s="751"/>
      <c r="K318" s="751"/>
      <c r="L318" s="489">
        <f t="shared" si="209"/>
        <v>0</v>
      </c>
      <c r="M318" s="489">
        <f t="shared" si="210"/>
        <v>0</v>
      </c>
      <c r="N318" s="357" t="str">
        <f t="shared" si="211"/>
        <v/>
      </c>
      <c r="O318" s="512"/>
      <c r="P318" s="506"/>
      <c r="Q318" s="507"/>
      <c r="R318" s="505"/>
      <c r="S318" s="514"/>
      <c r="T318" s="526"/>
      <c r="U318" s="527"/>
      <c r="V318" s="397">
        <f t="shared" si="208"/>
        <v>0</v>
      </c>
      <c r="W318" s="397">
        <f t="shared" si="212"/>
        <v>0</v>
      </c>
      <c r="X318" s="512"/>
      <c r="Y318" s="508"/>
      <c r="Z318" s="507"/>
      <c r="AA318" s="505"/>
      <c r="AB318" s="295"/>
      <c r="AC318" s="305"/>
      <c r="AD318" s="799"/>
      <c r="AE318" s="800"/>
      <c r="AF318" s="829"/>
      <c r="AG318" s="1137">
        <f t="shared" si="204"/>
        <v>0</v>
      </c>
      <c r="AH318" s="799"/>
      <c r="AI318" s="800"/>
      <c r="AJ318" s="829"/>
      <c r="AK318" s="1137">
        <f t="shared" si="205"/>
        <v>0</v>
      </c>
      <c r="AL318" s="799"/>
      <c r="AM318" s="800"/>
      <c r="AN318" s="829"/>
      <c r="AO318" s="1137">
        <f t="shared" si="206"/>
        <v>0</v>
      </c>
      <c r="AP318" s="1079">
        <f t="shared" si="213"/>
        <v>0</v>
      </c>
      <c r="AQ318" s="1079">
        <f t="shared" si="201"/>
        <v>0</v>
      </c>
      <c r="AR318" s="1080">
        <f t="shared" si="202"/>
        <v>0</v>
      </c>
      <c r="AS318" s="307"/>
      <c r="AT318" s="307"/>
      <c r="AU318" s="307"/>
      <c r="AV318" s="307"/>
      <c r="AW318" s="307"/>
      <c r="AX318" s="307"/>
      <c r="AY318" s="307"/>
      <c r="AZ318" s="307"/>
      <c r="BA318" s="307"/>
      <c r="BB318" s="196"/>
      <c r="BC318" s="196"/>
      <c r="BD318" s="212"/>
      <c r="BE318" s="212"/>
      <c r="BF318" s="212"/>
      <c r="BG318" s="212"/>
      <c r="BH318" s="212"/>
      <c r="BI318" s="212"/>
      <c r="BJ318" s="212"/>
      <c r="BK318" s="212"/>
      <c r="BL318" s="212"/>
      <c r="BM318" s="212"/>
      <c r="BN318" s="212"/>
      <c r="BO318" s="212"/>
      <c r="BP318" s="212"/>
      <c r="BQ318" s="212"/>
      <c r="BR318" s="212"/>
      <c r="BS318" s="212"/>
      <c r="BT318" s="212"/>
      <c r="BU318" s="212"/>
      <c r="BV318" s="212"/>
      <c r="BW318" s="212"/>
      <c r="BX318" s="212"/>
      <c r="BY318" s="212"/>
      <c r="BZ318" s="212"/>
      <c r="CA318" s="212"/>
      <c r="CB318" s="212"/>
      <c r="CC318" s="212"/>
      <c r="CD318" s="212"/>
      <c r="CE318" s="212"/>
    </row>
    <row r="319" spans="1:83" ht="12.75" customHeight="1" outlineLevel="1" x14ac:dyDescent="0.2">
      <c r="A319" s="316" t="s">
        <v>1119</v>
      </c>
      <c r="B319" s="38"/>
      <c r="C319" s="354"/>
      <c r="D319" s="354"/>
      <c r="E319" s="32"/>
      <c r="F319" s="319"/>
      <c r="G319" s="1168"/>
      <c r="H319" s="1168"/>
      <c r="I319" s="845"/>
      <c r="J319" s="751"/>
      <c r="K319" s="751"/>
      <c r="L319" s="489">
        <f t="shared" si="209"/>
        <v>0</v>
      </c>
      <c r="M319" s="489">
        <f t="shared" si="210"/>
        <v>0</v>
      </c>
      <c r="N319" s="357" t="str">
        <f t="shared" si="211"/>
        <v/>
      </c>
      <c r="O319" s="512"/>
      <c r="P319" s="506"/>
      <c r="Q319" s="507"/>
      <c r="R319" s="505"/>
      <c r="S319" s="514"/>
      <c r="T319" s="526"/>
      <c r="U319" s="527"/>
      <c r="V319" s="397">
        <f t="shared" si="208"/>
        <v>0</v>
      </c>
      <c r="W319" s="397">
        <f t="shared" si="212"/>
        <v>0</v>
      </c>
      <c r="X319" s="512"/>
      <c r="Y319" s="508"/>
      <c r="Z319" s="507"/>
      <c r="AA319" s="505"/>
      <c r="AB319" s="295"/>
      <c r="AC319" s="305"/>
      <c r="AD319" s="799"/>
      <c r="AE319" s="800"/>
      <c r="AF319" s="829"/>
      <c r="AG319" s="1137">
        <f t="shared" si="204"/>
        <v>0</v>
      </c>
      <c r="AH319" s="799"/>
      <c r="AI319" s="800"/>
      <c r="AJ319" s="829"/>
      <c r="AK319" s="1137">
        <f t="shared" si="205"/>
        <v>0</v>
      </c>
      <c r="AL319" s="799"/>
      <c r="AM319" s="800"/>
      <c r="AN319" s="829"/>
      <c r="AO319" s="1137">
        <f t="shared" si="206"/>
        <v>0</v>
      </c>
      <c r="AP319" s="1079">
        <f t="shared" si="213"/>
        <v>0</v>
      </c>
      <c r="AQ319" s="1079">
        <f t="shared" si="201"/>
        <v>0</v>
      </c>
      <c r="AR319" s="1080">
        <f t="shared" si="202"/>
        <v>0</v>
      </c>
      <c r="AS319" s="307"/>
      <c r="AT319" s="307"/>
      <c r="AU319" s="307"/>
      <c r="AV319" s="307"/>
      <c r="AW319" s="307"/>
      <c r="AX319" s="307"/>
      <c r="AY319" s="307"/>
      <c r="AZ319" s="307"/>
      <c r="BA319" s="307"/>
      <c r="BB319" s="196"/>
      <c r="BC319" s="196"/>
      <c r="BD319" s="212"/>
      <c r="BE319" s="212"/>
      <c r="BF319" s="212"/>
      <c r="BG319" s="212"/>
      <c r="BH319" s="212"/>
      <c r="BI319" s="212"/>
      <c r="BJ319" s="212"/>
      <c r="BK319" s="212"/>
      <c r="BL319" s="212"/>
      <c r="BM319" s="212"/>
      <c r="BN319" s="212"/>
      <c r="BO319" s="212"/>
      <c r="BP319" s="212"/>
      <c r="BQ319" s="212"/>
      <c r="BR319" s="212"/>
      <c r="BS319" s="212"/>
      <c r="BT319" s="212"/>
      <c r="BU319" s="212"/>
      <c r="BV319" s="212"/>
      <c r="BW319" s="212"/>
      <c r="BX319" s="212"/>
      <c r="BY319" s="212"/>
      <c r="BZ319" s="212"/>
      <c r="CA319" s="212"/>
      <c r="CB319" s="212"/>
      <c r="CC319" s="212"/>
      <c r="CD319" s="212"/>
      <c r="CE319" s="212"/>
    </row>
    <row r="320" spans="1:83" ht="12.75" customHeight="1" outlineLevel="1" x14ac:dyDescent="0.2">
      <c r="A320" s="316" t="s">
        <v>1120</v>
      </c>
      <c r="B320" s="38"/>
      <c r="C320" s="354"/>
      <c r="D320" s="354"/>
      <c r="E320" s="32"/>
      <c r="F320" s="319"/>
      <c r="G320" s="1168"/>
      <c r="H320" s="1168"/>
      <c r="I320" s="845"/>
      <c r="J320" s="751"/>
      <c r="K320" s="751"/>
      <c r="L320" s="489">
        <f t="shared" si="209"/>
        <v>0</v>
      </c>
      <c r="M320" s="489">
        <f t="shared" si="210"/>
        <v>0</v>
      </c>
      <c r="N320" s="357" t="str">
        <f t="shared" si="211"/>
        <v/>
      </c>
      <c r="O320" s="512"/>
      <c r="P320" s="506"/>
      <c r="Q320" s="507"/>
      <c r="R320" s="505"/>
      <c r="S320" s="514"/>
      <c r="T320" s="526"/>
      <c r="U320" s="527"/>
      <c r="V320" s="397">
        <f t="shared" si="208"/>
        <v>0</v>
      </c>
      <c r="W320" s="397">
        <f t="shared" si="212"/>
        <v>0</v>
      </c>
      <c r="X320" s="512"/>
      <c r="Y320" s="508"/>
      <c r="Z320" s="507"/>
      <c r="AA320" s="505"/>
      <c r="AB320" s="295"/>
      <c r="AC320" s="305"/>
      <c r="AD320" s="799"/>
      <c r="AE320" s="800"/>
      <c r="AF320" s="829"/>
      <c r="AG320" s="1137">
        <f t="shared" si="204"/>
        <v>0</v>
      </c>
      <c r="AH320" s="799"/>
      <c r="AI320" s="800"/>
      <c r="AJ320" s="829"/>
      <c r="AK320" s="1137">
        <f t="shared" si="205"/>
        <v>0</v>
      </c>
      <c r="AL320" s="799"/>
      <c r="AM320" s="800"/>
      <c r="AN320" s="829"/>
      <c r="AO320" s="1137">
        <f t="shared" si="206"/>
        <v>0</v>
      </c>
      <c r="AP320" s="1079">
        <f t="shared" si="213"/>
        <v>0</v>
      </c>
      <c r="AQ320" s="1079">
        <f t="shared" si="201"/>
        <v>0</v>
      </c>
      <c r="AR320" s="1080">
        <f t="shared" si="202"/>
        <v>0</v>
      </c>
      <c r="AS320" s="307"/>
      <c r="AT320" s="307"/>
      <c r="AU320" s="307"/>
      <c r="AV320" s="307"/>
      <c r="AW320" s="307"/>
      <c r="AX320" s="307"/>
      <c r="AY320" s="307"/>
      <c r="AZ320" s="307"/>
      <c r="BA320" s="307"/>
      <c r="BB320" s="196"/>
      <c r="BC320" s="196"/>
      <c r="BD320" s="212"/>
      <c r="BE320" s="212"/>
      <c r="BF320" s="212"/>
      <c r="BG320" s="212"/>
      <c r="BH320" s="212"/>
      <c r="BI320" s="212"/>
      <c r="BJ320" s="212"/>
      <c r="BK320" s="212"/>
      <c r="BL320" s="212"/>
      <c r="BM320" s="212"/>
      <c r="BN320" s="212"/>
      <c r="BO320" s="212"/>
      <c r="BP320" s="212"/>
      <c r="BQ320" s="212"/>
      <c r="BR320" s="212"/>
      <c r="BS320" s="212"/>
      <c r="BT320" s="212"/>
      <c r="BU320" s="212"/>
      <c r="BV320" s="212"/>
      <c r="BW320" s="212"/>
      <c r="BX320" s="212"/>
      <c r="BY320" s="212"/>
      <c r="BZ320" s="212"/>
      <c r="CA320" s="212"/>
      <c r="CB320" s="212"/>
      <c r="CC320" s="212"/>
      <c r="CD320" s="212"/>
      <c r="CE320" s="212"/>
    </row>
    <row r="321" spans="1:83" ht="12.75" customHeight="1" outlineLevel="1" x14ac:dyDescent="0.2">
      <c r="A321" s="316" t="s">
        <v>1121</v>
      </c>
      <c r="B321" s="38"/>
      <c r="C321" s="354"/>
      <c r="D321" s="354"/>
      <c r="E321" s="32"/>
      <c r="F321" s="319"/>
      <c r="G321" s="1168"/>
      <c r="H321" s="1168"/>
      <c r="I321" s="845"/>
      <c r="J321" s="751"/>
      <c r="K321" s="751"/>
      <c r="L321" s="489">
        <f t="shared" si="209"/>
        <v>0</v>
      </c>
      <c r="M321" s="489">
        <f t="shared" si="210"/>
        <v>0</v>
      </c>
      <c r="N321" s="357" t="str">
        <f t="shared" si="211"/>
        <v/>
      </c>
      <c r="O321" s="512"/>
      <c r="P321" s="506"/>
      <c r="Q321" s="507"/>
      <c r="R321" s="505"/>
      <c r="S321" s="514"/>
      <c r="T321" s="526"/>
      <c r="U321" s="527"/>
      <c r="V321" s="397">
        <f t="shared" si="208"/>
        <v>0</v>
      </c>
      <c r="W321" s="397">
        <f t="shared" si="212"/>
        <v>0</v>
      </c>
      <c r="X321" s="512"/>
      <c r="Y321" s="508"/>
      <c r="Z321" s="507"/>
      <c r="AA321" s="505"/>
      <c r="AB321" s="295"/>
      <c r="AC321" s="305"/>
      <c r="AD321" s="799"/>
      <c r="AE321" s="800"/>
      <c r="AF321" s="829"/>
      <c r="AG321" s="1137">
        <f t="shared" si="204"/>
        <v>0</v>
      </c>
      <c r="AH321" s="799"/>
      <c r="AI321" s="800"/>
      <c r="AJ321" s="829"/>
      <c r="AK321" s="1137">
        <f t="shared" si="205"/>
        <v>0</v>
      </c>
      <c r="AL321" s="799"/>
      <c r="AM321" s="800"/>
      <c r="AN321" s="829"/>
      <c r="AO321" s="1137">
        <f t="shared" si="206"/>
        <v>0</v>
      </c>
      <c r="AP321" s="1079">
        <f t="shared" si="213"/>
        <v>0</v>
      </c>
      <c r="AQ321" s="1079">
        <f t="shared" si="201"/>
        <v>0</v>
      </c>
      <c r="AR321" s="1080">
        <f t="shared" si="202"/>
        <v>0</v>
      </c>
      <c r="AS321" s="307"/>
      <c r="AT321" s="307"/>
      <c r="AU321" s="307"/>
      <c r="AV321" s="307"/>
      <c r="AW321" s="307"/>
      <c r="AX321" s="307"/>
      <c r="AY321" s="307"/>
      <c r="AZ321" s="307"/>
      <c r="BA321" s="307"/>
      <c r="BB321" s="196"/>
      <c r="BC321" s="196"/>
      <c r="BD321" s="212"/>
      <c r="BE321" s="212"/>
      <c r="BF321" s="212"/>
      <c r="BG321" s="212"/>
      <c r="BH321" s="212"/>
      <c r="BI321" s="212"/>
      <c r="BJ321" s="212"/>
      <c r="BK321" s="212"/>
      <c r="BL321" s="212"/>
      <c r="BM321" s="212"/>
      <c r="BN321" s="212"/>
      <c r="BO321" s="212"/>
      <c r="BP321" s="212"/>
      <c r="BQ321" s="212"/>
      <c r="BR321" s="212"/>
      <c r="BS321" s="212"/>
      <c r="BT321" s="212"/>
      <c r="BU321" s="212"/>
      <c r="BV321" s="212"/>
      <c r="BW321" s="212"/>
      <c r="BX321" s="212"/>
      <c r="BY321" s="212"/>
      <c r="BZ321" s="212"/>
      <c r="CA321" s="212"/>
      <c r="CB321" s="212"/>
      <c r="CC321" s="212"/>
      <c r="CD321" s="212"/>
      <c r="CE321" s="212"/>
    </row>
    <row r="322" spans="1:83" ht="12.75" customHeight="1" outlineLevel="1" x14ac:dyDescent="0.2">
      <c r="A322" s="316" t="s">
        <v>1122</v>
      </c>
      <c r="B322" s="38"/>
      <c r="C322" s="354"/>
      <c r="D322" s="354"/>
      <c r="E322" s="32"/>
      <c r="F322" s="319"/>
      <c r="G322" s="1168"/>
      <c r="H322" s="1168"/>
      <c r="I322" s="845"/>
      <c r="J322" s="751"/>
      <c r="K322" s="751"/>
      <c r="L322" s="489">
        <f t="shared" si="209"/>
        <v>0</v>
      </c>
      <c r="M322" s="489">
        <f t="shared" si="210"/>
        <v>0</v>
      </c>
      <c r="N322" s="357" t="str">
        <f t="shared" si="211"/>
        <v/>
      </c>
      <c r="O322" s="512"/>
      <c r="P322" s="506"/>
      <c r="Q322" s="507"/>
      <c r="R322" s="505"/>
      <c r="S322" s="514"/>
      <c r="T322" s="526"/>
      <c r="U322" s="527"/>
      <c r="V322" s="397">
        <f t="shared" si="207"/>
        <v>0</v>
      </c>
      <c r="W322" s="397">
        <f t="shared" si="212"/>
        <v>0</v>
      </c>
      <c r="X322" s="512"/>
      <c r="Y322" s="508"/>
      <c r="Z322" s="507"/>
      <c r="AA322" s="505"/>
      <c r="AB322" s="295"/>
      <c r="AC322" s="305"/>
      <c r="AD322" s="799"/>
      <c r="AE322" s="800"/>
      <c r="AF322" s="829"/>
      <c r="AG322" s="1137">
        <f t="shared" si="204"/>
        <v>0</v>
      </c>
      <c r="AH322" s="799"/>
      <c r="AI322" s="800"/>
      <c r="AJ322" s="829"/>
      <c r="AK322" s="1137">
        <f t="shared" si="205"/>
        <v>0</v>
      </c>
      <c r="AL322" s="799"/>
      <c r="AM322" s="800"/>
      <c r="AN322" s="829"/>
      <c r="AO322" s="1137">
        <f t="shared" si="206"/>
        <v>0</v>
      </c>
      <c r="AP322" s="1079">
        <f t="shared" si="213"/>
        <v>0</v>
      </c>
      <c r="AQ322" s="1079">
        <f t="shared" si="201"/>
        <v>0</v>
      </c>
      <c r="AR322" s="1080">
        <f t="shared" si="202"/>
        <v>0</v>
      </c>
      <c r="AS322" s="307"/>
      <c r="AT322" s="307"/>
      <c r="AU322" s="307"/>
      <c r="AV322" s="307"/>
      <c r="AW322" s="307"/>
      <c r="AX322" s="307"/>
      <c r="AY322" s="307"/>
      <c r="AZ322" s="307"/>
      <c r="BA322" s="307"/>
      <c r="BB322" s="196"/>
      <c r="BC322" s="196"/>
      <c r="BD322" s="212"/>
      <c r="BE322" s="212"/>
      <c r="BF322" s="212"/>
      <c r="BG322" s="212"/>
      <c r="BH322" s="212"/>
      <c r="BI322" s="212"/>
      <c r="BJ322" s="212"/>
      <c r="BK322" s="212"/>
      <c r="BL322" s="212"/>
      <c r="BM322" s="212"/>
      <c r="BN322" s="212"/>
      <c r="BO322" s="212"/>
      <c r="BP322" s="212"/>
      <c r="BQ322" s="212"/>
      <c r="BR322" s="212"/>
      <c r="BS322" s="212"/>
      <c r="BT322" s="212"/>
      <c r="BU322" s="212"/>
      <c r="BV322" s="212"/>
      <c r="BW322" s="212"/>
      <c r="BX322" s="212"/>
      <c r="BY322" s="212"/>
      <c r="BZ322" s="212"/>
      <c r="CA322" s="212"/>
      <c r="CB322" s="212"/>
      <c r="CC322" s="212"/>
      <c r="CD322" s="212"/>
      <c r="CE322" s="212"/>
    </row>
    <row r="323" spans="1:83" ht="12.75" customHeight="1" outlineLevel="1" x14ac:dyDescent="0.2">
      <c r="A323" s="316" t="s">
        <v>1123</v>
      </c>
      <c r="B323" s="38"/>
      <c r="C323" s="354"/>
      <c r="D323" s="354"/>
      <c r="E323" s="32"/>
      <c r="F323" s="319"/>
      <c r="G323" s="1168"/>
      <c r="H323" s="1168"/>
      <c r="I323" s="845"/>
      <c r="J323" s="751"/>
      <c r="K323" s="751"/>
      <c r="L323" s="489">
        <f t="shared" si="209"/>
        <v>0</v>
      </c>
      <c r="M323" s="489">
        <f t="shared" si="210"/>
        <v>0</v>
      </c>
      <c r="N323" s="357" t="str">
        <f t="shared" si="211"/>
        <v/>
      </c>
      <c r="O323" s="512"/>
      <c r="P323" s="506"/>
      <c r="Q323" s="507"/>
      <c r="R323" s="505"/>
      <c r="S323" s="514"/>
      <c r="T323" s="526"/>
      <c r="U323" s="527"/>
      <c r="V323" s="397">
        <f t="shared" si="207"/>
        <v>0</v>
      </c>
      <c r="W323" s="397">
        <f t="shared" si="212"/>
        <v>0</v>
      </c>
      <c r="X323" s="512"/>
      <c r="Y323" s="508"/>
      <c r="Z323" s="507"/>
      <c r="AA323" s="505"/>
      <c r="AB323" s="295"/>
      <c r="AC323" s="305"/>
      <c r="AD323" s="799"/>
      <c r="AE323" s="800"/>
      <c r="AF323" s="829"/>
      <c r="AG323" s="1137">
        <f t="shared" si="204"/>
        <v>0</v>
      </c>
      <c r="AH323" s="799"/>
      <c r="AI323" s="800"/>
      <c r="AJ323" s="829"/>
      <c r="AK323" s="1137">
        <f t="shared" si="205"/>
        <v>0</v>
      </c>
      <c r="AL323" s="799"/>
      <c r="AM323" s="800"/>
      <c r="AN323" s="829"/>
      <c r="AO323" s="1137">
        <f t="shared" si="206"/>
        <v>0</v>
      </c>
      <c r="AP323" s="1079">
        <f t="shared" si="213"/>
        <v>0</v>
      </c>
      <c r="AQ323" s="1079">
        <f t="shared" si="201"/>
        <v>0</v>
      </c>
      <c r="AR323" s="1080">
        <f t="shared" si="202"/>
        <v>0</v>
      </c>
      <c r="AS323" s="307"/>
      <c r="AT323" s="307"/>
      <c r="AU323" s="307"/>
      <c r="AV323" s="307"/>
      <c r="AW323" s="307"/>
      <c r="AX323" s="307"/>
      <c r="AY323" s="307"/>
      <c r="AZ323" s="307"/>
      <c r="BA323" s="307"/>
      <c r="BB323" s="196"/>
      <c r="BC323" s="196"/>
      <c r="BD323" s="212"/>
      <c r="BE323" s="212"/>
      <c r="BF323" s="212"/>
      <c r="BG323" s="212"/>
      <c r="BH323" s="212"/>
      <c r="BI323" s="212"/>
      <c r="BJ323" s="212"/>
      <c r="BK323" s="212"/>
      <c r="BL323" s="212"/>
      <c r="BM323" s="212"/>
      <c r="BN323" s="212"/>
      <c r="BO323" s="212"/>
      <c r="BP323" s="212"/>
      <c r="BQ323" s="212"/>
      <c r="BR323" s="212"/>
      <c r="BS323" s="212"/>
      <c r="BT323" s="212"/>
      <c r="BU323" s="212"/>
      <c r="BV323" s="212"/>
      <c r="BW323" s="212"/>
      <c r="BX323" s="212"/>
      <c r="BY323" s="212"/>
      <c r="BZ323" s="212"/>
      <c r="CA323" s="212"/>
      <c r="CB323" s="212"/>
      <c r="CC323" s="212"/>
      <c r="CD323" s="212"/>
      <c r="CE323" s="212"/>
    </row>
    <row r="324" spans="1:83" x14ac:dyDescent="0.2">
      <c r="A324" s="1110"/>
      <c r="B324" s="1106" t="str">
        <f>IF(Stammblatt!$L$4=1,'Kalkulation Herstellungskosten'!BB324,'Kalkulation Herstellungskosten'!BC324)</f>
        <v>Σ-Honorare</v>
      </c>
      <c r="C324" s="1125"/>
      <c r="D324" s="1126"/>
      <c r="E324" s="372"/>
      <c r="F324" s="372">
        <f ca="1">SUM(E264:E323)</f>
        <v>0</v>
      </c>
      <c r="G324" s="372"/>
      <c r="H324" s="372"/>
      <c r="I324" s="1127"/>
      <c r="J324" s="1128"/>
      <c r="K324" s="372"/>
      <c r="L324" s="372"/>
      <c r="M324" s="372"/>
      <c r="N324" s="1130"/>
      <c r="O324" s="1051">
        <f>SUM(O264:O323)</f>
        <v>0</v>
      </c>
      <c r="P324" s="1051">
        <f t="shared" ref="P324:R324" si="214">SUM(P264:P323)</f>
        <v>0</v>
      </c>
      <c r="Q324" s="1051">
        <f t="shared" si="214"/>
        <v>0</v>
      </c>
      <c r="R324" s="1051">
        <f t="shared" si="214"/>
        <v>0</v>
      </c>
      <c r="S324" s="1046"/>
      <c r="T324" s="1133">
        <f>SUM(T264:T323)</f>
        <v>0</v>
      </c>
      <c r="U324" s="1051">
        <f>SUM(U264:U323)</f>
        <v>0</v>
      </c>
      <c r="V324" s="1051">
        <f>SUM(V264:V323)</f>
        <v>0</v>
      </c>
      <c r="W324" s="1048">
        <f ca="1">F324-V324</f>
        <v>0</v>
      </c>
      <c r="X324" s="1051">
        <f>SUM(X264:X323)</f>
        <v>0</v>
      </c>
      <c r="Y324" s="1051">
        <f>SUM(Y264:Y323)</f>
        <v>0</v>
      </c>
      <c r="Z324" s="1051">
        <f t="shared" ref="Z324:AA324" si="215">SUM(Z264:Z323)</f>
        <v>0</v>
      </c>
      <c r="AA324" s="1051">
        <f t="shared" si="215"/>
        <v>0</v>
      </c>
      <c r="AB324" s="328"/>
      <c r="AC324" s="1062"/>
      <c r="AD324" s="1134">
        <f>SUM(AD264:AD323)</f>
        <v>0</v>
      </c>
      <c r="AE324" s="820">
        <f t="shared" ref="AE324:AG324" si="216">SUM(AE264:AE323)</f>
        <v>0</v>
      </c>
      <c r="AF324" s="532">
        <f t="shared" si="216"/>
        <v>0</v>
      </c>
      <c r="AG324" s="532">
        <f t="shared" si="216"/>
        <v>0</v>
      </c>
      <c r="AH324" s="1134">
        <f t="shared" ref="AH324:AL324" si="217">SUM(AH264:AH323)</f>
        <v>0</v>
      </c>
      <c r="AI324" s="820">
        <f t="shared" ref="AI324:AK324" si="218">SUM(AI264:AI323)</f>
        <v>0</v>
      </c>
      <c r="AJ324" s="532">
        <f t="shared" si="218"/>
        <v>0</v>
      </c>
      <c r="AK324" s="532">
        <f t="shared" si="218"/>
        <v>0</v>
      </c>
      <c r="AL324" s="1134">
        <f t="shared" si="217"/>
        <v>0</v>
      </c>
      <c r="AM324" s="820">
        <f t="shared" ref="AM324:AO324" si="219">SUM(AM264:AM323)</f>
        <v>0</v>
      </c>
      <c r="AN324" s="532">
        <f t="shared" si="219"/>
        <v>0</v>
      </c>
      <c r="AO324" s="532">
        <f t="shared" si="219"/>
        <v>0</v>
      </c>
      <c r="AP324" s="1079">
        <f t="shared" ref="AP324" ca="1" si="220">SUM(F324,AD324,AH324,AL324)</f>
        <v>0</v>
      </c>
      <c r="AQ324" s="1079">
        <f t="shared" si="201"/>
        <v>0</v>
      </c>
      <c r="AR324" s="1080">
        <f t="shared" ca="1" si="202"/>
        <v>0</v>
      </c>
      <c r="AS324" s="307"/>
      <c r="AT324" s="307"/>
      <c r="AU324" s="307"/>
      <c r="AV324" s="307"/>
      <c r="AW324" s="307"/>
      <c r="AX324" s="307"/>
      <c r="AY324" s="307"/>
      <c r="AZ324" s="307"/>
      <c r="BA324" s="307"/>
      <c r="BB324" s="196" t="s">
        <v>223</v>
      </c>
      <c r="BC324" s="196" t="s">
        <v>357</v>
      </c>
      <c r="BD324" s="212"/>
      <c r="BE324" s="212"/>
      <c r="BF324" s="212"/>
      <c r="BG324" s="212"/>
      <c r="BH324" s="212"/>
      <c r="BI324" s="212"/>
      <c r="BJ324" s="212"/>
      <c r="BK324" s="212"/>
      <c r="BL324" s="212"/>
      <c r="BM324" s="212"/>
      <c r="BN324" s="212"/>
      <c r="BO324" s="212"/>
      <c r="BP324" s="212"/>
      <c r="BQ324" s="212"/>
      <c r="BR324" s="212"/>
      <c r="BS324" s="212"/>
      <c r="BT324" s="212"/>
      <c r="BU324" s="212"/>
      <c r="BV324" s="212"/>
      <c r="BW324" s="212"/>
      <c r="BX324" s="212"/>
      <c r="BY324" s="212"/>
      <c r="BZ324" s="212"/>
      <c r="CA324" s="212"/>
      <c r="CB324" s="212"/>
      <c r="CC324" s="212"/>
      <c r="CD324" s="212"/>
      <c r="CE324" s="212"/>
    </row>
    <row r="325" spans="1:83" x14ac:dyDescent="0.2">
      <c r="A325" s="1055"/>
      <c r="B325" s="496"/>
      <c r="C325" s="490"/>
      <c r="D325" s="328"/>
      <c r="E325" s="371"/>
      <c r="F325" s="371"/>
      <c r="G325" s="1056"/>
      <c r="H325" s="1056"/>
      <c r="I325" s="1057"/>
      <c r="J325" s="1058"/>
      <c r="K325" s="1056"/>
      <c r="L325" s="1056"/>
      <c r="M325" s="1056"/>
      <c r="N325" s="335"/>
      <c r="O325" s="1059"/>
      <c r="P325" s="1059"/>
      <c r="Q325" s="1059"/>
      <c r="R325" s="1059"/>
      <c r="S325" s="1046"/>
      <c r="T325" s="1060"/>
      <c r="U325" s="1041"/>
      <c r="V325" s="1041"/>
      <c r="W325" s="1041"/>
      <c r="X325" s="1041"/>
      <c r="Y325" s="1059"/>
      <c r="Z325" s="1059"/>
      <c r="AA325" s="1059"/>
      <c r="AB325" s="328"/>
      <c r="AC325" s="1062"/>
      <c r="AD325" s="532"/>
      <c r="AE325" s="1151"/>
      <c r="AF325" s="822"/>
      <c r="AG325" s="822"/>
      <c r="AH325" s="532"/>
      <c r="AI325" s="1151"/>
      <c r="AJ325" s="822"/>
      <c r="AK325" s="822"/>
      <c r="AL325" s="532"/>
      <c r="AM325" s="1151"/>
      <c r="AN325" s="822"/>
      <c r="AO325" s="822"/>
      <c r="AP325" s="822"/>
      <c r="AQ325" s="822"/>
      <c r="AR325" s="822"/>
      <c r="AS325" s="307"/>
      <c r="AT325" s="307"/>
      <c r="AU325" s="307"/>
      <c r="AV325" s="307"/>
      <c r="AW325" s="307"/>
      <c r="AX325" s="307"/>
      <c r="AY325" s="307"/>
      <c r="AZ325" s="307"/>
      <c r="BA325" s="307"/>
      <c r="BB325" s="196"/>
      <c r="BC325" s="196"/>
      <c r="BD325" s="212"/>
      <c r="BE325" s="212"/>
      <c r="BF325" s="212"/>
      <c r="BG325" s="212"/>
      <c r="BH325" s="212"/>
      <c r="BI325" s="212"/>
      <c r="BJ325" s="212"/>
      <c r="BK325" s="212"/>
      <c r="BL325" s="212"/>
      <c r="BM325" s="212"/>
      <c r="BN325" s="212"/>
      <c r="BO325" s="212"/>
      <c r="BP325" s="212"/>
      <c r="BQ325" s="212"/>
      <c r="BR325" s="212"/>
      <c r="BS325" s="212"/>
      <c r="BT325" s="212"/>
      <c r="BU325" s="212"/>
      <c r="BV325" s="212"/>
      <c r="BW325" s="212"/>
      <c r="BX325" s="212"/>
      <c r="BY325" s="212"/>
      <c r="BZ325" s="212"/>
      <c r="CA325" s="212"/>
      <c r="CB325" s="212"/>
      <c r="CC325" s="212"/>
      <c r="CD325" s="212"/>
      <c r="CE325" s="212"/>
    </row>
    <row r="326" spans="1:83" x14ac:dyDescent="0.2">
      <c r="A326" s="1092"/>
      <c r="B326" s="1090" t="str">
        <f>IF(Stammblatt!$L$4=1,'Kalkulation Herstellungskosten'!BB326,'Kalkulation Herstellungskosten'!BC326)</f>
        <v>Σ-Gagen, Löhne, Honorare</v>
      </c>
      <c r="C326" s="1152"/>
      <c r="D326" s="1153"/>
      <c r="E326" s="1154"/>
      <c r="F326" s="1154">
        <f ca="1">SUM(F245,F247,F248,F257,F260,F261,F324)</f>
        <v>0</v>
      </c>
      <c r="G326" s="1154"/>
      <c r="H326" s="1154"/>
      <c r="I326" s="1155"/>
      <c r="J326" s="1156"/>
      <c r="K326" s="1154"/>
      <c r="L326" s="1157">
        <f ca="1">SUM(L264:L324,L245)</f>
        <v>0</v>
      </c>
      <c r="M326" s="1157">
        <f ca="1">SUM(M264:M324,M245)</f>
        <v>0</v>
      </c>
      <c r="N326" s="904"/>
      <c r="O326" s="90">
        <f>SUM(O245,O247,O248,O257,O260,O261,O324)</f>
        <v>0</v>
      </c>
      <c r="P326" s="90">
        <f>SUM(P245,P247,P248,P257,P260,P261,P324)</f>
        <v>0</v>
      </c>
      <c r="Q326" s="90">
        <f t="shared" ref="Q326:R326" si="221">SUM(Q245,Q247,Q248,Q257,Q260,Q261,Q324)</f>
        <v>0</v>
      </c>
      <c r="R326" s="90">
        <f t="shared" si="221"/>
        <v>0</v>
      </c>
      <c r="S326" s="1046"/>
      <c r="T326" s="511">
        <f>SUM(T324,T260:T261,T257,T247:T248,T245)</f>
        <v>0</v>
      </c>
      <c r="U326" s="90">
        <f>SUM(U324,U260:U261,U257,U247:U248,U245)</f>
        <v>0</v>
      </c>
      <c r="V326" s="90">
        <f>SUM(V324,V260:V261,V257,V247:V248,V245)</f>
        <v>0</v>
      </c>
      <c r="W326" s="1043">
        <f ca="1">ZS_3_Gagen-V326</f>
        <v>0</v>
      </c>
      <c r="X326" s="90">
        <f>SUM(X245,X247,X248,X257,X260,X261,X324)</f>
        <v>0</v>
      </c>
      <c r="Y326" s="90">
        <f>SUM(Y245,Y247,Y248,Y257,Y260,Y261,Y324)</f>
        <v>0</v>
      </c>
      <c r="Z326" s="90">
        <f t="shared" ref="Z326:AA326" si="222">SUM(Z245,Z247,Z248,Z257,Z260,Z261,Z324)</f>
        <v>0</v>
      </c>
      <c r="AA326" s="90">
        <f t="shared" si="222"/>
        <v>0</v>
      </c>
      <c r="AB326" s="328"/>
      <c r="AC326" s="1062"/>
      <c r="AD326" s="1158">
        <f>SUM(AD245,AD247,AD248,AD257,AD260,AD261,AD324)</f>
        <v>0</v>
      </c>
      <c r="AE326" s="1037">
        <f t="shared" ref="AE326:AG326" si="223">SUM(AE324,AE260:AE261,AE257,AE247:AE248,AE245)</f>
        <v>0</v>
      </c>
      <c r="AF326" s="653">
        <f t="shared" si="223"/>
        <v>0</v>
      </c>
      <c r="AG326" s="653">
        <f t="shared" si="223"/>
        <v>0</v>
      </c>
      <c r="AH326" s="1158">
        <f>SUM(AH245,AH247,AH248,AH257,AH260,AH261,AH324)</f>
        <v>0</v>
      </c>
      <c r="AI326" s="1037">
        <f t="shared" ref="AI326:AK326" si="224">SUM(AI324,AI260:AI261,AI257,AI247:AI248,AI245)</f>
        <v>0</v>
      </c>
      <c r="AJ326" s="653">
        <f t="shared" si="224"/>
        <v>0</v>
      </c>
      <c r="AK326" s="653">
        <f t="shared" si="224"/>
        <v>0</v>
      </c>
      <c r="AL326" s="1158">
        <f>SUM(AL245,AL247,AL248,AL257,AL260,AL261,AL324)</f>
        <v>0</v>
      </c>
      <c r="AM326" s="1037">
        <f t="shared" ref="AM326:AN326" si="225">SUM(AM324,AM260:AM261,AM257,AM247:AM248,AM245)</f>
        <v>0</v>
      </c>
      <c r="AN326" s="653">
        <f t="shared" si="225"/>
        <v>0</v>
      </c>
      <c r="AO326" s="653">
        <f>SUM(AO324,AO260:AO261,AO257,AO247:AO248,AO245)</f>
        <v>0</v>
      </c>
      <c r="AP326" s="653">
        <f ca="1">SUM(AP324,AP260:AP261,AP257,AP247:AP248,AP245)</f>
        <v>0</v>
      </c>
      <c r="AQ326" s="653">
        <f>SUM(AQ324,AQ260:AQ261,AQ257,AQ247:AQ248,AQ245)</f>
        <v>0</v>
      </c>
      <c r="AR326" s="1139">
        <f t="shared" ref="AR326" ca="1" si="226">AP326-AQ326</f>
        <v>0</v>
      </c>
      <c r="AS326" s="307"/>
      <c r="AT326" s="307"/>
      <c r="AU326" s="307"/>
      <c r="AV326" s="307"/>
      <c r="AW326" s="307"/>
      <c r="AX326" s="307"/>
      <c r="AY326" s="307"/>
      <c r="AZ326" s="307"/>
      <c r="BA326" s="307"/>
      <c r="BB326" s="196" t="s">
        <v>230</v>
      </c>
      <c r="BC326" s="196" t="s">
        <v>358</v>
      </c>
      <c r="BD326" s="212"/>
      <c r="BE326" s="212"/>
      <c r="BF326" s="212"/>
      <c r="BG326" s="212"/>
      <c r="BH326" s="212"/>
      <c r="BI326" s="212"/>
      <c r="BJ326" s="212"/>
      <c r="BK326" s="212"/>
      <c r="BL326" s="212"/>
      <c r="BM326" s="212"/>
      <c r="BN326" s="212"/>
      <c r="BO326" s="212"/>
      <c r="BP326" s="212"/>
      <c r="BQ326" s="212"/>
      <c r="BR326" s="212"/>
      <c r="BS326" s="212"/>
      <c r="BT326" s="212"/>
      <c r="BU326" s="212"/>
      <c r="BV326" s="212"/>
      <c r="BW326" s="212"/>
      <c r="BX326" s="212"/>
      <c r="BY326" s="212"/>
      <c r="BZ326" s="212"/>
      <c r="CA326" s="212"/>
      <c r="CB326" s="212"/>
      <c r="CC326" s="212"/>
      <c r="CD326" s="212"/>
      <c r="CE326" s="212"/>
    </row>
    <row r="327" spans="1:83" x14ac:dyDescent="0.2">
      <c r="A327" s="1055"/>
      <c r="B327" s="496"/>
      <c r="C327" s="490"/>
      <c r="D327" s="328"/>
      <c r="E327" s="371"/>
      <c r="F327" s="371"/>
      <c r="G327" s="1056"/>
      <c r="H327" s="1056"/>
      <c r="I327" s="1057"/>
      <c r="J327" s="1058"/>
      <c r="K327" s="1056"/>
      <c r="L327" s="1056"/>
      <c r="M327" s="1056"/>
      <c r="N327" s="335"/>
      <c r="O327" s="1059"/>
      <c r="P327" s="1059"/>
      <c r="Q327" s="1059"/>
      <c r="R327" s="1059"/>
      <c r="S327" s="1046"/>
      <c r="T327" s="1060"/>
      <c r="U327" s="1041"/>
      <c r="V327" s="1041"/>
      <c r="W327" s="1041"/>
      <c r="X327" s="1041"/>
      <c r="Y327" s="1059"/>
      <c r="Z327" s="1059"/>
      <c r="AA327" s="1059"/>
      <c r="AB327" s="328"/>
      <c r="AC327" s="1062"/>
      <c r="AD327" s="822"/>
      <c r="AE327" s="822"/>
      <c r="AF327" s="822"/>
      <c r="AG327" s="822"/>
      <c r="AH327" s="822"/>
      <c r="AI327" s="822"/>
      <c r="AJ327" s="822"/>
      <c r="AK327" s="822"/>
      <c r="AL327" s="822"/>
      <c r="AM327" s="822"/>
      <c r="AN327" s="822"/>
      <c r="AO327" s="822"/>
      <c r="AP327" s="822"/>
      <c r="AQ327" s="822"/>
      <c r="AR327" s="822"/>
      <c r="AS327" s="307"/>
      <c r="AT327" s="307"/>
      <c r="AU327" s="307"/>
      <c r="AV327" s="307"/>
      <c r="AW327" s="307"/>
      <c r="AX327" s="307"/>
      <c r="AY327" s="307"/>
      <c r="AZ327" s="307"/>
      <c r="BA327" s="307"/>
      <c r="BB327" s="196"/>
      <c r="BC327" s="196"/>
      <c r="BD327" s="212"/>
      <c r="BE327" s="212"/>
      <c r="BF327" s="212"/>
      <c r="BG327" s="212"/>
      <c r="BH327" s="212"/>
      <c r="BI327" s="212"/>
      <c r="BJ327" s="212"/>
      <c r="BK327" s="212"/>
      <c r="BL327" s="212"/>
      <c r="BM327" s="212"/>
      <c r="BN327" s="212"/>
      <c r="BO327" s="212"/>
      <c r="BP327" s="212"/>
      <c r="BQ327" s="212"/>
      <c r="BR327" s="212"/>
      <c r="BS327" s="212"/>
      <c r="BT327" s="212"/>
      <c r="BU327" s="212"/>
      <c r="BV327" s="212"/>
      <c r="BW327" s="212"/>
      <c r="BX327" s="212"/>
      <c r="BY327" s="212"/>
      <c r="BZ327" s="212"/>
      <c r="CA327" s="212"/>
      <c r="CB327" s="212"/>
      <c r="CC327" s="212"/>
      <c r="CD327" s="212"/>
      <c r="CE327" s="212"/>
    </row>
    <row r="328" spans="1:83" x14ac:dyDescent="0.2">
      <c r="A328" s="1055"/>
      <c r="B328" s="496"/>
      <c r="C328" s="490"/>
      <c r="D328" s="328"/>
      <c r="E328" s="371"/>
      <c r="F328" s="371"/>
      <c r="G328" s="1056"/>
      <c r="H328" s="1056"/>
      <c r="I328" s="1057"/>
      <c r="J328" s="1058"/>
      <c r="K328" s="1056"/>
      <c r="L328" s="1056"/>
      <c r="M328" s="1056"/>
      <c r="N328" s="335"/>
      <c r="O328" s="1059"/>
      <c r="P328" s="1059"/>
      <c r="Q328" s="1059"/>
      <c r="R328" s="1059"/>
      <c r="S328" s="1046"/>
      <c r="T328" s="1060"/>
      <c r="U328" s="1041"/>
      <c r="V328" s="1041"/>
      <c r="W328" s="1041"/>
      <c r="X328" s="1041"/>
      <c r="Y328" s="1059"/>
      <c r="Z328" s="1059"/>
      <c r="AA328" s="1059"/>
      <c r="AB328" s="328"/>
      <c r="AC328" s="1062"/>
      <c r="AD328" s="822"/>
      <c r="AE328" s="822"/>
      <c r="AF328" s="822"/>
      <c r="AG328" s="822"/>
      <c r="AH328" s="822"/>
      <c r="AI328" s="822"/>
      <c r="AJ328" s="822"/>
      <c r="AK328" s="822"/>
      <c r="AL328" s="822"/>
      <c r="AM328" s="822"/>
      <c r="AN328" s="822"/>
      <c r="AO328" s="822"/>
      <c r="AP328" s="822"/>
      <c r="AQ328" s="822"/>
      <c r="AR328" s="822"/>
      <c r="AS328" s="307"/>
      <c r="AT328" s="307"/>
      <c r="AU328" s="307"/>
      <c r="AV328" s="307"/>
      <c r="AW328" s="307"/>
      <c r="AX328" s="307"/>
      <c r="AY328" s="307"/>
      <c r="AZ328" s="307"/>
      <c r="BA328" s="307"/>
      <c r="BB328" s="196"/>
      <c r="BC328" s="196"/>
      <c r="BD328" s="212"/>
      <c r="BE328" s="212"/>
      <c r="BF328" s="212"/>
      <c r="BG328" s="212"/>
      <c r="BH328" s="212"/>
      <c r="BI328" s="212"/>
      <c r="BJ328" s="212"/>
      <c r="BK328" s="212"/>
      <c r="BL328" s="212"/>
      <c r="BM328" s="212"/>
      <c r="BN328" s="212"/>
      <c r="BO328" s="212"/>
      <c r="BP328" s="212"/>
      <c r="BQ328" s="212"/>
      <c r="BR328" s="212"/>
      <c r="BS328" s="212"/>
      <c r="BT328" s="212"/>
      <c r="BU328" s="212"/>
      <c r="BV328" s="212"/>
      <c r="BW328" s="212"/>
      <c r="BX328" s="212"/>
      <c r="BY328" s="212"/>
      <c r="BZ328" s="212"/>
      <c r="CA328" s="212"/>
      <c r="CB328" s="212"/>
      <c r="CC328" s="212"/>
      <c r="CD328" s="212"/>
      <c r="CE328" s="212"/>
    </row>
    <row r="329" spans="1:83" s="24" customFormat="1" x14ac:dyDescent="0.2">
      <c r="A329" s="1066"/>
      <c r="B329" s="497" t="str">
        <f>IF(Stammblatt!$L$4=1,'Kalkulation Herstellungskosten'!BB329,'Kalkulation Herstellungskosten'!BC329)</f>
        <v>4. Bild- und Tonaufnahme</v>
      </c>
      <c r="C329" s="379"/>
      <c r="D329" s="1067"/>
      <c r="E329" s="329"/>
      <c r="F329" s="329"/>
      <c r="G329" s="1062"/>
      <c r="H329" s="1062"/>
      <c r="I329" s="1068"/>
      <c r="J329" s="1069"/>
      <c r="K329" s="1062"/>
      <c r="L329" s="1062"/>
      <c r="M329" s="1062"/>
      <c r="N329" s="1070"/>
      <c r="O329" s="1038"/>
      <c r="P329" s="1038"/>
      <c r="Q329" s="1038"/>
      <c r="R329" s="1038"/>
      <c r="S329" s="1046"/>
      <c r="T329" s="1071"/>
      <c r="U329" s="1040"/>
      <c r="V329" s="1040"/>
      <c r="W329" s="1040"/>
      <c r="X329" s="1040"/>
      <c r="Y329" s="1038"/>
      <c r="Z329" s="1038"/>
      <c r="AA329" s="1038"/>
      <c r="AB329" s="328"/>
      <c r="AC329" s="1062"/>
      <c r="AD329" s="1135"/>
      <c r="AE329" s="1135"/>
      <c r="AF329" s="1135"/>
      <c r="AG329" s="1135"/>
      <c r="AH329" s="1135"/>
      <c r="AI329" s="1135"/>
      <c r="AJ329" s="1135"/>
      <c r="AK329" s="1135"/>
      <c r="AL329" s="1135"/>
      <c r="AM329" s="1135"/>
      <c r="AN329" s="1135"/>
      <c r="AO329" s="1135"/>
      <c r="AP329" s="1135"/>
      <c r="AQ329" s="1135"/>
      <c r="AR329" s="1135"/>
      <c r="AS329" s="307"/>
      <c r="AT329" s="307"/>
      <c r="AU329" s="307"/>
      <c r="AV329" s="307"/>
      <c r="AW329" s="307"/>
      <c r="AX329" s="307"/>
      <c r="AY329" s="307"/>
      <c r="AZ329" s="307"/>
      <c r="BA329" s="307"/>
      <c r="BB329" s="196" t="s">
        <v>51</v>
      </c>
      <c r="BC329" s="196" t="s">
        <v>376</v>
      </c>
      <c r="BD329" s="308"/>
      <c r="BE329" s="308"/>
      <c r="BF329" s="308"/>
      <c r="BG329" s="308"/>
      <c r="BH329" s="308"/>
      <c r="BI329" s="308"/>
      <c r="BJ329" s="308"/>
      <c r="BK329" s="308"/>
      <c r="BL329" s="308"/>
      <c r="BM329" s="308"/>
      <c r="BN329" s="308"/>
      <c r="BO329" s="308"/>
      <c r="BP329" s="308"/>
      <c r="BQ329" s="308"/>
      <c r="BR329" s="308"/>
      <c r="BS329" s="308"/>
      <c r="BT329" s="308"/>
      <c r="BU329" s="308"/>
      <c r="BV329" s="308"/>
      <c r="BW329" s="308"/>
      <c r="BX329" s="308"/>
      <c r="BY329" s="308"/>
      <c r="BZ329" s="308"/>
      <c r="CA329" s="308"/>
      <c r="CB329" s="308"/>
      <c r="CC329" s="308"/>
      <c r="CD329" s="308"/>
      <c r="CE329" s="308"/>
    </row>
    <row r="330" spans="1:83" s="24" customFormat="1" x14ac:dyDescent="0.2">
      <c r="A330" s="1066"/>
      <c r="B330" s="497"/>
      <c r="C330" s="328" t="str">
        <f>IF(Stammblatt!$L$4=1,"Wochen","weeks")</f>
        <v>Wochen</v>
      </c>
      <c r="D330" s="328" t="s">
        <v>600</v>
      </c>
      <c r="E330" s="329"/>
      <c r="F330" s="329"/>
      <c r="G330" s="1062"/>
      <c r="H330" s="1062"/>
      <c r="I330" s="1068"/>
      <c r="J330" s="1069"/>
      <c r="K330" s="1062"/>
      <c r="L330" s="1062"/>
      <c r="M330" s="1062"/>
      <c r="N330" s="1070"/>
      <c r="O330" s="1038"/>
      <c r="P330" s="1038"/>
      <c r="Q330" s="1038"/>
      <c r="R330" s="1038"/>
      <c r="S330" s="1046"/>
      <c r="T330" s="1071"/>
      <c r="U330" s="1040"/>
      <c r="V330" s="1040"/>
      <c r="W330" s="1040"/>
      <c r="X330" s="1040"/>
      <c r="Y330" s="1038"/>
      <c r="Z330" s="1038"/>
      <c r="AA330" s="1038"/>
      <c r="AB330" s="328"/>
      <c r="AC330" s="1062"/>
      <c r="AD330" s="1135"/>
      <c r="AE330" s="1135"/>
      <c r="AF330" s="1135"/>
      <c r="AG330" s="1135"/>
      <c r="AH330" s="1135"/>
      <c r="AI330" s="1135"/>
      <c r="AJ330" s="1135"/>
      <c r="AK330" s="1135"/>
      <c r="AL330" s="1135"/>
      <c r="AM330" s="1135"/>
      <c r="AN330" s="1135"/>
      <c r="AO330" s="1135"/>
      <c r="AP330" s="1135"/>
      <c r="AQ330" s="1135"/>
      <c r="AR330" s="1135"/>
      <c r="AS330" s="307"/>
      <c r="AT330" s="307"/>
      <c r="AU330" s="307"/>
      <c r="AV330" s="311" t="s">
        <v>600</v>
      </c>
      <c r="AW330" s="307"/>
      <c r="AX330" s="307"/>
      <c r="AY330" s="307"/>
      <c r="AZ330" s="307"/>
      <c r="BA330" s="307"/>
      <c r="BB330" s="196"/>
      <c r="BC330" s="196"/>
      <c r="BD330" s="308"/>
      <c r="BE330" s="308"/>
      <c r="BF330" s="308"/>
      <c r="BG330" s="308"/>
      <c r="BH330" s="308"/>
      <c r="BI330" s="308"/>
      <c r="BJ330" s="308"/>
      <c r="BK330" s="308"/>
      <c r="BL330" s="308"/>
      <c r="BM330" s="308"/>
      <c r="BN330" s="308"/>
      <c r="BO330" s="308"/>
      <c r="BP330" s="308"/>
      <c r="BQ330" s="308"/>
      <c r="BR330" s="308"/>
      <c r="BS330" s="308"/>
      <c r="BT330" s="308"/>
      <c r="BU330" s="308"/>
      <c r="BV330" s="308"/>
      <c r="BW330" s="308"/>
      <c r="BX330" s="308"/>
      <c r="BY330" s="308"/>
      <c r="BZ330" s="308"/>
      <c r="CA330" s="308"/>
      <c r="CB330" s="308"/>
      <c r="CC330" s="308"/>
      <c r="CD330" s="308"/>
      <c r="CE330" s="308"/>
    </row>
    <row r="331" spans="1:83" x14ac:dyDescent="0.2">
      <c r="A331" s="1091">
        <v>95</v>
      </c>
      <c r="B331" s="1082" t="str">
        <f>IF(Stammblatt!$L$4=1,'Kalkulation Herstellungskosten'!BB331,'Kalkulation Herstellungskosten'!BC331)</f>
        <v>Kamera (Ton), Zubehör  35/16 *)</v>
      </c>
      <c r="C331" s="30"/>
      <c r="D331" s="318"/>
      <c r="E331" s="32"/>
      <c r="F331" s="396">
        <f>C331*E331</f>
        <v>0</v>
      </c>
      <c r="G331" s="1035"/>
      <c r="H331" s="1035"/>
      <c r="I331" s="1086"/>
      <c r="J331" s="322"/>
      <c r="K331" s="320"/>
      <c r="L331" s="320"/>
      <c r="M331" s="320"/>
      <c r="N331" s="323"/>
      <c r="O331" s="512"/>
      <c r="P331" s="506"/>
      <c r="Q331" s="507"/>
      <c r="R331" s="505"/>
      <c r="S331" s="514"/>
      <c r="T331" s="517"/>
      <c r="U331" s="505"/>
      <c r="V331" s="1053">
        <f>SUM(T331:U331)</f>
        <v>0</v>
      </c>
      <c r="W331" s="397">
        <f>F331-V331</f>
        <v>0</v>
      </c>
      <c r="X331" s="512"/>
      <c r="Y331" s="508"/>
      <c r="Z331" s="507"/>
      <c r="AA331" s="505"/>
      <c r="AB331" s="295"/>
      <c r="AC331" s="305"/>
      <c r="AD331" s="799"/>
      <c r="AE331" s="800"/>
      <c r="AF331" s="801"/>
      <c r="AG331" s="831">
        <f>SUM(AE331:AF331)</f>
        <v>0</v>
      </c>
      <c r="AH331" s="799"/>
      <c r="AI331" s="800"/>
      <c r="AJ331" s="801"/>
      <c r="AK331" s="831">
        <f>SUM(AI331:AJ331)</f>
        <v>0</v>
      </c>
      <c r="AL331" s="799"/>
      <c r="AM331" s="800"/>
      <c r="AN331" s="801"/>
      <c r="AO331" s="831">
        <f>SUM(AM331:AN331)</f>
        <v>0</v>
      </c>
      <c r="AP331" s="1079">
        <f t="shared" ref="AP331:AP333" si="227">SUM(F331,AD331,AH331,AL331)</f>
        <v>0</v>
      </c>
      <c r="AQ331" s="1079">
        <f t="shared" ref="AQ331" si="228">SUM(AO331,AK331,AG331,V331)</f>
        <v>0</v>
      </c>
      <c r="AR331" s="1080">
        <f t="shared" ref="AR331" si="229">AP331-AQ331</f>
        <v>0</v>
      </c>
      <c r="AS331" s="307"/>
      <c r="AT331" s="307"/>
      <c r="AU331" s="307"/>
      <c r="AV331" s="383" t="b">
        <v>0</v>
      </c>
      <c r="AW331" s="310"/>
      <c r="AX331" s="310"/>
      <c r="AY331" s="310"/>
      <c r="AZ331" s="310"/>
      <c r="BA331" s="310"/>
      <c r="BB331" s="196" t="s">
        <v>52</v>
      </c>
      <c r="BC331" s="196" t="s">
        <v>359</v>
      </c>
      <c r="BD331" s="212"/>
      <c r="BE331" s="212"/>
      <c r="BF331" s="212"/>
      <c r="BG331" s="212"/>
      <c r="BH331" s="212"/>
      <c r="BI331" s="212"/>
      <c r="BJ331" s="212"/>
      <c r="BK331" s="212"/>
      <c r="BL331" s="212"/>
      <c r="BM331" s="212"/>
      <c r="BN331" s="212"/>
      <c r="BO331" s="212"/>
      <c r="BP331" s="212"/>
      <c r="BQ331" s="212"/>
      <c r="BR331" s="212"/>
      <c r="BS331" s="212"/>
      <c r="BT331" s="212"/>
      <c r="BU331" s="212"/>
      <c r="BV331" s="212"/>
      <c r="BW331" s="212"/>
      <c r="BX331" s="212"/>
      <c r="BY331" s="212"/>
      <c r="BZ331" s="212"/>
      <c r="CA331" s="212"/>
      <c r="CB331" s="212"/>
      <c r="CC331" s="212"/>
      <c r="CD331" s="212"/>
      <c r="CE331" s="212"/>
    </row>
    <row r="332" spans="1:83" x14ac:dyDescent="0.2">
      <c r="A332" s="1091">
        <v>96</v>
      </c>
      <c r="B332" s="1082" t="str">
        <f>IF(Stammblatt!$L$4=1,'Kalkulation Herstellungskosten'!BB332,'Kalkulation Herstellungskosten'!BC332)</f>
        <v>Kamera (stumm), Zubehör  35/16</v>
      </c>
      <c r="C332" s="30"/>
      <c r="D332" s="318"/>
      <c r="E332" s="32"/>
      <c r="F332" s="396">
        <f>C332*E332</f>
        <v>0</v>
      </c>
      <c r="G332" s="1035"/>
      <c r="H332" s="1035"/>
      <c r="I332" s="1086"/>
      <c r="J332" s="347"/>
      <c r="K332" s="348"/>
      <c r="L332" s="348"/>
      <c r="M332" s="348"/>
      <c r="N332" s="349"/>
      <c r="O332" s="512"/>
      <c r="P332" s="506"/>
      <c r="Q332" s="507"/>
      <c r="R332" s="505"/>
      <c r="S332" s="514"/>
      <c r="T332" s="517"/>
      <c r="U332" s="505"/>
      <c r="V332" s="1053">
        <f>SUM(T332:U332)</f>
        <v>0</v>
      </c>
      <c r="W332" s="397">
        <f>F332-V332</f>
        <v>0</v>
      </c>
      <c r="X332" s="512"/>
      <c r="Y332" s="508"/>
      <c r="Z332" s="507"/>
      <c r="AA332" s="505"/>
      <c r="AB332" s="295"/>
      <c r="AC332" s="305"/>
      <c r="AD332" s="799"/>
      <c r="AE332" s="800"/>
      <c r="AF332" s="801"/>
      <c r="AG332" s="831">
        <f>SUM(AE332:AF332)</f>
        <v>0</v>
      </c>
      <c r="AH332" s="799"/>
      <c r="AI332" s="800"/>
      <c r="AJ332" s="801"/>
      <c r="AK332" s="831">
        <f>SUM(AI332:AJ332)</f>
        <v>0</v>
      </c>
      <c r="AL332" s="799"/>
      <c r="AM332" s="800"/>
      <c r="AN332" s="801"/>
      <c r="AO332" s="831">
        <f>SUM(AM332:AN332)</f>
        <v>0</v>
      </c>
      <c r="AP332" s="1079">
        <f t="shared" si="227"/>
        <v>0</v>
      </c>
      <c r="AQ332" s="1079">
        <f t="shared" ref="AQ332:AQ333" si="230">SUM(AO332,AK332,AG332,V332)</f>
        <v>0</v>
      </c>
      <c r="AR332" s="1080">
        <f t="shared" ref="AR332:AR333" si="231">AP332-AQ332</f>
        <v>0</v>
      </c>
      <c r="AS332" s="307"/>
      <c r="AT332" s="307"/>
      <c r="AU332" s="307"/>
      <c r="AV332" s="308"/>
      <c r="AW332" s="307"/>
      <c r="AX332" s="307"/>
      <c r="AY332" s="307"/>
      <c r="AZ332" s="307"/>
      <c r="BA332" s="307"/>
      <c r="BB332" s="196" t="s">
        <v>53</v>
      </c>
      <c r="BC332" s="196" t="s">
        <v>360</v>
      </c>
      <c r="BD332" s="212"/>
      <c r="BE332" s="212"/>
      <c r="BF332" s="212"/>
      <c r="BG332" s="212"/>
      <c r="BH332" s="212"/>
      <c r="BI332" s="212"/>
      <c r="BJ332" s="212"/>
      <c r="BK332" s="212"/>
      <c r="BL332" s="212"/>
      <c r="BM332" s="212"/>
      <c r="BN332" s="212"/>
      <c r="BO332" s="212"/>
      <c r="BP332" s="212"/>
      <c r="BQ332" s="212"/>
      <c r="BR332" s="212"/>
      <c r="BS332" s="212"/>
      <c r="BT332" s="212"/>
      <c r="BU332" s="212"/>
      <c r="BV332" s="212"/>
      <c r="BW332" s="212"/>
      <c r="BX332" s="212"/>
      <c r="BY332" s="212"/>
      <c r="BZ332" s="212"/>
      <c r="CA332" s="212"/>
      <c r="CB332" s="212"/>
      <c r="CC332" s="212"/>
      <c r="CD332" s="212"/>
      <c r="CE332" s="212"/>
    </row>
    <row r="333" spans="1:83" x14ac:dyDescent="0.2">
      <c r="A333" s="1091">
        <v>97</v>
      </c>
      <c r="B333" s="1082" t="str">
        <f>IF(Stammblatt!$L$4=1,'Kalkulation Herstellungskosten'!BB333,'Kalkulation Herstellungskosten'!BC333)</f>
        <v xml:space="preserve">Tonaufnahmegeräte, Zubehör *) </v>
      </c>
      <c r="C333" s="30"/>
      <c r="D333" s="318"/>
      <c r="E333" s="32"/>
      <c r="F333" s="396">
        <f>C333*E333</f>
        <v>0</v>
      </c>
      <c r="G333" s="1035"/>
      <c r="H333" s="1035"/>
      <c r="I333" s="1086"/>
      <c r="J333" s="347"/>
      <c r="K333" s="348"/>
      <c r="L333" s="348"/>
      <c r="M333" s="348"/>
      <c r="N333" s="349"/>
      <c r="O333" s="512"/>
      <c r="P333" s="506"/>
      <c r="Q333" s="507"/>
      <c r="R333" s="505"/>
      <c r="S333" s="514"/>
      <c r="T333" s="517"/>
      <c r="U333" s="505"/>
      <c r="V333" s="1053">
        <f>SUM(T333:U333)</f>
        <v>0</v>
      </c>
      <c r="W333" s="397">
        <f>F333-V333</f>
        <v>0</v>
      </c>
      <c r="X333" s="512"/>
      <c r="Y333" s="508"/>
      <c r="Z333" s="507"/>
      <c r="AA333" s="505"/>
      <c r="AB333" s="295"/>
      <c r="AC333" s="305"/>
      <c r="AD333" s="799"/>
      <c r="AE333" s="800"/>
      <c r="AF333" s="801"/>
      <c r="AG333" s="831">
        <f>SUM(AE333:AF333)</f>
        <v>0</v>
      </c>
      <c r="AH333" s="799"/>
      <c r="AI333" s="800"/>
      <c r="AJ333" s="801"/>
      <c r="AK333" s="831">
        <f>SUM(AI333:AJ333)</f>
        <v>0</v>
      </c>
      <c r="AL333" s="799"/>
      <c r="AM333" s="800"/>
      <c r="AN333" s="801"/>
      <c r="AO333" s="831">
        <f>SUM(AM333:AN333)</f>
        <v>0</v>
      </c>
      <c r="AP333" s="1079">
        <f t="shared" si="227"/>
        <v>0</v>
      </c>
      <c r="AQ333" s="1079">
        <f t="shared" si="230"/>
        <v>0</v>
      </c>
      <c r="AR333" s="1080">
        <f t="shared" si="231"/>
        <v>0</v>
      </c>
      <c r="AS333" s="307"/>
      <c r="AT333" s="307"/>
      <c r="AU333" s="307"/>
      <c r="AV333" s="383" t="b">
        <v>0</v>
      </c>
      <c r="AW333" s="310"/>
      <c r="AX333" s="310"/>
      <c r="AY333" s="310"/>
      <c r="AZ333" s="310"/>
      <c r="BA333" s="310"/>
      <c r="BB333" s="196" t="s">
        <v>54</v>
      </c>
      <c r="BC333" s="196" t="s">
        <v>361</v>
      </c>
      <c r="BD333" s="212"/>
      <c r="BE333" s="212"/>
      <c r="BF333" s="212"/>
      <c r="BG333" s="212"/>
      <c r="BH333" s="212"/>
      <c r="BI333" s="212"/>
      <c r="BJ333" s="212"/>
      <c r="BK333" s="212"/>
      <c r="BL333" s="212"/>
      <c r="BM333" s="212"/>
      <c r="BN333" s="212"/>
      <c r="BO333" s="212"/>
      <c r="BP333" s="212"/>
      <c r="BQ333" s="212"/>
      <c r="BR333" s="212"/>
      <c r="BS333" s="212"/>
      <c r="BT333" s="212"/>
      <c r="BU333" s="212"/>
      <c r="BV333" s="212"/>
      <c r="BW333" s="212"/>
      <c r="BX333" s="212"/>
      <c r="BY333" s="212"/>
      <c r="BZ333" s="212"/>
      <c r="CA333" s="212"/>
      <c r="CB333" s="212"/>
      <c r="CC333" s="212"/>
      <c r="CD333" s="212"/>
      <c r="CE333" s="212"/>
    </row>
    <row r="334" spans="1:83" x14ac:dyDescent="0.2">
      <c r="A334" s="1055"/>
      <c r="B334" s="496"/>
      <c r="C334" s="303"/>
      <c r="D334" s="295"/>
      <c r="E334" s="304"/>
      <c r="F334" s="371"/>
      <c r="G334" s="1056"/>
      <c r="H334" s="1056"/>
      <c r="I334" s="1057"/>
      <c r="J334" s="325"/>
      <c r="K334" s="324"/>
      <c r="L334" s="324"/>
      <c r="M334" s="324"/>
      <c r="N334" s="326"/>
      <c r="O334" s="509"/>
      <c r="P334" s="509"/>
      <c r="Q334" s="509"/>
      <c r="R334" s="509"/>
      <c r="S334" s="514"/>
      <c r="T334" s="510"/>
      <c r="U334" s="327"/>
      <c r="V334" s="1041"/>
      <c r="W334" s="1042"/>
      <c r="X334" s="509"/>
      <c r="Y334" s="509"/>
      <c r="Z334" s="509"/>
      <c r="AA334" s="509"/>
      <c r="AB334" s="295"/>
      <c r="AC334" s="305"/>
      <c r="AD334" s="805"/>
      <c r="AE334" s="807"/>
      <c r="AF334" s="807"/>
      <c r="AG334" s="832"/>
      <c r="AH334" s="805"/>
      <c r="AI334" s="807"/>
      <c r="AJ334" s="807"/>
      <c r="AK334" s="832"/>
      <c r="AL334" s="805"/>
      <c r="AM334" s="807"/>
      <c r="AN334" s="807"/>
      <c r="AO334" s="832"/>
      <c r="AP334" s="822"/>
      <c r="AQ334" s="822"/>
      <c r="AR334" s="822"/>
      <c r="AS334" s="307"/>
      <c r="AT334" s="307"/>
      <c r="AU334" s="307"/>
      <c r="AV334" s="308"/>
      <c r="AW334" s="307"/>
      <c r="AX334" s="307"/>
      <c r="AY334" s="307"/>
      <c r="AZ334" s="307"/>
      <c r="BA334" s="307"/>
      <c r="BB334" s="196"/>
      <c r="BC334" s="196"/>
      <c r="BD334" s="212"/>
      <c r="BE334" s="212"/>
      <c r="BF334" s="212"/>
      <c r="BG334" s="212"/>
      <c r="BH334" s="212"/>
      <c r="BI334" s="212"/>
      <c r="BJ334" s="212"/>
      <c r="BK334" s="212"/>
      <c r="BL334" s="212"/>
      <c r="BM334" s="212"/>
      <c r="BN334" s="212"/>
      <c r="BO334" s="212"/>
      <c r="BP334" s="212"/>
      <c r="BQ334" s="212"/>
      <c r="BR334" s="212"/>
      <c r="BS334" s="212"/>
      <c r="BT334" s="212"/>
      <c r="BU334" s="212"/>
      <c r="BV334" s="212"/>
      <c r="BW334" s="212"/>
      <c r="BX334" s="212"/>
      <c r="BY334" s="212"/>
      <c r="BZ334" s="212"/>
      <c r="CA334" s="212"/>
      <c r="CB334" s="212"/>
      <c r="CC334" s="212"/>
      <c r="CD334" s="212"/>
      <c r="CE334" s="212"/>
    </row>
    <row r="335" spans="1:83" x14ac:dyDescent="0.2">
      <c r="A335" s="1055"/>
      <c r="B335" s="496" t="str">
        <f>IF(Stammblatt!$L$4=1,'Kalkulation Herstellungskosten'!BB335,'Kalkulation Herstellungskosten'!BC335)</f>
        <v>Beleuchtungstechnik: *)</v>
      </c>
      <c r="C335" s="303"/>
      <c r="D335" s="295"/>
      <c r="E335" s="304"/>
      <c r="F335" s="371"/>
      <c r="G335" s="1056"/>
      <c r="H335" s="1056"/>
      <c r="I335" s="1057"/>
      <c r="J335" s="325"/>
      <c r="K335" s="324"/>
      <c r="L335" s="324"/>
      <c r="M335" s="324"/>
      <c r="N335" s="326"/>
      <c r="O335" s="509"/>
      <c r="P335" s="509"/>
      <c r="Q335" s="509"/>
      <c r="R335" s="509"/>
      <c r="S335" s="514"/>
      <c r="T335" s="510"/>
      <c r="U335" s="327"/>
      <c r="V335" s="1041"/>
      <c r="W335" s="1042"/>
      <c r="X335" s="509"/>
      <c r="Y335" s="509"/>
      <c r="Z335" s="509"/>
      <c r="AA335" s="509"/>
      <c r="AB335" s="295"/>
      <c r="AC335" s="305"/>
      <c r="AD335" s="805"/>
      <c r="AE335" s="807"/>
      <c r="AF335" s="807"/>
      <c r="AG335" s="832"/>
      <c r="AH335" s="805"/>
      <c r="AI335" s="807"/>
      <c r="AJ335" s="807"/>
      <c r="AK335" s="832"/>
      <c r="AL335" s="805"/>
      <c r="AM335" s="807"/>
      <c r="AN335" s="807"/>
      <c r="AO335" s="832"/>
      <c r="AP335" s="822"/>
      <c r="AQ335" s="822"/>
      <c r="AR335" s="822"/>
      <c r="AS335" s="307"/>
      <c r="AT335" s="307"/>
      <c r="AU335" s="307"/>
      <c r="AV335" s="308"/>
      <c r="AW335" s="307"/>
      <c r="AX335" s="307"/>
      <c r="AY335" s="307"/>
      <c r="AZ335" s="307"/>
      <c r="BA335" s="307"/>
      <c r="BB335" s="196" t="s">
        <v>55</v>
      </c>
      <c r="BC335" s="196" t="s">
        <v>362</v>
      </c>
      <c r="BD335" s="212"/>
      <c r="BE335" s="212"/>
      <c r="BF335" s="212"/>
      <c r="BG335" s="212"/>
      <c r="BH335" s="212"/>
      <c r="BI335" s="212"/>
      <c r="BJ335" s="212"/>
      <c r="BK335" s="212"/>
      <c r="BL335" s="212"/>
      <c r="BM335" s="212"/>
      <c r="BN335" s="212"/>
      <c r="BO335" s="212"/>
      <c r="BP335" s="212"/>
      <c r="BQ335" s="212"/>
      <c r="BR335" s="212"/>
      <c r="BS335" s="212"/>
      <c r="BT335" s="212"/>
      <c r="BU335" s="212"/>
      <c r="BV335" s="212"/>
      <c r="BW335" s="212"/>
      <c r="BX335" s="212"/>
      <c r="BY335" s="212"/>
      <c r="BZ335" s="212"/>
      <c r="CA335" s="212"/>
      <c r="CB335" s="212"/>
      <c r="CC335" s="212"/>
      <c r="CD335" s="212"/>
      <c r="CE335" s="212"/>
    </row>
    <row r="336" spans="1:83" x14ac:dyDescent="0.2">
      <c r="A336" s="1091">
        <v>98</v>
      </c>
      <c r="B336" s="1082" t="str">
        <f>IF(Stammblatt!$L$4=1,'Kalkulation Herstellungskosten'!BB336,'Kalkulation Herstellungskosten'!BC336)</f>
        <v>Lampen, Kabel, Dolly</v>
      </c>
      <c r="C336" s="30"/>
      <c r="D336" s="318"/>
      <c r="E336" s="32"/>
      <c r="F336" s="396">
        <f>C336*E336</f>
        <v>0</v>
      </c>
      <c r="G336" s="1035"/>
      <c r="H336" s="1035"/>
      <c r="I336" s="1086"/>
      <c r="J336" s="322"/>
      <c r="K336" s="320"/>
      <c r="L336" s="320"/>
      <c r="M336" s="320"/>
      <c r="N336" s="323"/>
      <c r="O336" s="512"/>
      <c r="P336" s="506"/>
      <c r="Q336" s="507"/>
      <c r="R336" s="505"/>
      <c r="S336" s="514"/>
      <c r="T336" s="517"/>
      <c r="U336" s="505"/>
      <c r="V336" s="1053">
        <f>SUM(T336:U336)</f>
        <v>0</v>
      </c>
      <c r="W336" s="397">
        <f>F336-V336</f>
        <v>0</v>
      </c>
      <c r="X336" s="512"/>
      <c r="Y336" s="508"/>
      <c r="Z336" s="507"/>
      <c r="AA336" s="505"/>
      <c r="AB336" s="295"/>
      <c r="AC336" s="305"/>
      <c r="AD336" s="799"/>
      <c r="AE336" s="800"/>
      <c r="AF336" s="801"/>
      <c r="AG336" s="831">
        <f>SUM(AE336:AF336)</f>
        <v>0</v>
      </c>
      <c r="AH336" s="799"/>
      <c r="AI336" s="800"/>
      <c r="AJ336" s="801"/>
      <c r="AK336" s="831">
        <f>SUM(AI336:AJ336)</f>
        <v>0</v>
      </c>
      <c r="AL336" s="799"/>
      <c r="AM336" s="800"/>
      <c r="AN336" s="801"/>
      <c r="AO336" s="831">
        <f>SUM(AM336:AN336)</f>
        <v>0</v>
      </c>
      <c r="AP336" s="1079">
        <f t="shared" ref="AP336:AP337" si="232">SUM(F336,AD336,AH336,AL336)</f>
        <v>0</v>
      </c>
      <c r="AQ336" s="1079">
        <f t="shared" ref="AQ336:AQ337" si="233">SUM(AO336,AK336,AG336,V336)</f>
        <v>0</v>
      </c>
      <c r="AR336" s="1080">
        <f t="shared" ref="AR336:AR337" si="234">AP336-AQ336</f>
        <v>0</v>
      </c>
      <c r="AS336" s="307"/>
      <c r="AT336" s="307"/>
      <c r="AU336" s="307"/>
      <c r="AV336" s="383" t="b">
        <v>0</v>
      </c>
      <c r="AW336" s="310"/>
      <c r="AX336" s="310"/>
      <c r="AY336" s="310"/>
      <c r="AZ336" s="310"/>
      <c r="BA336" s="310"/>
      <c r="BB336" s="196" t="s">
        <v>737</v>
      </c>
      <c r="BC336" s="196" t="s">
        <v>738</v>
      </c>
      <c r="BD336" s="212"/>
      <c r="BE336" s="212"/>
      <c r="BF336" s="212"/>
      <c r="BG336" s="212"/>
      <c r="BH336" s="212"/>
      <c r="BI336" s="212"/>
      <c r="BJ336" s="212"/>
      <c r="BK336" s="212"/>
      <c r="BL336" s="212"/>
      <c r="BM336" s="212"/>
      <c r="BN336" s="212"/>
      <c r="BO336" s="212"/>
      <c r="BP336" s="212"/>
      <c r="BQ336" s="212"/>
      <c r="BR336" s="212"/>
      <c r="BS336" s="212"/>
      <c r="BT336" s="212"/>
      <c r="BU336" s="212"/>
      <c r="BV336" s="212"/>
      <c r="BW336" s="212"/>
      <c r="BX336" s="212"/>
      <c r="BY336" s="212"/>
      <c r="BZ336" s="212"/>
      <c r="CA336" s="212"/>
      <c r="CB336" s="212"/>
      <c r="CC336" s="212"/>
      <c r="CD336" s="212"/>
      <c r="CE336" s="212"/>
    </row>
    <row r="337" spans="1:83" x14ac:dyDescent="0.2">
      <c r="A337" s="1091">
        <v>99</v>
      </c>
      <c r="B337" s="1082" t="str">
        <f>IF(Stammblatt!$L$4=1,'Kalkulation Herstellungskosten'!BB337,'Kalkulation Herstellungskosten'!BC337)</f>
        <v>Lichtaggregat</v>
      </c>
      <c r="C337" s="30"/>
      <c r="D337" s="318"/>
      <c r="E337" s="32"/>
      <c r="F337" s="396">
        <f>C337*E337</f>
        <v>0</v>
      </c>
      <c r="G337" s="1035"/>
      <c r="H337" s="1035"/>
      <c r="I337" s="1086"/>
      <c r="J337" s="347"/>
      <c r="K337" s="348"/>
      <c r="L337" s="348"/>
      <c r="M337" s="348"/>
      <c r="N337" s="349"/>
      <c r="O337" s="512"/>
      <c r="P337" s="506"/>
      <c r="Q337" s="507"/>
      <c r="R337" s="505"/>
      <c r="S337" s="514"/>
      <c r="T337" s="517"/>
      <c r="U337" s="505"/>
      <c r="V337" s="1053">
        <f>SUM(T337:U337)</f>
        <v>0</v>
      </c>
      <c r="W337" s="397">
        <f>F337-V337</f>
        <v>0</v>
      </c>
      <c r="X337" s="512"/>
      <c r="Y337" s="508"/>
      <c r="Z337" s="507"/>
      <c r="AA337" s="505"/>
      <c r="AB337" s="295"/>
      <c r="AC337" s="305"/>
      <c r="AD337" s="799"/>
      <c r="AE337" s="800"/>
      <c r="AF337" s="801"/>
      <c r="AG337" s="831">
        <f>SUM(AE337:AF337)</f>
        <v>0</v>
      </c>
      <c r="AH337" s="799"/>
      <c r="AI337" s="800"/>
      <c r="AJ337" s="801"/>
      <c r="AK337" s="831">
        <f>SUM(AI337:AJ337)</f>
        <v>0</v>
      </c>
      <c r="AL337" s="799"/>
      <c r="AM337" s="800"/>
      <c r="AN337" s="801"/>
      <c r="AO337" s="831">
        <f>SUM(AM337:AN337)</f>
        <v>0</v>
      </c>
      <c r="AP337" s="1079">
        <f t="shared" si="232"/>
        <v>0</v>
      </c>
      <c r="AQ337" s="1079">
        <f t="shared" si="233"/>
        <v>0</v>
      </c>
      <c r="AR337" s="1080">
        <f t="shared" si="234"/>
        <v>0</v>
      </c>
      <c r="AS337" s="307"/>
      <c r="AT337" s="307"/>
      <c r="AU337" s="307"/>
      <c r="AV337" s="307"/>
      <c r="AW337" s="307"/>
      <c r="AX337" s="307"/>
      <c r="AY337" s="307"/>
      <c r="AZ337" s="307"/>
      <c r="BA337" s="307"/>
      <c r="BB337" s="196" t="s">
        <v>56</v>
      </c>
      <c r="BC337" s="196" t="s">
        <v>363</v>
      </c>
      <c r="BD337" s="212"/>
      <c r="BE337" s="212"/>
      <c r="BF337" s="212"/>
      <c r="BG337" s="212"/>
      <c r="BH337" s="212"/>
      <c r="BI337" s="212"/>
      <c r="BJ337" s="212"/>
      <c r="BK337" s="212"/>
      <c r="BL337" s="212"/>
      <c r="BM337" s="212"/>
      <c r="BN337" s="212"/>
      <c r="BO337" s="212"/>
      <c r="BP337" s="212"/>
      <c r="BQ337" s="212"/>
      <c r="BR337" s="212"/>
      <c r="BS337" s="212"/>
      <c r="BT337" s="212"/>
      <c r="BU337" s="212"/>
      <c r="BV337" s="212"/>
      <c r="BW337" s="212"/>
      <c r="BX337" s="212"/>
      <c r="BY337" s="212"/>
      <c r="BZ337" s="212"/>
      <c r="CA337" s="212"/>
      <c r="CB337" s="212"/>
      <c r="CC337" s="212"/>
      <c r="CD337" s="212"/>
      <c r="CE337" s="212"/>
    </row>
    <row r="338" spans="1:83" x14ac:dyDescent="0.2">
      <c r="A338" s="1055"/>
      <c r="B338" s="496"/>
      <c r="C338" s="303"/>
      <c r="D338" s="295"/>
      <c r="E338" s="304"/>
      <c r="F338" s="371"/>
      <c r="G338" s="1056"/>
      <c r="H338" s="1056"/>
      <c r="I338" s="1057"/>
      <c r="J338" s="347"/>
      <c r="K338" s="348"/>
      <c r="L338" s="348"/>
      <c r="M338" s="348"/>
      <c r="N338" s="349"/>
      <c r="O338" s="509"/>
      <c r="P338" s="509"/>
      <c r="Q338" s="509"/>
      <c r="R338" s="509"/>
      <c r="S338" s="514"/>
      <c r="T338" s="510"/>
      <c r="U338" s="327"/>
      <c r="V338" s="1041"/>
      <c r="W338" s="1042"/>
      <c r="X338" s="509"/>
      <c r="Y338" s="509"/>
      <c r="Z338" s="509"/>
      <c r="AA338" s="509"/>
      <c r="AB338" s="295"/>
      <c r="AC338" s="305"/>
      <c r="AD338" s="805"/>
      <c r="AE338" s="807"/>
      <c r="AF338" s="807"/>
      <c r="AG338" s="832"/>
      <c r="AH338" s="805"/>
      <c r="AI338" s="807"/>
      <c r="AJ338" s="807"/>
      <c r="AK338" s="832"/>
      <c r="AL338" s="805"/>
      <c r="AM338" s="807"/>
      <c r="AN338" s="807"/>
      <c r="AO338" s="832"/>
      <c r="AP338" s="822"/>
      <c r="AQ338" s="822"/>
      <c r="AR338" s="822"/>
      <c r="AS338" s="307"/>
      <c r="AT338" s="307"/>
      <c r="AU338" s="307"/>
      <c r="AV338" s="307"/>
      <c r="AW338" s="307"/>
      <c r="AX338" s="307"/>
      <c r="AY338" s="307"/>
      <c r="AZ338" s="307"/>
      <c r="BA338" s="307"/>
      <c r="BB338" s="196"/>
      <c r="BC338" s="196"/>
      <c r="BD338" s="212"/>
      <c r="BE338" s="212"/>
      <c r="BF338" s="212"/>
      <c r="BG338" s="212"/>
      <c r="BH338" s="212"/>
      <c r="BI338" s="212"/>
      <c r="BJ338" s="212"/>
      <c r="BK338" s="212"/>
      <c r="BL338" s="212"/>
      <c r="BM338" s="212"/>
      <c r="BN338" s="212"/>
      <c r="BO338" s="212"/>
      <c r="BP338" s="212"/>
      <c r="BQ338" s="212"/>
      <c r="BR338" s="212"/>
      <c r="BS338" s="212"/>
      <c r="BT338" s="212"/>
      <c r="BU338" s="212"/>
      <c r="BV338" s="212"/>
      <c r="BW338" s="212"/>
      <c r="BX338" s="212"/>
      <c r="BY338" s="212"/>
      <c r="BZ338" s="212"/>
      <c r="CA338" s="212"/>
      <c r="CB338" s="212"/>
      <c r="CC338" s="212"/>
      <c r="CD338" s="212"/>
      <c r="CE338" s="212"/>
    </row>
    <row r="339" spans="1:83" x14ac:dyDescent="0.2">
      <c r="A339" s="1091">
        <v>100</v>
      </c>
      <c r="B339" s="1082" t="str">
        <f>IF(Stammblatt!$L$4=1,'Kalkulation Herstellungskosten'!BB339,'Kalkulation Herstellungskosten'!BC339)</f>
        <v>Sonstiges :*)</v>
      </c>
      <c r="C339" s="30"/>
      <c r="D339" s="492" t="str">
        <f>IF(Stammblatt!$L$4=1,"Tage","days")</f>
        <v>Tage</v>
      </c>
      <c r="E339" s="32"/>
      <c r="F339" s="396">
        <f>C339*E339</f>
        <v>0</v>
      </c>
      <c r="G339" s="1035"/>
      <c r="H339" s="1035"/>
      <c r="I339" s="1086"/>
      <c r="J339" s="347"/>
      <c r="K339" s="348"/>
      <c r="L339" s="348"/>
      <c r="M339" s="348"/>
      <c r="N339" s="349"/>
      <c r="O339" s="512"/>
      <c r="P339" s="506"/>
      <c r="Q339" s="507"/>
      <c r="R339" s="505"/>
      <c r="S339" s="514"/>
      <c r="T339" s="517"/>
      <c r="U339" s="505"/>
      <c r="V339" s="1053">
        <f>SUM(T339:U339)</f>
        <v>0</v>
      </c>
      <c r="W339" s="397">
        <f>F339-V339</f>
        <v>0</v>
      </c>
      <c r="X339" s="512"/>
      <c r="Y339" s="508"/>
      <c r="Z339" s="507"/>
      <c r="AA339" s="505"/>
      <c r="AB339" s="295"/>
      <c r="AC339" s="305"/>
      <c r="AD339" s="799"/>
      <c r="AE339" s="800"/>
      <c r="AF339" s="801"/>
      <c r="AG339" s="831">
        <f>SUM(AE339:AF339)</f>
        <v>0</v>
      </c>
      <c r="AH339" s="799"/>
      <c r="AI339" s="800"/>
      <c r="AJ339" s="801"/>
      <c r="AK339" s="831">
        <f>SUM(AI339:AJ339)</f>
        <v>0</v>
      </c>
      <c r="AL339" s="799"/>
      <c r="AM339" s="800"/>
      <c r="AN339" s="801"/>
      <c r="AO339" s="831">
        <f>SUM(AM339:AN339)</f>
        <v>0</v>
      </c>
      <c r="AP339" s="1079">
        <f t="shared" ref="AP339" si="235">SUM(F339,AD339,AH339,AL339)</f>
        <v>0</v>
      </c>
      <c r="AQ339" s="1079">
        <f t="shared" ref="AQ339" si="236">SUM(AO339,AK339,AG339,V339)</f>
        <v>0</v>
      </c>
      <c r="AR339" s="1080">
        <f t="shared" ref="AR339" si="237">AP339-AQ339</f>
        <v>0</v>
      </c>
      <c r="AS339" s="307"/>
      <c r="AT339" s="307"/>
      <c r="AU339" s="307"/>
      <c r="AV339" s="307"/>
      <c r="AW339" s="307"/>
      <c r="AX339" s="307"/>
      <c r="AY339" s="307"/>
      <c r="AZ339" s="307"/>
      <c r="BA339" s="307"/>
      <c r="BB339" s="196" t="s">
        <v>57</v>
      </c>
      <c r="BC339" s="196" t="s">
        <v>365</v>
      </c>
      <c r="BD339" s="212"/>
      <c r="BE339" s="212"/>
      <c r="BF339" s="212"/>
      <c r="BG339" s="212"/>
      <c r="BH339" s="212"/>
      <c r="BI339" s="212"/>
      <c r="BJ339" s="212"/>
      <c r="BK339" s="212"/>
      <c r="BL339" s="212"/>
      <c r="BM339" s="212"/>
      <c r="BN339" s="212"/>
      <c r="BO339" s="212"/>
      <c r="BP339" s="212"/>
      <c r="BQ339" s="212"/>
      <c r="BR339" s="212"/>
      <c r="BS339" s="212"/>
      <c r="BT339" s="212"/>
      <c r="BU339" s="212"/>
      <c r="BV339" s="212"/>
      <c r="BW339" s="212"/>
      <c r="BX339" s="212"/>
      <c r="BY339" s="212"/>
      <c r="BZ339" s="212"/>
      <c r="CA339" s="212"/>
      <c r="CB339" s="212"/>
      <c r="CC339" s="212"/>
      <c r="CD339" s="212"/>
      <c r="CE339" s="212"/>
    </row>
    <row r="340" spans="1:83" x14ac:dyDescent="0.2">
      <c r="A340" s="1055"/>
      <c r="B340" s="496"/>
      <c r="C340" s="303"/>
      <c r="D340" s="295"/>
      <c r="E340" s="324"/>
      <c r="F340" s="371"/>
      <c r="G340" s="1056"/>
      <c r="H340" s="1056"/>
      <c r="I340" s="1057"/>
      <c r="J340" s="325"/>
      <c r="K340" s="324"/>
      <c r="L340" s="324"/>
      <c r="M340" s="324"/>
      <c r="N340" s="326"/>
      <c r="O340" s="509"/>
      <c r="P340" s="509"/>
      <c r="Q340" s="509"/>
      <c r="R340" s="509"/>
      <c r="S340" s="514"/>
      <c r="T340" s="510"/>
      <c r="U340" s="327"/>
      <c r="V340" s="1041"/>
      <c r="W340" s="1042"/>
      <c r="X340" s="509"/>
      <c r="Y340" s="509"/>
      <c r="Z340" s="509"/>
      <c r="AA340" s="509"/>
      <c r="AB340" s="295"/>
      <c r="AC340" s="305"/>
      <c r="AD340" s="805"/>
      <c r="AE340" s="807"/>
      <c r="AF340" s="807"/>
      <c r="AG340" s="832"/>
      <c r="AH340" s="805"/>
      <c r="AI340" s="807"/>
      <c r="AJ340" s="807"/>
      <c r="AK340" s="832"/>
      <c r="AL340" s="805"/>
      <c r="AM340" s="807"/>
      <c r="AN340" s="807"/>
      <c r="AO340" s="832"/>
      <c r="AP340" s="822"/>
      <c r="AQ340" s="822"/>
      <c r="AR340" s="822"/>
      <c r="AS340" s="307"/>
      <c r="AT340" s="307"/>
      <c r="AU340" s="307"/>
      <c r="AV340" s="307"/>
      <c r="AW340" s="307"/>
      <c r="AX340" s="307"/>
      <c r="AY340" s="307"/>
      <c r="AZ340" s="307"/>
      <c r="BA340" s="307"/>
      <c r="BB340" s="196"/>
      <c r="BC340" s="196"/>
      <c r="BD340" s="212"/>
      <c r="BE340" s="212"/>
      <c r="BF340" s="212"/>
      <c r="BG340" s="212"/>
      <c r="BH340" s="212"/>
      <c r="BI340" s="212"/>
      <c r="BJ340" s="212"/>
      <c r="BK340" s="212"/>
      <c r="BL340" s="212"/>
      <c r="BM340" s="212"/>
      <c r="BN340" s="212"/>
      <c r="BO340" s="212"/>
      <c r="BP340" s="212"/>
      <c r="BQ340" s="212"/>
      <c r="BR340" s="212"/>
      <c r="BS340" s="212"/>
      <c r="BT340" s="212"/>
      <c r="BU340" s="212"/>
      <c r="BV340" s="212"/>
      <c r="BW340" s="212"/>
      <c r="BX340" s="212"/>
      <c r="BY340" s="212"/>
      <c r="BZ340" s="212"/>
      <c r="CA340" s="212"/>
      <c r="CB340" s="212"/>
      <c r="CC340" s="212"/>
      <c r="CD340" s="212"/>
      <c r="CE340" s="212"/>
    </row>
    <row r="341" spans="1:83" x14ac:dyDescent="0.2">
      <c r="A341" s="1055"/>
      <c r="B341" s="496" t="str">
        <f>IF(Stammblatt!$L$4=1,'Kalkulation Herstellungskosten'!BB341,'Kalkulation Herstellungskosten'!BC341)</f>
        <v>Sonstige technische und produktionstechnische  Geräte:</v>
      </c>
      <c r="C341" s="303"/>
      <c r="D341" s="295"/>
      <c r="E341" s="304"/>
      <c r="F341" s="371"/>
      <c r="G341" s="1056"/>
      <c r="H341" s="1056"/>
      <c r="I341" s="1057"/>
      <c r="J341" s="325"/>
      <c r="K341" s="324"/>
      <c r="L341" s="324"/>
      <c r="M341" s="324"/>
      <c r="N341" s="326"/>
      <c r="O341" s="509"/>
      <c r="P341" s="509"/>
      <c r="Q341" s="509"/>
      <c r="R341" s="509"/>
      <c r="S341" s="514"/>
      <c r="T341" s="510"/>
      <c r="U341" s="327"/>
      <c r="V341" s="1041"/>
      <c r="W341" s="1042"/>
      <c r="X341" s="509"/>
      <c r="Y341" s="509"/>
      <c r="Z341" s="509"/>
      <c r="AA341" s="509"/>
      <c r="AB341" s="295"/>
      <c r="AC341" s="305"/>
      <c r="AD341" s="805"/>
      <c r="AE341" s="807"/>
      <c r="AF341" s="807"/>
      <c r="AG341" s="832"/>
      <c r="AH341" s="805"/>
      <c r="AI341" s="807"/>
      <c r="AJ341" s="807"/>
      <c r="AK341" s="832"/>
      <c r="AL341" s="805"/>
      <c r="AM341" s="807"/>
      <c r="AN341" s="807"/>
      <c r="AO341" s="832"/>
      <c r="AP341" s="822"/>
      <c r="AQ341" s="822"/>
      <c r="AR341" s="822"/>
      <c r="AS341" s="307"/>
      <c r="AT341" s="307"/>
      <c r="AU341" s="307"/>
      <c r="AV341" s="307"/>
      <c r="AW341" s="307"/>
      <c r="AX341" s="307"/>
      <c r="AY341" s="307"/>
      <c r="AZ341" s="307"/>
      <c r="BA341" s="307"/>
      <c r="BB341" s="196" t="s">
        <v>58</v>
      </c>
      <c r="BC341" s="196" t="s">
        <v>394</v>
      </c>
      <c r="BD341" s="212"/>
      <c r="BE341" s="212"/>
      <c r="BF341" s="212"/>
      <c r="BG341" s="212"/>
      <c r="BH341" s="212"/>
      <c r="BI341" s="212"/>
      <c r="BJ341" s="212"/>
      <c r="BK341" s="212"/>
      <c r="BL341" s="212"/>
      <c r="BM341" s="212"/>
      <c r="BN341" s="212"/>
      <c r="BO341" s="212"/>
      <c r="BP341" s="212"/>
      <c r="BQ341" s="212"/>
      <c r="BR341" s="212"/>
      <c r="BS341" s="212"/>
      <c r="BT341" s="212"/>
      <c r="BU341" s="212"/>
      <c r="BV341" s="212"/>
      <c r="BW341" s="212"/>
      <c r="BX341" s="212"/>
      <c r="BY341" s="212"/>
      <c r="BZ341" s="212"/>
      <c r="CA341" s="212"/>
      <c r="CB341" s="212"/>
      <c r="CC341" s="212"/>
      <c r="CD341" s="212"/>
      <c r="CE341" s="212"/>
    </row>
    <row r="342" spans="1:83" x14ac:dyDescent="0.2">
      <c r="A342" s="1091">
        <v>101</v>
      </c>
      <c r="B342" s="1082" t="str">
        <f>IF(Stammblatt!$L$4=1,'Kalkulation Herstellungskosten'!BB342,'Kalkulation Herstellungskosten'!BC342)</f>
        <v>Schienenwagen</v>
      </c>
      <c r="C342" s="30"/>
      <c r="D342" s="318"/>
      <c r="E342" s="32"/>
      <c r="F342" s="396">
        <f>C342*E342</f>
        <v>0</v>
      </c>
      <c r="G342" s="1035"/>
      <c r="H342" s="1035"/>
      <c r="I342" s="1086"/>
      <c r="J342" s="322"/>
      <c r="K342" s="320"/>
      <c r="L342" s="320"/>
      <c r="M342" s="320"/>
      <c r="N342" s="323"/>
      <c r="O342" s="512"/>
      <c r="P342" s="506"/>
      <c r="Q342" s="507"/>
      <c r="R342" s="505"/>
      <c r="S342" s="514"/>
      <c r="T342" s="517"/>
      <c r="U342" s="505"/>
      <c r="V342" s="1053">
        <f t="shared" ref="V342:V347" si="238">SUM(T342:U342)</f>
        <v>0</v>
      </c>
      <c r="W342" s="397">
        <f t="shared" ref="W342:W347" si="239">F342-V342</f>
        <v>0</v>
      </c>
      <c r="X342" s="512"/>
      <c r="Y342" s="508"/>
      <c r="Z342" s="507"/>
      <c r="AA342" s="505"/>
      <c r="AB342" s="295"/>
      <c r="AC342" s="305"/>
      <c r="AD342" s="799"/>
      <c r="AE342" s="800"/>
      <c r="AF342" s="801"/>
      <c r="AG342" s="831">
        <f t="shared" ref="AG342:AG347" si="240">SUM(AE342:AF342)</f>
        <v>0</v>
      </c>
      <c r="AH342" s="799"/>
      <c r="AI342" s="800"/>
      <c r="AJ342" s="801"/>
      <c r="AK342" s="831">
        <f t="shared" ref="AK342:AK347" si="241">SUM(AI342:AJ342)</f>
        <v>0</v>
      </c>
      <c r="AL342" s="799"/>
      <c r="AM342" s="800"/>
      <c r="AN342" s="801"/>
      <c r="AO342" s="831">
        <f t="shared" ref="AO342:AO347" si="242">SUM(AM342:AN342)</f>
        <v>0</v>
      </c>
      <c r="AP342" s="1079">
        <f t="shared" ref="AP342:AP347" si="243">SUM(F342,AD342,AH342,AL342)</f>
        <v>0</v>
      </c>
      <c r="AQ342" s="1079">
        <f t="shared" ref="AQ342" si="244">SUM(AO342,AK342,AG342,V342)</f>
        <v>0</v>
      </c>
      <c r="AR342" s="1080">
        <f t="shared" ref="AR342" si="245">AP342-AQ342</f>
        <v>0</v>
      </c>
      <c r="AS342" s="307"/>
      <c r="AT342" s="307"/>
      <c r="AU342" s="307"/>
      <c r="AV342" s="307"/>
      <c r="AW342" s="307"/>
      <c r="AX342" s="307"/>
      <c r="AY342" s="307"/>
      <c r="AZ342" s="307"/>
      <c r="BA342" s="307"/>
      <c r="BB342" s="196" t="s">
        <v>59</v>
      </c>
      <c r="BC342" s="196" t="s">
        <v>367</v>
      </c>
      <c r="BD342" s="212"/>
      <c r="BE342" s="212"/>
      <c r="BF342" s="212"/>
      <c r="BG342" s="212"/>
      <c r="BH342" s="212"/>
      <c r="BI342" s="212"/>
      <c r="BJ342" s="212"/>
      <c r="BK342" s="212"/>
      <c r="BL342" s="212"/>
      <c r="BM342" s="212"/>
      <c r="BN342" s="212"/>
      <c r="BO342" s="212"/>
      <c r="BP342" s="212"/>
      <c r="BQ342" s="212"/>
      <c r="BR342" s="212"/>
      <c r="BS342" s="212"/>
      <c r="BT342" s="212"/>
      <c r="BU342" s="212"/>
      <c r="BV342" s="212"/>
      <c r="BW342" s="212"/>
      <c r="BX342" s="212"/>
      <c r="BY342" s="212"/>
      <c r="BZ342" s="212"/>
      <c r="CA342" s="212"/>
      <c r="CB342" s="212"/>
      <c r="CC342" s="212"/>
      <c r="CD342" s="212"/>
      <c r="CE342" s="212"/>
    </row>
    <row r="343" spans="1:83" x14ac:dyDescent="0.2">
      <c r="A343" s="1091">
        <v>102</v>
      </c>
      <c r="B343" s="1082" t="str">
        <f>IF(Stammblatt!$L$4=1,'Kalkulation Herstellungskosten'!BB343,'Kalkulation Herstellungskosten'!BC343)</f>
        <v>Steiger</v>
      </c>
      <c r="C343" s="30"/>
      <c r="D343" s="318"/>
      <c r="E343" s="32"/>
      <c r="F343" s="396">
        <f>C343*E343</f>
        <v>0</v>
      </c>
      <c r="G343" s="1035"/>
      <c r="H343" s="1035"/>
      <c r="I343" s="1086"/>
      <c r="J343" s="347"/>
      <c r="K343" s="348"/>
      <c r="L343" s="348"/>
      <c r="M343" s="348"/>
      <c r="N343" s="349"/>
      <c r="O343" s="512"/>
      <c r="P343" s="506"/>
      <c r="Q343" s="507"/>
      <c r="R343" s="505"/>
      <c r="S343" s="514"/>
      <c r="T343" s="517"/>
      <c r="U343" s="505"/>
      <c r="V343" s="1053">
        <f t="shared" si="238"/>
        <v>0</v>
      </c>
      <c r="W343" s="397">
        <f t="shared" si="239"/>
        <v>0</v>
      </c>
      <c r="X343" s="512"/>
      <c r="Y343" s="508"/>
      <c r="Z343" s="507"/>
      <c r="AA343" s="505"/>
      <c r="AB343" s="295"/>
      <c r="AC343" s="305"/>
      <c r="AD343" s="799"/>
      <c r="AE343" s="800"/>
      <c r="AF343" s="801"/>
      <c r="AG343" s="831">
        <f t="shared" si="240"/>
        <v>0</v>
      </c>
      <c r="AH343" s="799"/>
      <c r="AI343" s="800"/>
      <c r="AJ343" s="801"/>
      <c r="AK343" s="831">
        <f t="shared" si="241"/>
        <v>0</v>
      </c>
      <c r="AL343" s="799"/>
      <c r="AM343" s="800"/>
      <c r="AN343" s="801"/>
      <c r="AO343" s="831">
        <f t="shared" si="242"/>
        <v>0</v>
      </c>
      <c r="AP343" s="1079">
        <f t="shared" si="243"/>
        <v>0</v>
      </c>
      <c r="AQ343" s="1079">
        <f t="shared" ref="AQ343:AQ347" si="246">SUM(AO343,AK343,AG343,V343)</f>
        <v>0</v>
      </c>
      <c r="AR343" s="1080">
        <f t="shared" ref="AR343:AR347" si="247">AP343-AQ343</f>
        <v>0</v>
      </c>
      <c r="AS343" s="307"/>
      <c r="AT343" s="307"/>
      <c r="AU343" s="307"/>
      <c r="AV343" s="307"/>
      <c r="AW343" s="307"/>
      <c r="AX343" s="307"/>
      <c r="AY343" s="307"/>
      <c r="AZ343" s="307"/>
      <c r="BA343" s="307"/>
      <c r="BB343" s="196" t="s">
        <v>739</v>
      </c>
      <c r="BC343" s="196" t="s">
        <v>742</v>
      </c>
      <c r="BD343" s="212"/>
      <c r="BE343" s="212"/>
      <c r="BF343" s="212"/>
      <c r="BG343" s="212"/>
      <c r="BH343" s="212"/>
      <c r="BI343" s="212"/>
      <c r="BJ343" s="212"/>
      <c r="BK343" s="212"/>
      <c r="BL343" s="212"/>
      <c r="BM343" s="212"/>
      <c r="BN343" s="212"/>
      <c r="BO343" s="212"/>
      <c r="BP343" s="212"/>
      <c r="BQ343" s="212"/>
      <c r="BR343" s="212"/>
      <c r="BS343" s="212"/>
      <c r="BT343" s="212"/>
      <c r="BU343" s="212"/>
      <c r="BV343" s="212"/>
      <c r="BW343" s="212"/>
      <c r="BX343" s="212"/>
      <c r="BY343" s="212"/>
      <c r="BZ343" s="212"/>
      <c r="CA343" s="212"/>
      <c r="CB343" s="212"/>
      <c r="CC343" s="212"/>
      <c r="CD343" s="212"/>
      <c r="CE343" s="212"/>
    </row>
    <row r="344" spans="1:83" x14ac:dyDescent="0.2">
      <c r="A344" s="1091">
        <v>103</v>
      </c>
      <c r="B344" s="1082" t="str">
        <f>IF(Stammblatt!$L$4=1,'Kalkulation Herstellungskosten'!BB344,'Kalkulation Herstellungskosten'!BC344)</f>
        <v>Scherenbühne</v>
      </c>
      <c r="C344" s="30"/>
      <c r="D344" s="318"/>
      <c r="E344" s="32"/>
      <c r="F344" s="396">
        <f>C344*E344</f>
        <v>0</v>
      </c>
      <c r="G344" s="1035"/>
      <c r="H344" s="1035"/>
      <c r="I344" s="1086"/>
      <c r="J344" s="347"/>
      <c r="K344" s="348"/>
      <c r="L344" s="348"/>
      <c r="M344" s="348"/>
      <c r="N344" s="349"/>
      <c r="O344" s="512"/>
      <c r="P344" s="506"/>
      <c r="Q344" s="507"/>
      <c r="R344" s="505"/>
      <c r="S344" s="514"/>
      <c r="T344" s="517"/>
      <c r="U344" s="505"/>
      <c r="V344" s="1053">
        <f t="shared" si="238"/>
        <v>0</v>
      </c>
      <c r="W344" s="397">
        <f t="shared" si="239"/>
        <v>0</v>
      </c>
      <c r="X344" s="512"/>
      <c r="Y344" s="508"/>
      <c r="Z344" s="507"/>
      <c r="AA344" s="505"/>
      <c r="AB344" s="295"/>
      <c r="AC344" s="305"/>
      <c r="AD344" s="799"/>
      <c r="AE344" s="800"/>
      <c r="AF344" s="801"/>
      <c r="AG344" s="831">
        <f t="shared" si="240"/>
        <v>0</v>
      </c>
      <c r="AH344" s="799"/>
      <c r="AI344" s="800"/>
      <c r="AJ344" s="801"/>
      <c r="AK344" s="831">
        <f t="shared" si="241"/>
        <v>0</v>
      </c>
      <c r="AL344" s="799"/>
      <c r="AM344" s="800"/>
      <c r="AN344" s="801"/>
      <c r="AO344" s="831">
        <f t="shared" si="242"/>
        <v>0</v>
      </c>
      <c r="AP344" s="1079">
        <f t="shared" si="243"/>
        <v>0</v>
      </c>
      <c r="AQ344" s="1079">
        <f t="shared" si="246"/>
        <v>0</v>
      </c>
      <c r="AR344" s="1080">
        <f t="shared" si="247"/>
        <v>0</v>
      </c>
      <c r="AS344" s="307"/>
      <c r="AT344" s="307"/>
      <c r="AU344" s="307"/>
      <c r="AV344" s="307"/>
      <c r="AW344" s="307"/>
      <c r="AX344" s="307"/>
      <c r="AY344" s="307"/>
      <c r="AZ344" s="307"/>
      <c r="BA344" s="307"/>
      <c r="BB344" s="196" t="s">
        <v>740</v>
      </c>
      <c r="BC344" s="196" t="s">
        <v>741</v>
      </c>
      <c r="BD344" s="212"/>
      <c r="BE344" s="212"/>
      <c r="BF344" s="212"/>
      <c r="BG344" s="212"/>
      <c r="BH344" s="212"/>
      <c r="BI344" s="212"/>
      <c r="BJ344" s="212"/>
      <c r="BK344" s="212"/>
      <c r="BL344" s="212"/>
      <c r="BM344" s="212"/>
      <c r="BN344" s="212"/>
      <c r="BO344" s="212"/>
      <c r="BP344" s="212"/>
      <c r="BQ344" s="212"/>
      <c r="BR344" s="212"/>
      <c r="BS344" s="212"/>
      <c r="BT344" s="212"/>
      <c r="BU344" s="212"/>
      <c r="BV344" s="212"/>
      <c r="BW344" s="212"/>
      <c r="BX344" s="212"/>
      <c r="BY344" s="212"/>
      <c r="BZ344" s="212"/>
      <c r="CA344" s="212"/>
      <c r="CB344" s="212"/>
      <c r="CC344" s="212"/>
      <c r="CD344" s="212"/>
      <c r="CE344" s="212"/>
    </row>
    <row r="345" spans="1:83" x14ac:dyDescent="0.2">
      <c r="A345" s="1091">
        <v>104</v>
      </c>
      <c r="B345" s="1082" t="str">
        <f>IF(Stammblatt!$L$4=1,'Kalkulation Herstellungskosten'!BB345,'Kalkulation Herstellungskosten'!BC345)</f>
        <v>Aufnahmewagen</v>
      </c>
      <c r="C345" s="30"/>
      <c r="D345" s="318"/>
      <c r="E345" s="32"/>
      <c r="F345" s="396">
        <f>C345*E345</f>
        <v>0</v>
      </c>
      <c r="G345" s="1035"/>
      <c r="H345" s="1035"/>
      <c r="I345" s="1086"/>
      <c r="J345" s="347"/>
      <c r="K345" s="348"/>
      <c r="L345" s="348"/>
      <c r="M345" s="348"/>
      <c r="N345" s="349"/>
      <c r="O345" s="512"/>
      <c r="P345" s="506"/>
      <c r="Q345" s="507"/>
      <c r="R345" s="505"/>
      <c r="S345" s="514"/>
      <c r="T345" s="517"/>
      <c r="U345" s="505"/>
      <c r="V345" s="1053">
        <f t="shared" si="238"/>
        <v>0</v>
      </c>
      <c r="W345" s="397">
        <f t="shared" si="239"/>
        <v>0</v>
      </c>
      <c r="X345" s="512"/>
      <c r="Y345" s="508"/>
      <c r="Z345" s="507"/>
      <c r="AA345" s="505"/>
      <c r="AB345" s="295"/>
      <c r="AC345" s="305"/>
      <c r="AD345" s="799"/>
      <c r="AE345" s="800"/>
      <c r="AF345" s="801"/>
      <c r="AG345" s="831">
        <f t="shared" si="240"/>
        <v>0</v>
      </c>
      <c r="AH345" s="799"/>
      <c r="AI345" s="800"/>
      <c r="AJ345" s="801"/>
      <c r="AK345" s="831">
        <f t="shared" si="241"/>
        <v>0</v>
      </c>
      <c r="AL345" s="799"/>
      <c r="AM345" s="800"/>
      <c r="AN345" s="801"/>
      <c r="AO345" s="831">
        <f t="shared" si="242"/>
        <v>0</v>
      </c>
      <c r="AP345" s="1079">
        <f t="shared" si="243"/>
        <v>0</v>
      </c>
      <c r="AQ345" s="1079">
        <f t="shared" si="246"/>
        <v>0</v>
      </c>
      <c r="AR345" s="1080">
        <f t="shared" si="247"/>
        <v>0</v>
      </c>
      <c r="AS345" s="307"/>
      <c r="AT345" s="307"/>
      <c r="AU345" s="307"/>
      <c r="AV345" s="307"/>
      <c r="AW345" s="307"/>
      <c r="AX345" s="307"/>
      <c r="AY345" s="307"/>
      <c r="AZ345" s="307"/>
      <c r="BA345" s="307"/>
      <c r="BB345" s="196" t="s">
        <v>60</v>
      </c>
      <c r="BC345" s="196" t="s">
        <v>364</v>
      </c>
      <c r="BD345" s="212"/>
      <c r="BE345" s="212"/>
      <c r="BF345" s="212"/>
      <c r="BG345" s="212"/>
      <c r="BH345" s="212"/>
      <c r="BI345" s="212"/>
      <c r="BJ345" s="212"/>
      <c r="BK345" s="212"/>
      <c r="BL345" s="212"/>
      <c r="BM345" s="212"/>
      <c r="BN345" s="212"/>
      <c r="BO345" s="212"/>
      <c r="BP345" s="212"/>
      <c r="BQ345" s="212"/>
      <c r="BR345" s="212"/>
      <c r="BS345" s="212"/>
      <c r="BT345" s="212"/>
      <c r="BU345" s="212"/>
      <c r="BV345" s="212"/>
      <c r="BW345" s="212"/>
      <c r="BX345" s="212"/>
      <c r="BY345" s="212"/>
      <c r="BZ345" s="212"/>
      <c r="CA345" s="212"/>
      <c r="CB345" s="212"/>
      <c r="CC345" s="212"/>
      <c r="CD345" s="212"/>
      <c r="CE345" s="212"/>
    </row>
    <row r="346" spans="1:83" x14ac:dyDescent="0.2">
      <c r="A346" s="1091">
        <v>105</v>
      </c>
      <c r="B346" s="1082" t="str">
        <f>IF(Stammblatt!$L$4=1,'Kalkulation Herstellungskosten'!BB346,'Kalkulation Herstellungskosten'!BC346)</f>
        <v>Funkgeräte</v>
      </c>
      <c r="C346" s="30"/>
      <c r="D346" s="318"/>
      <c r="E346" s="32"/>
      <c r="F346" s="396">
        <f>C346*E346</f>
        <v>0</v>
      </c>
      <c r="G346" s="1056"/>
      <c r="H346" s="1056"/>
      <c r="I346" s="1057"/>
      <c r="J346" s="325"/>
      <c r="K346" s="324"/>
      <c r="L346" s="324"/>
      <c r="M346" s="324"/>
      <c r="N346" s="326"/>
      <c r="O346" s="512"/>
      <c r="P346" s="506"/>
      <c r="Q346" s="507"/>
      <c r="R346" s="505"/>
      <c r="S346" s="514"/>
      <c r="T346" s="517"/>
      <c r="U346" s="505"/>
      <c r="V346" s="1053">
        <f t="shared" si="238"/>
        <v>0</v>
      </c>
      <c r="W346" s="397">
        <f t="shared" si="239"/>
        <v>0</v>
      </c>
      <c r="X346" s="512"/>
      <c r="Y346" s="508"/>
      <c r="Z346" s="507"/>
      <c r="AA346" s="505"/>
      <c r="AB346" s="295"/>
      <c r="AC346" s="305"/>
      <c r="AD346" s="799"/>
      <c r="AE346" s="800"/>
      <c r="AF346" s="801"/>
      <c r="AG346" s="831">
        <f t="shared" si="240"/>
        <v>0</v>
      </c>
      <c r="AH346" s="799"/>
      <c r="AI346" s="800"/>
      <c r="AJ346" s="801"/>
      <c r="AK346" s="831">
        <f t="shared" si="241"/>
        <v>0</v>
      </c>
      <c r="AL346" s="799"/>
      <c r="AM346" s="800"/>
      <c r="AN346" s="801"/>
      <c r="AO346" s="831">
        <f t="shared" si="242"/>
        <v>0</v>
      </c>
      <c r="AP346" s="1079">
        <f t="shared" si="243"/>
        <v>0</v>
      </c>
      <c r="AQ346" s="1079">
        <f t="shared" si="246"/>
        <v>0</v>
      </c>
      <c r="AR346" s="1080">
        <f t="shared" si="247"/>
        <v>0</v>
      </c>
      <c r="AS346" s="307"/>
      <c r="AT346" s="307"/>
      <c r="AU346" s="307"/>
      <c r="AV346" s="307"/>
      <c r="AW346" s="307"/>
      <c r="AX346" s="307"/>
      <c r="AY346" s="307"/>
      <c r="AZ346" s="307"/>
      <c r="BA346" s="307"/>
      <c r="BB346" s="196" t="s">
        <v>743</v>
      </c>
      <c r="BC346" s="196" t="s">
        <v>744</v>
      </c>
      <c r="BD346" s="212"/>
      <c r="BE346" s="212"/>
      <c r="BF346" s="212"/>
      <c r="BG346" s="212"/>
      <c r="BH346" s="212"/>
      <c r="BI346" s="212"/>
      <c r="BJ346" s="212"/>
      <c r="BK346" s="212"/>
      <c r="BL346" s="212"/>
      <c r="BM346" s="212"/>
      <c r="BN346" s="212"/>
      <c r="BO346" s="212"/>
      <c r="BP346" s="212"/>
      <c r="BQ346" s="212"/>
      <c r="BR346" s="212"/>
      <c r="BS346" s="212"/>
      <c r="BT346" s="212"/>
      <c r="BU346" s="212"/>
      <c r="BV346" s="212"/>
      <c r="BW346" s="212"/>
      <c r="BX346" s="212"/>
      <c r="BY346" s="212"/>
      <c r="BZ346" s="212"/>
      <c r="CA346" s="212"/>
      <c r="CB346" s="212"/>
      <c r="CC346" s="212"/>
      <c r="CD346" s="212"/>
      <c r="CE346" s="212"/>
    </row>
    <row r="347" spans="1:83" x14ac:dyDescent="0.2">
      <c r="A347" s="1091">
        <v>106</v>
      </c>
      <c r="B347" s="1082" t="str">
        <f>IF(Stammblatt!$L$4=1,'Kalkulation Herstellungskosten'!BB347,'Kalkulation Herstellungskosten'!BC347)</f>
        <v>Sonstiges :*)</v>
      </c>
      <c r="C347" s="317"/>
      <c r="D347" s="318"/>
      <c r="E347" s="319"/>
      <c r="F347" s="32"/>
      <c r="G347" s="1035"/>
      <c r="H347" s="1035"/>
      <c r="I347" s="1086"/>
      <c r="J347" s="347"/>
      <c r="K347" s="348"/>
      <c r="L347" s="348"/>
      <c r="M347" s="348"/>
      <c r="N347" s="349"/>
      <c r="O347" s="512"/>
      <c r="P347" s="506"/>
      <c r="Q347" s="507"/>
      <c r="R347" s="505"/>
      <c r="S347" s="514"/>
      <c r="T347" s="517"/>
      <c r="U347" s="505"/>
      <c r="V347" s="1053">
        <f t="shared" si="238"/>
        <v>0</v>
      </c>
      <c r="W347" s="397">
        <f t="shared" si="239"/>
        <v>0</v>
      </c>
      <c r="X347" s="512"/>
      <c r="Y347" s="508"/>
      <c r="Z347" s="507"/>
      <c r="AA347" s="505"/>
      <c r="AB347" s="295"/>
      <c r="AC347" s="305"/>
      <c r="AD347" s="799"/>
      <c r="AE347" s="800"/>
      <c r="AF347" s="801"/>
      <c r="AG347" s="831">
        <f t="shared" si="240"/>
        <v>0</v>
      </c>
      <c r="AH347" s="799"/>
      <c r="AI347" s="800"/>
      <c r="AJ347" s="801"/>
      <c r="AK347" s="831">
        <f t="shared" si="241"/>
        <v>0</v>
      </c>
      <c r="AL347" s="799"/>
      <c r="AM347" s="800"/>
      <c r="AN347" s="801"/>
      <c r="AO347" s="831">
        <f t="shared" si="242"/>
        <v>0</v>
      </c>
      <c r="AP347" s="1079">
        <f t="shared" si="243"/>
        <v>0</v>
      </c>
      <c r="AQ347" s="1079">
        <f t="shared" si="246"/>
        <v>0</v>
      </c>
      <c r="AR347" s="1080">
        <f t="shared" si="247"/>
        <v>0</v>
      </c>
      <c r="AS347" s="307"/>
      <c r="AT347" s="307"/>
      <c r="AU347" s="307"/>
      <c r="AV347" s="307"/>
      <c r="AW347" s="307"/>
      <c r="AX347" s="307"/>
      <c r="AY347" s="307"/>
      <c r="AZ347" s="307"/>
      <c r="BA347" s="307"/>
      <c r="BB347" s="196" t="s">
        <v>57</v>
      </c>
      <c r="BC347" s="196" t="s">
        <v>365</v>
      </c>
      <c r="BD347" s="212"/>
      <c r="BE347" s="212"/>
      <c r="BF347" s="212"/>
      <c r="BG347" s="212"/>
      <c r="BH347" s="212"/>
      <c r="BI347" s="212"/>
      <c r="BJ347" s="212"/>
      <c r="BK347" s="212"/>
      <c r="BL347" s="212"/>
      <c r="BM347" s="212"/>
      <c r="BN347" s="212"/>
      <c r="BO347" s="212"/>
      <c r="BP347" s="212"/>
      <c r="BQ347" s="212"/>
      <c r="BR347" s="212"/>
      <c r="BS347" s="212"/>
      <c r="BT347" s="212"/>
      <c r="BU347" s="212"/>
      <c r="BV347" s="212"/>
      <c r="BW347" s="212"/>
      <c r="BX347" s="212"/>
      <c r="BY347" s="212"/>
      <c r="BZ347" s="212"/>
      <c r="CA347" s="212"/>
      <c r="CB347" s="212"/>
      <c r="CC347" s="212"/>
      <c r="CD347" s="212"/>
      <c r="CE347" s="212"/>
    </row>
    <row r="348" spans="1:83" x14ac:dyDescent="0.2">
      <c r="A348" s="1055"/>
      <c r="B348" s="496"/>
      <c r="C348" s="490"/>
      <c r="D348" s="328"/>
      <c r="E348" s="371"/>
      <c r="F348" s="371"/>
      <c r="G348" s="1056"/>
      <c r="H348" s="1056"/>
      <c r="I348" s="1057"/>
      <c r="J348" s="1058"/>
      <c r="K348" s="1056"/>
      <c r="L348" s="1056"/>
      <c r="M348" s="1056"/>
      <c r="N348" s="335"/>
      <c r="O348" s="1059"/>
      <c r="P348" s="1059"/>
      <c r="Q348" s="1059"/>
      <c r="R348" s="1059"/>
      <c r="S348" s="1046"/>
      <c r="T348" s="1060"/>
      <c r="U348" s="1041"/>
      <c r="V348" s="1041"/>
      <c r="W348" s="1042"/>
      <c r="X348" s="1059"/>
      <c r="Y348" s="1059"/>
      <c r="Z348" s="1059"/>
      <c r="AA348" s="1059"/>
      <c r="AB348" s="328"/>
      <c r="AC348" s="1062"/>
      <c r="AD348" s="822"/>
      <c r="AE348" s="832"/>
      <c r="AF348" s="832"/>
      <c r="AG348" s="832"/>
      <c r="AH348" s="822"/>
      <c r="AI348" s="832"/>
      <c r="AJ348" s="832"/>
      <c r="AK348" s="832"/>
      <c r="AL348" s="822"/>
      <c r="AM348" s="832"/>
      <c r="AN348" s="832"/>
      <c r="AO348" s="832"/>
      <c r="AP348" s="822"/>
      <c r="AQ348" s="822"/>
      <c r="AR348" s="822"/>
      <c r="AS348" s="307"/>
      <c r="AT348" s="307"/>
      <c r="AU348" s="307"/>
      <c r="AV348" s="307"/>
      <c r="AW348" s="307"/>
      <c r="AX348" s="307"/>
      <c r="AY348" s="307"/>
      <c r="AZ348" s="307"/>
      <c r="BA348" s="307"/>
      <c r="BB348" s="196"/>
      <c r="BC348" s="196"/>
      <c r="BD348" s="212"/>
      <c r="BE348" s="212"/>
      <c r="BF348" s="212"/>
      <c r="BG348" s="212"/>
      <c r="BH348" s="212"/>
      <c r="BI348" s="212"/>
      <c r="BJ348" s="212"/>
      <c r="BK348" s="212"/>
      <c r="BL348" s="212"/>
      <c r="BM348" s="212"/>
      <c r="BN348" s="212"/>
      <c r="BO348" s="212"/>
      <c r="BP348" s="212"/>
      <c r="BQ348" s="212"/>
      <c r="BR348" s="212"/>
      <c r="BS348" s="212"/>
      <c r="BT348" s="212"/>
      <c r="BU348" s="212"/>
      <c r="BV348" s="212"/>
      <c r="BW348" s="212"/>
      <c r="BX348" s="212"/>
      <c r="BY348" s="212"/>
      <c r="BZ348" s="212"/>
      <c r="CA348" s="212"/>
      <c r="CB348" s="212"/>
      <c r="CC348" s="212"/>
      <c r="CD348" s="212"/>
      <c r="CE348" s="212"/>
    </row>
    <row r="349" spans="1:83" x14ac:dyDescent="0.2">
      <c r="A349" s="1092"/>
      <c r="B349" s="1090" t="str">
        <f>IF(Stammblatt!$L$4=1,'Kalkulation Herstellungskosten'!BB349,'Kalkulation Herstellungskosten'!BC349)</f>
        <v>Σ-Bild- und Tonaufnahme</v>
      </c>
      <c r="C349" s="1152"/>
      <c r="D349" s="1153"/>
      <c r="E349" s="1154"/>
      <c r="F349" s="1154">
        <f>SUM(F331:F348)</f>
        <v>0</v>
      </c>
      <c r="G349" s="1154"/>
      <c r="H349" s="1154"/>
      <c r="I349" s="1155"/>
      <c r="J349" s="1156"/>
      <c r="K349" s="1154"/>
      <c r="L349" s="1154"/>
      <c r="M349" s="1154"/>
      <c r="N349" s="904"/>
      <c r="O349" s="90">
        <f>SUM(O331:O348)</f>
        <v>0</v>
      </c>
      <c r="P349" s="90">
        <f>SUM(P331:P348)</f>
        <v>0</v>
      </c>
      <c r="Q349" s="90">
        <f>SUM(Q331:Q348)</f>
        <v>0</v>
      </c>
      <c r="R349" s="90">
        <f>SUM(R331:R348)</f>
        <v>0</v>
      </c>
      <c r="S349" s="1046"/>
      <c r="T349" s="511">
        <f>SUM(T331:T348)</f>
        <v>0</v>
      </c>
      <c r="U349" s="90">
        <f>SUM(U331:U348)</f>
        <v>0</v>
      </c>
      <c r="V349" s="90">
        <f>SUM(V331:V348)</f>
        <v>0</v>
      </c>
      <c r="W349" s="1043">
        <f>ZS_4_Bild_Ton-V349</f>
        <v>0</v>
      </c>
      <c r="X349" s="90">
        <f>SUM(X331:X348)</f>
        <v>0</v>
      </c>
      <c r="Y349" s="90">
        <f>SUM(Y331:Y348)</f>
        <v>0</v>
      </c>
      <c r="Z349" s="90">
        <f>SUM(Z331:Z348)</f>
        <v>0</v>
      </c>
      <c r="AA349" s="90">
        <f>SUM(AA331:AA348)</f>
        <v>0</v>
      </c>
      <c r="AB349" s="328"/>
      <c r="AC349" s="1062"/>
      <c r="AD349" s="1158">
        <f t="shared" ref="AD349:AQ349" si="248">SUM(AD331:AD348)</f>
        <v>0</v>
      </c>
      <c r="AE349" s="1037">
        <f t="shared" si="248"/>
        <v>0</v>
      </c>
      <c r="AF349" s="653">
        <f t="shared" si="248"/>
        <v>0</v>
      </c>
      <c r="AG349" s="653">
        <f t="shared" si="248"/>
        <v>0</v>
      </c>
      <c r="AH349" s="1158">
        <f t="shared" si="248"/>
        <v>0</v>
      </c>
      <c r="AI349" s="1037">
        <f t="shared" si="248"/>
        <v>0</v>
      </c>
      <c r="AJ349" s="653">
        <f t="shared" si="248"/>
        <v>0</v>
      </c>
      <c r="AK349" s="653">
        <f t="shared" si="248"/>
        <v>0</v>
      </c>
      <c r="AL349" s="1158">
        <f t="shared" si="248"/>
        <v>0</v>
      </c>
      <c r="AM349" s="1037">
        <f t="shared" si="248"/>
        <v>0</v>
      </c>
      <c r="AN349" s="653">
        <f t="shared" si="248"/>
        <v>0</v>
      </c>
      <c r="AO349" s="653">
        <f t="shared" si="248"/>
        <v>0</v>
      </c>
      <c r="AP349" s="653">
        <f t="shared" si="248"/>
        <v>0</v>
      </c>
      <c r="AQ349" s="653">
        <f t="shared" si="248"/>
        <v>0</v>
      </c>
      <c r="AR349" s="1139">
        <f t="shared" ref="AR349" si="249">AP349-AQ349</f>
        <v>0</v>
      </c>
      <c r="AS349" s="307"/>
      <c r="AT349" s="307"/>
      <c r="AU349" s="307"/>
      <c r="AV349" s="307"/>
      <c r="AW349" s="307"/>
      <c r="AX349" s="307"/>
      <c r="AY349" s="307"/>
      <c r="AZ349" s="307"/>
      <c r="BA349" s="307"/>
      <c r="BB349" s="196" t="s">
        <v>231</v>
      </c>
      <c r="BC349" s="196" t="s">
        <v>366</v>
      </c>
      <c r="BD349" s="212"/>
      <c r="BE349" s="212"/>
      <c r="BF349" s="212"/>
      <c r="BG349" s="212"/>
      <c r="BH349" s="212"/>
      <c r="BI349" s="212"/>
      <c r="BJ349" s="212"/>
      <c r="BK349" s="212"/>
      <c r="BL349" s="212"/>
      <c r="BM349" s="212"/>
      <c r="BN349" s="212"/>
      <c r="BO349" s="212"/>
      <c r="BP349" s="212"/>
      <c r="BQ349" s="212"/>
      <c r="BR349" s="212"/>
      <c r="BS349" s="212"/>
      <c r="BT349" s="212"/>
      <c r="BU349" s="212"/>
      <c r="BV349" s="212"/>
      <c r="BW349" s="212"/>
      <c r="BX349" s="212"/>
      <c r="BY349" s="212"/>
      <c r="BZ349" s="212"/>
      <c r="CA349" s="212"/>
      <c r="CB349" s="212"/>
      <c r="CC349" s="212"/>
      <c r="CD349" s="212"/>
      <c r="CE349" s="212"/>
    </row>
    <row r="350" spans="1:83" x14ac:dyDescent="0.2">
      <c r="A350" s="1055"/>
      <c r="B350" s="496"/>
      <c r="C350" s="490"/>
      <c r="D350" s="328"/>
      <c r="E350" s="371"/>
      <c r="F350" s="371"/>
      <c r="G350" s="1056"/>
      <c r="H350" s="1056"/>
      <c r="I350" s="1057"/>
      <c r="J350" s="1058"/>
      <c r="K350" s="1056"/>
      <c r="L350" s="1056"/>
      <c r="M350" s="1056"/>
      <c r="N350" s="335"/>
      <c r="O350" s="1059"/>
      <c r="P350" s="1059"/>
      <c r="Q350" s="1059"/>
      <c r="R350" s="1059"/>
      <c r="S350" s="1046"/>
      <c r="T350" s="1060"/>
      <c r="U350" s="1041"/>
      <c r="V350" s="1041"/>
      <c r="W350" s="1041"/>
      <c r="X350" s="1041"/>
      <c r="Y350" s="1059"/>
      <c r="Z350" s="1059"/>
      <c r="AA350" s="1059"/>
      <c r="AB350" s="328"/>
      <c r="AC350" s="1062"/>
      <c r="AD350" s="822"/>
      <c r="AE350" s="832"/>
      <c r="AF350" s="832"/>
      <c r="AG350" s="832"/>
      <c r="AH350" s="822"/>
      <c r="AI350" s="832"/>
      <c r="AJ350" s="832"/>
      <c r="AK350" s="832"/>
      <c r="AL350" s="822"/>
      <c r="AM350" s="832"/>
      <c r="AN350" s="832"/>
      <c r="AO350" s="832"/>
      <c r="AP350" s="822"/>
      <c r="AQ350" s="822"/>
      <c r="AR350" s="822"/>
      <c r="AS350" s="307"/>
      <c r="AT350" s="307"/>
      <c r="AU350" s="307"/>
      <c r="AV350" s="307"/>
      <c r="AW350" s="307"/>
      <c r="AX350" s="307"/>
      <c r="AY350" s="307"/>
      <c r="AZ350" s="307"/>
      <c r="BA350" s="307"/>
      <c r="BB350" s="196"/>
      <c r="BC350" s="196"/>
      <c r="BD350" s="212"/>
      <c r="BE350" s="212"/>
      <c r="BF350" s="212"/>
      <c r="BG350" s="212"/>
      <c r="BH350" s="212"/>
      <c r="BI350" s="212"/>
      <c r="BJ350" s="212"/>
      <c r="BK350" s="212"/>
      <c r="BL350" s="212"/>
      <c r="BM350" s="212"/>
      <c r="BN350" s="212"/>
      <c r="BO350" s="212"/>
      <c r="BP350" s="212"/>
      <c r="BQ350" s="212"/>
      <c r="BR350" s="212"/>
      <c r="BS350" s="212"/>
      <c r="BT350" s="212"/>
      <c r="BU350" s="212"/>
      <c r="BV350" s="212"/>
      <c r="BW350" s="212"/>
      <c r="BX350" s="212"/>
      <c r="BY350" s="212"/>
      <c r="BZ350" s="212"/>
      <c r="CA350" s="212"/>
      <c r="CB350" s="212"/>
      <c r="CC350" s="212"/>
      <c r="CD350" s="212"/>
      <c r="CE350" s="212"/>
    </row>
    <row r="351" spans="1:83" x14ac:dyDescent="0.2">
      <c r="A351" s="1055"/>
      <c r="B351" s="496"/>
      <c r="C351" s="490"/>
      <c r="D351" s="328"/>
      <c r="E351" s="371"/>
      <c r="F351" s="371"/>
      <c r="G351" s="1056"/>
      <c r="H351" s="1056"/>
      <c r="I351" s="1057"/>
      <c r="J351" s="1058"/>
      <c r="K351" s="1056"/>
      <c r="L351" s="1056"/>
      <c r="M351" s="1056"/>
      <c r="N351" s="335"/>
      <c r="O351" s="1059"/>
      <c r="P351" s="1059"/>
      <c r="Q351" s="1059"/>
      <c r="R351" s="1059"/>
      <c r="S351" s="1046"/>
      <c r="T351" s="1060"/>
      <c r="U351" s="1041"/>
      <c r="V351" s="1041"/>
      <c r="W351" s="1041"/>
      <c r="X351" s="1041"/>
      <c r="Y351" s="1059"/>
      <c r="Z351" s="1059"/>
      <c r="AA351" s="1059"/>
      <c r="AB351" s="328"/>
      <c r="AC351" s="1062"/>
      <c r="AD351" s="822"/>
      <c r="AE351" s="832"/>
      <c r="AF351" s="832"/>
      <c r="AG351" s="832"/>
      <c r="AH351" s="822"/>
      <c r="AI351" s="832"/>
      <c r="AJ351" s="832"/>
      <c r="AK351" s="832"/>
      <c r="AL351" s="822"/>
      <c r="AM351" s="832"/>
      <c r="AN351" s="832"/>
      <c r="AO351" s="832"/>
      <c r="AP351" s="822"/>
      <c r="AQ351" s="822"/>
      <c r="AR351" s="822"/>
      <c r="AS351" s="307"/>
      <c r="AT351" s="307"/>
      <c r="AU351" s="307"/>
      <c r="AV351" s="307"/>
      <c r="AW351" s="307"/>
      <c r="AX351" s="307"/>
      <c r="AY351" s="307"/>
      <c r="AZ351" s="307"/>
      <c r="BA351" s="307"/>
      <c r="BB351" s="196"/>
      <c r="BC351" s="196"/>
      <c r="BD351" s="212"/>
      <c r="BE351" s="212"/>
      <c r="BF351" s="212"/>
      <c r="BG351" s="212"/>
      <c r="BH351" s="212"/>
      <c r="BI351" s="212"/>
      <c r="BJ351" s="212"/>
      <c r="BK351" s="212"/>
      <c r="BL351" s="212"/>
      <c r="BM351" s="212"/>
      <c r="BN351" s="212"/>
      <c r="BO351" s="212"/>
      <c r="BP351" s="212"/>
      <c r="BQ351" s="212"/>
      <c r="BR351" s="212"/>
      <c r="BS351" s="212"/>
      <c r="BT351" s="212"/>
      <c r="BU351" s="212"/>
      <c r="BV351" s="212"/>
      <c r="BW351" s="212"/>
      <c r="BX351" s="212"/>
      <c r="BY351" s="212"/>
      <c r="BZ351" s="212"/>
      <c r="CA351" s="212"/>
      <c r="CB351" s="212"/>
      <c r="CC351" s="212"/>
      <c r="CD351" s="212"/>
      <c r="CE351" s="212"/>
    </row>
    <row r="352" spans="1:83" s="24" customFormat="1" x14ac:dyDescent="0.2">
      <c r="A352" s="1066"/>
      <c r="B352" s="497" t="str">
        <f>IF(Stammblatt!$L$4=1,'Kalkulation Herstellungskosten'!BB352,'Kalkulation Herstellungskosten'!BC352)</f>
        <v>5. Studiodreh, Originalmotive, Bauten</v>
      </c>
      <c r="C352" s="379"/>
      <c r="D352" s="1067"/>
      <c r="E352" s="329"/>
      <c r="F352" s="329"/>
      <c r="G352" s="1062"/>
      <c r="H352" s="1062"/>
      <c r="I352" s="1068"/>
      <c r="J352" s="1069"/>
      <c r="K352" s="1062"/>
      <c r="L352" s="1062"/>
      <c r="M352" s="1062"/>
      <c r="N352" s="1070"/>
      <c r="O352" s="1038"/>
      <c r="P352" s="1038"/>
      <c r="Q352" s="1038"/>
      <c r="R352" s="1038"/>
      <c r="S352" s="1046"/>
      <c r="T352" s="1071"/>
      <c r="U352" s="1040"/>
      <c r="V352" s="1040"/>
      <c r="W352" s="1040"/>
      <c r="X352" s="1040"/>
      <c r="Y352" s="1038"/>
      <c r="Z352" s="1038"/>
      <c r="AA352" s="1038"/>
      <c r="AB352" s="328"/>
      <c r="AC352" s="1062"/>
      <c r="AD352" s="1135"/>
      <c r="AE352" s="1138"/>
      <c r="AF352" s="1138"/>
      <c r="AG352" s="1138"/>
      <c r="AH352" s="1135"/>
      <c r="AI352" s="1138"/>
      <c r="AJ352" s="1138"/>
      <c r="AK352" s="1138"/>
      <c r="AL352" s="1135"/>
      <c r="AM352" s="1138"/>
      <c r="AN352" s="1138"/>
      <c r="AO352" s="1138"/>
      <c r="AP352" s="1135"/>
      <c r="AQ352" s="1135"/>
      <c r="AR352" s="1135"/>
      <c r="AS352" s="307"/>
      <c r="AT352" s="307"/>
      <c r="AU352" s="307"/>
      <c r="AV352" s="307"/>
      <c r="AW352" s="307"/>
      <c r="AX352" s="307"/>
      <c r="AY352" s="307"/>
      <c r="AZ352" s="307"/>
      <c r="BA352" s="307"/>
      <c r="BB352" s="196" t="s">
        <v>734</v>
      </c>
      <c r="BC352" s="196" t="s">
        <v>735</v>
      </c>
      <c r="BD352" s="308"/>
      <c r="BE352" s="308"/>
      <c r="BF352" s="308"/>
      <c r="BG352" s="308"/>
      <c r="BH352" s="308"/>
      <c r="BI352" s="308"/>
      <c r="BJ352" s="308"/>
      <c r="BK352" s="308"/>
      <c r="BL352" s="308"/>
      <c r="BM352" s="308"/>
      <c r="BN352" s="308"/>
      <c r="BO352" s="308"/>
      <c r="BP352" s="308"/>
      <c r="BQ352" s="308"/>
      <c r="BR352" s="308"/>
      <c r="BS352" s="308"/>
      <c r="BT352" s="308"/>
      <c r="BU352" s="308"/>
      <c r="BV352" s="308"/>
      <c r="BW352" s="308"/>
      <c r="BX352" s="308"/>
      <c r="BY352" s="308"/>
      <c r="BZ352" s="308"/>
      <c r="CA352" s="308"/>
      <c r="CB352" s="308"/>
      <c r="CC352" s="308"/>
      <c r="CD352" s="308"/>
      <c r="CE352" s="308"/>
    </row>
    <row r="353" spans="1:83" x14ac:dyDescent="0.2">
      <c r="A353" s="1055"/>
      <c r="B353" s="496">
        <f>IF(Stammblatt!$L$4=1,'Kalkulation Herstellungskosten'!BB353,'Kalkulation Herstellungskosten'!BC353)</f>
        <v>0</v>
      </c>
      <c r="C353" s="328" t="str">
        <f>IF(Stammblatt!$L$4=1,"Wochen","weeks")</f>
        <v>Wochen</v>
      </c>
      <c r="D353" s="328"/>
      <c r="E353" s="371"/>
      <c r="F353" s="371"/>
      <c r="G353" s="1056"/>
      <c r="H353" s="1056"/>
      <c r="I353" s="1057"/>
      <c r="J353" s="1058"/>
      <c r="K353" s="1056"/>
      <c r="L353" s="1056"/>
      <c r="M353" s="1056"/>
      <c r="N353" s="335"/>
      <c r="O353" s="1059"/>
      <c r="P353" s="1059"/>
      <c r="Q353" s="1059"/>
      <c r="R353" s="1059"/>
      <c r="S353" s="1046"/>
      <c r="T353" s="1060"/>
      <c r="U353" s="1041"/>
      <c r="V353" s="1041"/>
      <c r="W353" s="1041"/>
      <c r="X353" s="1041"/>
      <c r="Y353" s="1059"/>
      <c r="Z353" s="1059"/>
      <c r="AA353" s="1059"/>
      <c r="AB353" s="328"/>
      <c r="AC353" s="1062"/>
      <c r="AD353" s="822"/>
      <c r="AE353" s="832"/>
      <c r="AF353" s="832"/>
      <c r="AG353" s="832"/>
      <c r="AH353" s="822"/>
      <c r="AI353" s="832"/>
      <c r="AJ353" s="832"/>
      <c r="AK353" s="832"/>
      <c r="AL353" s="822"/>
      <c r="AM353" s="832"/>
      <c r="AN353" s="832"/>
      <c r="AO353" s="832"/>
      <c r="AP353" s="822"/>
      <c r="AQ353" s="822"/>
      <c r="AR353" s="822"/>
      <c r="AS353" s="307"/>
      <c r="AT353" s="307"/>
      <c r="AU353" s="307"/>
      <c r="AV353" s="307"/>
      <c r="AW353" s="307"/>
      <c r="AX353" s="307"/>
      <c r="AY353" s="307"/>
      <c r="AZ353" s="307"/>
      <c r="BA353" s="307"/>
      <c r="BB353" s="196"/>
      <c r="BC353" s="196"/>
      <c r="BD353" s="212"/>
      <c r="BE353" s="212"/>
      <c r="BF353" s="212"/>
      <c r="BG353" s="212"/>
      <c r="BH353" s="212"/>
      <c r="BI353" s="212"/>
      <c r="BJ353" s="212"/>
      <c r="BK353" s="212"/>
      <c r="BL353" s="212"/>
      <c r="BM353" s="212"/>
      <c r="BN353" s="212"/>
      <c r="BO353" s="212"/>
      <c r="BP353" s="212"/>
      <c r="BQ353" s="212"/>
      <c r="BR353" s="212"/>
      <c r="BS353" s="212"/>
      <c r="BT353" s="212"/>
      <c r="BU353" s="212"/>
      <c r="BV353" s="212"/>
      <c r="BW353" s="212"/>
      <c r="BX353" s="212"/>
      <c r="BY353" s="212"/>
      <c r="BZ353" s="212"/>
      <c r="CA353" s="212"/>
      <c r="CB353" s="212"/>
      <c r="CC353" s="212"/>
      <c r="CD353" s="212"/>
      <c r="CE353" s="212"/>
    </row>
    <row r="354" spans="1:83" x14ac:dyDescent="0.2">
      <c r="A354" s="1091">
        <v>107</v>
      </c>
      <c r="B354" s="1082" t="str">
        <f>IF(Stammblatt!$L$4=1,'Kalkulation Herstellungskosten'!BB354,'Kalkulation Herstellungskosten'!BC354)</f>
        <v>Studio (inkl. Vor- und Rückbau)</v>
      </c>
      <c r="C354" s="30">
        <v>0</v>
      </c>
      <c r="D354" s="318"/>
      <c r="E354" s="32">
        <v>0</v>
      </c>
      <c r="F354" s="396">
        <f t="shared" ref="F354:F360" si="250">C354*E354</f>
        <v>0</v>
      </c>
      <c r="G354" s="1035"/>
      <c r="H354" s="1035"/>
      <c r="I354" s="1086"/>
      <c r="J354" s="322"/>
      <c r="K354" s="320"/>
      <c r="L354" s="320"/>
      <c r="M354" s="320"/>
      <c r="N354" s="323"/>
      <c r="O354" s="512"/>
      <c r="P354" s="506"/>
      <c r="Q354" s="507"/>
      <c r="R354" s="505"/>
      <c r="S354" s="514"/>
      <c r="T354" s="517"/>
      <c r="U354" s="505"/>
      <c r="V354" s="1053">
        <f t="shared" ref="V354:V360" si="251">SUM(T354:U354)</f>
        <v>0</v>
      </c>
      <c r="W354" s="397">
        <f t="shared" ref="W354:W360" si="252">F354-V354</f>
        <v>0</v>
      </c>
      <c r="X354" s="512"/>
      <c r="Y354" s="508"/>
      <c r="Z354" s="507"/>
      <c r="AA354" s="505"/>
      <c r="AB354" s="295"/>
      <c r="AC354" s="305"/>
      <c r="AD354" s="799"/>
      <c r="AE354" s="800"/>
      <c r="AF354" s="801"/>
      <c r="AG354" s="831">
        <f t="shared" ref="AG354:AG360" si="253">SUM(AE354:AF354)</f>
        <v>0</v>
      </c>
      <c r="AH354" s="799"/>
      <c r="AI354" s="800"/>
      <c r="AJ354" s="801"/>
      <c r="AK354" s="831">
        <f t="shared" ref="AK354:AK360" si="254">SUM(AI354:AJ354)</f>
        <v>0</v>
      </c>
      <c r="AL354" s="799"/>
      <c r="AM354" s="800"/>
      <c r="AN354" s="801"/>
      <c r="AO354" s="831">
        <f t="shared" ref="AO354:AO360" si="255">SUM(AM354:AN354)</f>
        <v>0</v>
      </c>
      <c r="AP354" s="1079">
        <f t="shared" ref="AP354:AP360" si="256">SUM(F354,AD354,AH354,AL354)</f>
        <v>0</v>
      </c>
      <c r="AQ354" s="1079">
        <f t="shared" ref="AQ354" si="257">SUM(AO354,AK354,AG354,V354)</f>
        <v>0</v>
      </c>
      <c r="AR354" s="1080">
        <f t="shared" ref="AR354" si="258">AP354-AQ354</f>
        <v>0</v>
      </c>
      <c r="AS354" s="307"/>
      <c r="AT354" s="307"/>
      <c r="AU354" s="307"/>
      <c r="AV354" s="307"/>
      <c r="AW354" s="307"/>
      <c r="AX354" s="307"/>
      <c r="AY354" s="307"/>
      <c r="AZ354" s="307"/>
      <c r="BA354" s="307"/>
      <c r="BB354" s="196" t="s">
        <v>728</v>
      </c>
      <c r="BC354" s="196" t="s">
        <v>727</v>
      </c>
      <c r="BD354" s="212"/>
      <c r="BE354" s="212"/>
      <c r="BF354" s="212"/>
      <c r="BG354" s="212"/>
      <c r="BH354" s="212"/>
      <c r="BI354" s="212"/>
      <c r="BJ354" s="212"/>
      <c r="BK354" s="212"/>
      <c r="BL354" s="212"/>
      <c r="BM354" s="212"/>
      <c r="BN354" s="212"/>
      <c r="BO354" s="212"/>
      <c r="BP354" s="212"/>
      <c r="BQ354" s="212"/>
      <c r="BR354" s="212"/>
      <c r="BS354" s="212"/>
      <c r="BT354" s="212"/>
      <c r="BU354" s="212"/>
      <c r="BV354" s="212"/>
      <c r="BW354" s="212"/>
      <c r="BX354" s="212"/>
      <c r="BY354" s="212"/>
      <c r="BZ354" s="212"/>
      <c r="CA354" s="212"/>
      <c r="CB354" s="212"/>
      <c r="CC354" s="212"/>
      <c r="CD354" s="212"/>
      <c r="CE354" s="212"/>
    </row>
    <row r="355" spans="1:83" x14ac:dyDescent="0.2">
      <c r="A355" s="1091">
        <v>108</v>
      </c>
      <c r="B355" s="1082" t="str">
        <f>IF(Stammblatt!$L$4=1,'Kalkulation Herstellungskosten'!BB355,'Kalkulation Herstellungskosten'!BC355)</f>
        <v>Werkstatt</v>
      </c>
      <c r="C355" s="30">
        <v>0</v>
      </c>
      <c r="D355" s="318"/>
      <c r="E355" s="32">
        <v>0</v>
      </c>
      <c r="F355" s="396">
        <f t="shared" si="250"/>
        <v>0</v>
      </c>
      <c r="G355" s="1035"/>
      <c r="H355" s="1035"/>
      <c r="I355" s="1086"/>
      <c r="J355" s="347"/>
      <c r="K355" s="348"/>
      <c r="L355" s="348"/>
      <c r="M355" s="348"/>
      <c r="N355" s="349"/>
      <c r="O355" s="512"/>
      <c r="P355" s="506"/>
      <c r="Q355" s="507"/>
      <c r="R355" s="505"/>
      <c r="S355" s="514"/>
      <c r="T355" s="517"/>
      <c r="U355" s="505"/>
      <c r="V355" s="1053">
        <f t="shared" si="251"/>
        <v>0</v>
      </c>
      <c r="W355" s="397">
        <f t="shared" si="252"/>
        <v>0</v>
      </c>
      <c r="X355" s="512"/>
      <c r="Y355" s="508"/>
      <c r="Z355" s="507"/>
      <c r="AA355" s="505"/>
      <c r="AB355" s="295"/>
      <c r="AC355" s="305"/>
      <c r="AD355" s="799"/>
      <c r="AE355" s="800"/>
      <c r="AF355" s="801"/>
      <c r="AG355" s="831">
        <f t="shared" si="253"/>
        <v>0</v>
      </c>
      <c r="AH355" s="799"/>
      <c r="AI355" s="800"/>
      <c r="AJ355" s="801"/>
      <c r="AK355" s="831">
        <f t="shared" si="254"/>
        <v>0</v>
      </c>
      <c r="AL355" s="799"/>
      <c r="AM355" s="800"/>
      <c r="AN355" s="801"/>
      <c r="AO355" s="831">
        <f t="shared" si="255"/>
        <v>0</v>
      </c>
      <c r="AP355" s="1079">
        <f t="shared" si="256"/>
        <v>0</v>
      </c>
      <c r="AQ355" s="1079">
        <f t="shared" ref="AQ355:AQ360" si="259">SUM(AO355,AK355,AG355,V355)</f>
        <v>0</v>
      </c>
      <c r="AR355" s="1080">
        <f t="shared" ref="AR355:AR360" si="260">AP355-AQ355</f>
        <v>0</v>
      </c>
      <c r="AS355" s="307"/>
      <c r="AT355" s="307"/>
      <c r="AU355" s="307"/>
      <c r="AV355" s="307"/>
      <c r="AW355" s="307"/>
      <c r="AX355" s="307"/>
      <c r="AY355" s="307"/>
      <c r="AZ355" s="307"/>
      <c r="BA355" s="307"/>
      <c r="BB355" s="196" t="s">
        <v>723</v>
      </c>
      <c r="BC355" s="196" t="s">
        <v>724</v>
      </c>
      <c r="BD355" s="212"/>
      <c r="BE355" s="212"/>
      <c r="BF355" s="212"/>
      <c r="BG355" s="212"/>
      <c r="BH355" s="212"/>
      <c r="BI355" s="212"/>
      <c r="BJ355" s="212"/>
      <c r="BK355" s="212"/>
      <c r="BL355" s="212"/>
      <c r="BM355" s="212"/>
      <c r="BN355" s="212"/>
      <c r="BO355" s="212"/>
      <c r="BP355" s="212"/>
      <c r="BQ355" s="212"/>
      <c r="BR355" s="212"/>
      <c r="BS355" s="212"/>
      <c r="BT355" s="212"/>
      <c r="BU355" s="212"/>
      <c r="BV355" s="212"/>
      <c r="BW355" s="212"/>
      <c r="BX355" s="212"/>
      <c r="BY355" s="212"/>
      <c r="BZ355" s="212"/>
      <c r="CA355" s="212"/>
      <c r="CB355" s="212"/>
      <c r="CC355" s="212"/>
      <c r="CD355" s="212"/>
      <c r="CE355" s="212"/>
    </row>
    <row r="356" spans="1:83" x14ac:dyDescent="0.2">
      <c r="A356" s="1091">
        <v>109</v>
      </c>
      <c r="B356" s="1082" t="str">
        <f>IF(Stammblatt!$L$4=1,'Kalkulation Herstellungskosten'!BB356,'Kalkulation Herstellungskosten'!BC356)</f>
        <v>Requisitenlager</v>
      </c>
      <c r="C356" s="30">
        <v>0</v>
      </c>
      <c r="D356" s="318"/>
      <c r="E356" s="32">
        <v>0</v>
      </c>
      <c r="F356" s="396">
        <f t="shared" si="250"/>
        <v>0</v>
      </c>
      <c r="G356" s="1035"/>
      <c r="H356" s="1035"/>
      <c r="I356" s="1086"/>
      <c r="J356" s="347"/>
      <c r="K356" s="348"/>
      <c r="L356" s="348"/>
      <c r="M356" s="348"/>
      <c r="N356" s="349"/>
      <c r="O356" s="512"/>
      <c r="P356" s="506"/>
      <c r="Q356" s="507"/>
      <c r="R356" s="505"/>
      <c r="S356" s="514"/>
      <c r="T356" s="517"/>
      <c r="U356" s="505"/>
      <c r="V356" s="1053">
        <f t="shared" si="251"/>
        <v>0</v>
      </c>
      <c r="W356" s="397">
        <f t="shared" si="252"/>
        <v>0</v>
      </c>
      <c r="X356" s="512"/>
      <c r="Y356" s="508"/>
      <c r="Z356" s="507"/>
      <c r="AA356" s="505"/>
      <c r="AB356" s="295"/>
      <c r="AC356" s="305"/>
      <c r="AD356" s="799"/>
      <c r="AE356" s="800"/>
      <c r="AF356" s="801"/>
      <c r="AG356" s="831">
        <f t="shared" si="253"/>
        <v>0</v>
      </c>
      <c r="AH356" s="799"/>
      <c r="AI356" s="800"/>
      <c r="AJ356" s="801"/>
      <c r="AK356" s="831">
        <f t="shared" si="254"/>
        <v>0</v>
      </c>
      <c r="AL356" s="799"/>
      <c r="AM356" s="800"/>
      <c r="AN356" s="801"/>
      <c r="AO356" s="831">
        <f t="shared" si="255"/>
        <v>0</v>
      </c>
      <c r="AP356" s="1079">
        <f t="shared" si="256"/>
        <v>0</v>
      </c>
      <c r="AQ356" s="1079">
        <f t="shared" si="259"/>
        <v>0</v>
      </c>
      <c r="AR356" s="1080">
        <f t="shared" si="260"/>
        <v>0</v>
      </c>
      <c r="AS356" s="307"/>
      <c r="AT356" s="307"/>
      <c r="AU356" s="307"/>
      <c r="AV356" s="307"/>
      <c r="AW356" s="307"/>
      <c r="AX356" s="307"/>
      <c r="AY356" s="307"/>
      <c r="AZ356" s="307"/>
      <c r="BA356" s="307"/>
      <c r="BB356" s="196" t="s">
        <v>725</v>
      </c>
      <c r="BC356" s="196" t="s">
        <v>729</v>
      </c>
      <c r="BD356" s="212"/>
      <c r="BE356" s="212"/>
      <c r="BF356" s="212"/>
      <c r="BG356" s="212"/>
      <c r="BH356" s="212"/>
      <c r="BI356" s="212"/>
      <c r="BJ356" s="212"/>
      <c r="BK356" s="212"/>
      <c r="BL356" s="212"/>
      <c r="BM356" s="212"/>
      <c r="BN356" s="212"/>
      <c r="BO356" s="212"/>
      <c r="BP356" s="212"/>
      <c r="BQ356" s="212"/>
      <c r="BR356" s="212"/>
      <c r="BS356" s="212"/>
      <c r="BT356" s="212"/>
      <c r="BU356" s="212"/>
      <c r="BV356" s="212"/>
      <c r="BW356" s="212"/>
      <c r="BX356" s="212"/>
      <c r="BY356" s="212"/>
      <c r="BZ356" s="212"/>
      <c r="CA356" s="212"/>
      <c r="CB356" s="212"/>
      <c r="CC356" s="212"/>
      <c r="CD356" s="212"/>
      <c r="CE356" s="212"/>
    </row>
    <row r="357" spans="1:83" x14ac:dyDescent="0.2">
      <c r="A357" s="1091">
        <v>110</v>
      </c>
      <c r="B357" s="1082" t="str">
        <f>IF(Stammblatt!$L$4=1,'Kalkulation Herstellungskosten'!BB357,'Kalkulation Herstellungskosten'!BC357)</f>
        <v>Kostümfundus</v>
      </c>
      <c r="C357" s="30">
        <v>0</v>
      </c>
      <c r="D357" s="318"/>
      <c r="E357" s="32">
        <v>0</v>
      </c>
      <c r="F357" s="396">
        <f t="shared" si="250"/>
        <v>0</v>
      </c>
      <c r="G357" s="1035"/>
      <c r="H357" s="1035"/>
      <c r="I357" s="1086"/>
      <c r="J357" s="347"/>
      <c r="K357" s="348"/>
      <c r="L357" s="348"/>
      <c r="M357" s="348"/>
      <c r="N357" s="349"/>
      <c r="O357" s="512"/>
      <c r="P357" s="506"/>
      <c r="Q357" s="507"/>
      <c r="R357" s="505"/>
      <c r="S357" s="514"/>
      <c r="T357" s="517"/>
      <c r="U357" s="505"/>
      <c r="V357" s="1053">
        <f t="shared" si="251"/>
        <v>0</v>
      </c>
      <c r="W357" s="397">
        <f t="shared" si="252"/>
        <v>0</v>
      </c>
      <c r="X357" s="512"/>
      <c r="Y357" s="508"/>
      <c r="Z357" s="507"/>
      <c r="AA357" s="505"/>
      <c r="AB357" s="295"/>
      <c r="AC357" s="305"/>
      <c r="AD357" s="799"/>
      <c r="AE357" s="800"/>
      <c r="AF357" s="801"/>
      <c r="AG357" s="831">
        <f t="shared" si="253"/>
        <v>0</v>
      </c>
      <c r="AH357" s="799"/>
      <c r="AI357" s="800"/>
      <c r="AJ357" s="801"/>
      <c r="AK357" s="831">
        <f t="shared" si="254"/>
        <v>0</v>
      </c>
      <c r="AL357" s="799"/>
      <c r="AM357" s="800"/>
      <c r="AN357" s="801"/>
      <c r="AO357" s="831">
        <f t="shared" si="255"/>
        <v>0</v>
      </c>
      <c r="AP357" s="1079">
        <f t="shared" si="256"/>
        <v>0</v>
      </c>
      <c r="AQ357" s="1079">
        <f t="shared" si="259"/>
        <v>0</v>
      </c>
      <c r="AR357" s="1080">
        <f t="shared" si="260"/>
        <v>0</v>
      </c>
      <c r="AS357" s="307"/>
      <c r="AT357" s="307"/>
      <c r="AU357" s="307"/>
      <c r="AV357" s="307"/>
      <c r="AW357" s="307"/>
      <c r="AX357" s="307"/>
      <c r="AY357" s="307"/>
      <c r="AZ357" s="307"/>
      <c r="BA357" s="307"/>
      <c r="BB357" s="196" t="s">
        <v>726</v>
      </c>
      <c r="BC357" s="196" t="s">
        <v>730</v>
      </c>
      <c r="BD357" s="212"/>
      <c r="BE357" s="212"/>
      <c r="BF357" s="212"/>
      <c r="BG357" s="212"/>
      <c r="BH357" s="212"/>
      <c r="BI357" s="212"/>
      <c r="BJ357" s="212"/>
      <c r="BK357" s="212"/>
      <c r="BL357" s="212"/>
      <c r="BM357" s="212"/>
      <c r="BN357" s="212"/>
      <c r="BO357" s="212"/>
      <c r="BP357" s="212"/>
      <c r="BQ357" s="212"/>
      <c r="BR357" s="212"/>
      <c r="BS357" s="212"/>
      <c r="BT357" s="212"/>
      <c r="BU357" s="212"/>
      <c r="BV357" s="212"/>
      <c r="BW357" s="212"/>
      <c r="BX357" s="212"/>
      <c r="BY357" s="212"/>
      <c r="BZ357" s="212"/>
      <c r="CA357" s="212"/>
      <c r="CB357" s="212"/>
      <c r="CC357" s="212"/>
      <c r="CD357" s="212"/>
      <c r="CE357" s="212"/>
    </row>
    <row r="358" spans="1:83" x14ac:dyDescent="0.2">
      <c r="A358" s="1091">
        <v>111</v>
      </c>
      <c r="B358" s="1082" t="str">
        <f>IF(Stammblatt!$L$4=1,'Kalkulation Herstellungskosten'!BB358,'Kalkulation Herstellungskosten'!BC358)</f>
        <v>Casting- und Probenräume</v>
      </c>
      <c r="C358" s="30">
        <v>0</v>
      </c>
      <c r="D358" s="318"/>
      <c r="E358" s="32">
        <v>0</v>
      </c>
      <c r="F358" s="396">
        <f t="shared" si="250"/>
        <v>0</v>
      </c>
      <c r="G358" s="1035"/>
      <c r="H358" s="1035"/>
      <c r="I358" s="1086"/>
      <c r="J358" s="347"/>
      <c r="K358" s="348"/>
      <c r="L358" s="348"/>
      <c r="M358" s="348"/>
      <c r="N358" s="349"/>
      <c r="O358" s="512"/>
      <c r="P358" s="506"/>
      <c r="Q358" s="507"/>
      <c r="R358" s="505"/>
      <c r="S358" s="514"/>
      <c r="T358" s="517"/>
      <c r="U358" s="505"/>
      <c r="V358" s="1053">
        <f t="shared" si="251"/>
        <v>0</v>
      </c>
      <c r="W358" s="397">
        <f t="shared" si="252"/>
        <v>0</v>
      </c>
      <c r="X358" s="512"/>
      <c r="Y358" s="508"/>
      <c r="Z358" s="507"/>
      <c r="AA358" s="505"/>
      <c r="AB358" s="295"/>
      <c r="AC358" s="305"/>
      <c r="AD358" s="799"/>
      <c r="AE358" s="800"/>
      <c r="AF358" s="801"/>
      <c r="AG358" s="831">
        <f t="shared" si="253"/>
        <v>0</v>
      </c>
      <c r="AH358" s="799"/>
      <c r="AI358" s="800"/>
      <c r="AJ358" s="801"/>
      <c r="AK358" s="831">
        <f t="shared" si="254"/>
        <v>0</v>
      </c>
      <c r="AL358" s="799"/>
      <c r="AM358" s="800"/>
      <c r="AN358" s="801"/>
      <c r="AO358" s="831">
        <f t="shared" si="255"/>
        <v>0</v>
      </c>
      <c r="AP358" s="1079">
        <f t="shared" si="256"/>
        <v>0</v>
      </c>
      <c r="AQ358" s="1079">
        <f t="shared" si="259"/>
        <v>0</v>
      </c>
      <c r="AR358" s="1080">
        <f t="shared" si="260"/>
        <v>0</v>
      </c>
      <c r="AS358" s="307"/>
      <c r="AT358" s="307"/>
      <c r="AU358" s="307"/>
      <c r="AV358" s="307"/>
      <c r="AW358" s="307"/>
      <c r="AX358" s="307"/>
      <c r="AY358" s="307"/>
      <c r="AZ358" s="307"/>
      <c r="BA358" s="307"/>
      <c r="BB358" s="196" t="s">
        <v>731</v>
      </c>
      <c r="BC358" s="196" t="s">
        <v>732</v>
      </c>
      <c r="BD358" s="212"/>
      <c r="BE358" s="212"/>
      <c r="BF358" s="212"/>
      <c r="BG358" s="212"/>
      <c r="BH358" s="212"/>
      <c r="BI358" s="212"/>
      <c r="BJ358" s="212"/>
      <c r="BK358" s="212"/>
      <c r="BL358" s="212"/>
      <c r="BM358" s="212"/>
      <c r="BN358" s="212"/>
      <c r="BO358" s="212"/>
      <c r="BP358" s="212"/>
      <c r="BQ358" s="212"/>
      <c r="BR358" s="212"/>
      <c r="BS358" s="212"/>
      <c r="BT358" s="212"/>
      <c r="BU358" s="212"/>
      <c r="BV358" s="212"/>
      <c r="BW358" s="212"/>
      <c r="BX358" s="212"/>
      <c r="BY358" s="212"/>
      <c r="BZ358" s="212"/>
      <c r="CA358" s="212"/>
      <c r="CB358" s="212"/>
      <c r="CC358" s="212"/>
      <c r="CD358" s="212"/>
      <c r="CE358" s="212"/>
    </row>
    <row r="359" spans="1:83" x14ac:dyDescent="0.2">
      <c r="A359" s="1091">
        <v>112</v>
      </c>
      <c r="B359" s="1082" t="str">
        <f>IF(Stammblatt!$L$4=1,'Kalkulation Herstellungskosten'!BB359,'Kalkulation Herstellungskosten'!BC359)</f>
        <v>Externe Produktionsbüros</v>
      </c>
      <c r="C359" s="30">
        <v>0</v>
      </c>
      <c r="D359" s="318"/>
      <c r="E359" s="32">
        <v>0</v>
      </c>
      <c r="F359" s="396">
        <f t="shared" si="250"/>
        <v>0</v>
      </c>
      <c r="G359" s="1035"/>
      <c r="H359" s="1035"/>
      <c r="I359" s="1086"/>
      <c r="J359" s="347"/>
      <c r="K359" s="348"/>
      <c r="L359" s="348"/>
      <c r="M359" s="348"/>
      <c r="N359" s="349"/>
      <c r="O359" s="512"/>
      <c r="P359" s="506"/>
      <c r="Q359" s="507"/>
      <c r="R359" s="505"/>
      <c r="S359" s="514"/>
      <c r="T359" s="517"/>
      <c r="U359" s="505"/>
      <c r="V359" s="1053">
        <f t="shared" si="251"/>
        <v>0</v>
      </c>
      <c r="W359" s="397">
        <f t="shared" si="252"/>
        <v>0</v>
      </c>
      <c r="X359" s="512"/>
      <c r="Y359" s="508"/>
      <c r="Z359" s="507"/>
      <c r="AA359" s="505"/>
      <c r="AB359" s="295"/>
      <c r="AC359" s="305"/>
      <c r="AD359" s="799"/>
      <c r="AE359" s="800"/>
      <c r="AF359" s="801"/>
      <c r="AG359" s="831">
        <f t="shared" si="253"/>
        <v>0</v>
      </c>
      <c r="AH359" s="799"/>
      <c r="AI359" s="800"/>
      <c r="AJ359" s="801"/>
      <c r="AK359" s="831">
        <f t="shared" si="254"/>
        <v>0</v>
      </c>
      <c r="AL359" s="799"/>
      <c r="AM359" s="800"/>
      <c r="AN359" s="801"/>
      <c r="AO359" s="831">
        <f t="shared" si="255"/>
        <v>0</v>
      </c>
      <c r="AP359" s="1079">
        <f t="shared" si="256"/>
        <v>0</v>
      </c>
      <c r="AQ359" s="1079">
        <f t="shared" si="259"/>
        <v>0</v>
      </c>
      <c r="AR359" s="1080">
        <f t="shared" si="260"/>
        <v>0</v>
      </c>
      <c r="AS359" s="307"/>
      <c r="AT359" s="307"/>
      <c r="AU359" s="307"/>
      <c r="AV359" s="307"/>
      <c r="AW359" s="307"/>
      <c r="AX359" s="307"/>
      <c r="AY359" s="307"/>
      <c r="AZ359" s="307"/>
      <c r="BA359" s="307"/>
      <c r="BB359" s="196" t="s">
        <v>733</v>
      </c>
      <c r="BC359" s="196" t="s">
        <v>736</v>
      </c>
      <c r="BD359" s="212"/>
      <c r="BE359" s="212"/>
      <c r="BF359" s="212"/>
      <c r="BG359" s="212"/>
      <c r="BH359" s="212"/>
      <c r="BI359" s="212"/>
      <c r="BJ359" s="212"/>
      <c r="BK359" s="212"/>
      <c r="BL359" s="212"/>
      <c r="BM359" s="212"/>
      <c r="BN359" s="212"/>
      <c r="BO359" s="212"/>
      <c r="BP359" s="212"/>
      <c r="BQ359" s="212"/>
      <c r="BR359" s="212"/>
      <c r="BS359" s="212"/>
      <c r="BT359" s="212"/>
      <c r="BU359" s="212"/>
      <c r="BV359" s="212"/>
      <c r="BW359" s="212"/>
      <c r="BX359" s="212"/>
      <c r="BY359" s="212"/>
      <c r="BZ359" s="212"/>
      <c r="CA359" s="212"/>
      <c r="CB359" s="212"/>
      <c r="CC359" s="212"/>
      <c r="CD359" s="212"/>
      <c r="CE359" s="212"/>
    </row>
    <row r="360" spans="1:83" x14ac:dyDescent="0.2">
      <c r="A360" s="1091">
        <v>113</v>
      </c>
      <c r="B360" s="1082" t="str">
        <f>IF(Stammblatt!$L$4=1,'Kalkulation Herstellungskosten'!BB360,'Kalkulation Herstellungskosten'!BC360)</f>
        <v>Sonstige Räume *)</v>
      </c>
      <c r="C360" s="30">
        <v>0</v>
      </c>
      <c r="D360" s="318"/>
      <c r="E360" s="32">
        <v>0</v>
      </c>
      <c r="F360" s="396">
        <f t="shared" si="250"/>
        <v>0</v>
      </c>
      <c r="G360" s="1035"/>
      <c r="H360" s="1035"/>
      <c r="I360" s="1086"/>
      <c r="J360" s="347"/>
      <c r="K360" s="348"/>
      <c r="L360" s="348"/>
      <c r="M360" s="348"/>
      <c r="N360" s="349"/>
      <c r="O360" s="512"/>
      <c r="P360" s="506"/>
      <c r="Q360" s="507"/>
      <c r="R360" s="505"/>
      <c r="S360" s="514"/>
      <c r="T360" s="517"/>
      <c r="U360" s="505"/>
      <c r="V360" s="1053">
        <f t="shared" si="251"/>
        <v>0</v>
      </c>
      <c r="W360" s="397">
        <f t="shared" si="252"/>
        <v>0</v>
      </c>
      <c r="X360" s="512"/>
      <c r="Y360" s="508"/>
      <c r="Z360" s="507"/>
      <c r="AA360" s="505"/>
      <c r="AB360" s="295"/>
      <c r="AC360" s="305"/>
      <c r="AD360" s="799"/>
      <c r="AE360" s="800"/>
      <c r="AF360" s="801"/>
      <c r="AG360" s="831">
        <f t="shared" si="253"/>
        <v>0</v>
      </c>
      <c r="AH360" s="799"/>
      <c r="AI360" s="800"/>
      <c r="AJ360" s="801"/>
      <c r="AK360" s="831">
        <f t="shared" si="254"/>
        <v>0</v>
      </c>
      <c r="AL360" s="799"/>
      <c r="AM360" s="800"/>
      <c r="AN360" s="801"/>
      <c r="AO360" s="831">
        <f t="shared" si="255"/>
        <v>0</v>
      </c>
      <c r="AP360" s="1079">
        <f t="shared" si="256"/>
        <v>0</v>
      </c>
      <c r="AQ360" s="1079">
        <f t="shared" si="259"/>
        <v>0</v>
      </c>
      <c r="AR360" s="1080">
        <f t="shared" si="260"/>
        <v>0</v>
      </c>
      <c r="AS360" s="307"/>
      <c r="AT360" s="307"/>
      <c r="AU360" s="307"/>
      <c r="AV360" s="307"/>
      <c r="AW360" s="307"/>
      <c r="AX360" s="307"/>
      <c r="AY360" s="307"/>
      <c r="AZ360" s="307"/>
      <c r="BA360" s="307"/>
      <c r="BB360" s="196" t="s">
        <v>61</v>
      </c>
      <c r="BC360" s="196" t="s">
        <v>372</v>
      </c>
      <c r="BD360" s="212"/>
      <c r="BE360" s="212"/>
      <c r="BF360" s="212"/>
      <c r="BG360" s="212"/>
      <c r="BH360" s="212"/>
      <c r="BI360" s="212"/>
      <c r="BJ360" s="212"/>
      <c r="BK360" s="212"/>
      <c r="BL360" s="212"/>
      <c r="BM360" s="212"/>
      <c r="BN360" s="212"/>
      <c r="BO360" s="212"/>
      <c r="BP360" s="212"/>
      <c r="BQ360" s="212"/>
      <c r="BR360" s="212"/>
      <c r="BS360" s="212"/>
      <c r="BT360" s="212"/>
      <c r="BU360" s="212"/>
      <c r="BV360" s="212"/>
      <c r="BW360" s="212"/>
      <c r="BX360" s="212"/>
      <c r="BY360" s="212"/>
      <c r="BZ360" s="212"/>
      <c r="CA360" s="212"/>
      <c r="CB360" s="212"/>
      <c r="CC360" s="212"/>
      <c r="CD360" s="212"/>
      <c r="CE360" s="212"/>
    </row>
    <row r="361" spans="1:83" x14ac:dyDescent="0.2">
      <c r="A361" s="1091"/>
      <c r="B361" s="1082"/>
      <c r="C361" s="317"/>
      <c r="D361" s="318"/>
      <c r="E361" s="319"/>
      <c r="F361" s="396"/>
      <c r="G361" s="1035"/>
      <c r="H361" s="1035"/>
      <c r="I361" s="1086"/>
      <c r="J361" s="322"/>
      <c r="K361" s="320"/>
      <c r="L361" s="320"/>
      <c r="M361" s="320"/>
      <c r="N361" s="323"/>
      <c r="O361" s="516"/>
      <c r="P361" s="509"/>
      <c r="Q361" s="509"/>
      <c r="R361" s="509"/>
      <c r="S361" s="514"/>
      <c r="T361" s="510"/>
      <c r="U361" s="327"/>
      <c r="V361" s="1041"/>
      <c r="W361" s="1042"/>
      <c r="X361" s="516"/>
      <c r="Y361" s="516"/>
      <c r="Z361" s="516"/>
      <c r="AA361" s="516"/>
      <c r="AB361" s="295"/>
      <c r="AC361" s="305"/>
      <c r="AD361" s="810"/>
      <c r="AE361" s="807"/>
      <c r="AF361" s="807"/>
      <c r="AG361" s="832"/>
      <c r="AH361" s="810"/>
      <c r="AI361" s="807"/>
      <c r="AJ361" s="807"/>
      <c r="AK361" s="832"/>
      <c r="AL361" s="810"/>
      <c r="AM361" s="807"/>
      <c r="AN361" s="807"/>
      <c r="AO361" s="832"/>
      <c r="AP361" s="822"/>
      <c r="AQ361" s="822"/>
      <c r="AR361" s="822"/>
      <c r="AS361" s="307"/>
      <c r="AT361" s="307"/>
      <c r="AU361" s="307"/>
      <c r="AV361" s="307"/>
      <c r="AW361" s="307"/>
      <c r="AX361" s="307"/>
      <c r="AY361" s="307"/>
      <c r="AZ361" s="307"/>
      <c r="BA361" s="307"/>
      <c r="BB361" s="196"/>
      <c r="BC361" s="196"/>
      <c r="BD361" s="212"/>
      <c r="BE361" s="212"/>
      <c r="BF361" s="212"/>
      <c r="BG361" s="212"/>
      <c r="BH361" s="212"/>
      <c r="BI361" s="212"/>
      <c r="BJ361" s="212"/>
      <c r="BK361" s="212"/>
      <c r="BL361" s="212"/>
      <c r="BM361" s="212"/>
      <c r="BN361" s="212"/>
      <c r="BO361" s="212"/>
      <c r="BP361" s="212"/>
      <c r="BQ361" s="212"/>
      <c r="BR361" s="212"/>
      <c r="BS361" s="212"/>
      <c r="BT361" s="212"/>
      <c r="BU361" s="212"/>
      <c r="BV361" s="212"/>
      <c r="BW361" s="212"/>
      <c r="BX361" s="212"/>
      <c r="BY361" s="212"/>
      <c r="BZ361" s="212"/>
      <c r="CA361" s="212"/>
      <c r="CB361" s="212"/>
      <c r="CC361" s="212"/>
      <c r="CD361" s="212"/>
      <c r="CE361" s="212"/>
    </row>
    <row r="362" spans="1:83" x14ac:dyDescent="0.2">
      <c r="A362" s="1091">
        <v>114</v>
      </c>
      <c r="B362" s="1082" t="str">
        <f>IF(Stammblatt!$L$4=1,'Kalkulation Herstellungskosten'!BB362,'Kalkulation Herstellungskosten'!BC362)</f>
        <v>Baumaterial -  Kauf *)</v>
      </c>
      <c r="C362" s="317"/>
      <c r="D362" s="318"/>
      <c r="E362" s="319"/>
      <c r="F362" s="396">
        <f>Baumaterial</f>
        <v>0</v>
      </c>
      <c r="G362" s="1035"/>
      <c r="H362" s="1035"/>
      <c r="I362" s="1086"/>
      <c r="J362" s="347"/>
      <c r="K362" s="348"/>
      <c r="L362" s="348"/>
      <c r="M362" s="348"/>
      <c r="N362" s="349"/>
      <c r="O362" s="512"/>
      <c r="P362" s="506"/>
      <c r="Q362" s="507"/>
      <c r="R362" s="505"/>
      <c r="S362" s="514"/>
      <c r="T362" s="517"/>
      <c r="U362" s="505"/>
      <c r="V362" s="1053">
        <f>SUM(T362:U362)</f>
        <v>0</v>
      </c>
      <c r="W362" s="397">
        <f>F362-V362</f>
        <v>0</v>
      </c>
      <c r="X362" s="512"/>
      <c r="Y362" s="508"/>
      <c r="Z362" s="507"/>
      <c r="AA362" s="505"/>
      <c r="AB362" s="295"/>
      <c r="AC362" s="305"/>
      <c r="AD362" s="799"/>
      <c r="AE362" s="800"/>
      <c r="AF362" s="801"/>
      <c r="AG362" s="831">
        <f>SUM(AE362:AF362)</f>
        <v>0</v>
      </c>
      <c r="AH362" s="799"/>
      <c r="AI362" s="800"/>
      <c r="AJ362" s="801"/>
      <c r="AK362" s="831">
        <f>SUM(AI362:AJ362)</f>
        <v>0</v>
      </c>
      <c r="AL362" s="799"/>
      <c r="AM362" s="800"/>
      <c r="AN362" s="801"/>
      <c r="AO362" s="831">
        <f>SUM(AM362:AN362)</f>
        <v>0</v>
      </c>
      <c r="AP362" s="1079">
        <f t="shared" ref="AP362:AP363" si="261">SUM(F362,AD362,AH362,AL362)</f>
        <v>0</v>
      </c>
      <c r="AQ362" s="1079">
        <f t="shared" ref="AQ362:AQ363" si="262">SUM(AO362,AK362,AG362,V362)</f>
        <v>0</v>
      </c>
      <c r="AR362" s="1080">
        <f t="shared" ref="AR362:AR363" si="263">AP362-AQ362</f>
        <v>0</v>
      </c>
      <c r="AS362" s="307"/>
      <c r="AT362" s="307"/>
      <c r="AU362" s="307"/>
      <c r="AV362" s="307"/>
      <c r="AW362" s="307"/>
      <c r="AX362" s="307"/>
      <c r="AY362" s="307"/>
      <c r="AZ362" s="307"/>
      <c r="BA362" s="307"/>
      <c r="BB362" s="196" t="s">
        <v>62</v>
      </c>
      <c r="BC362" s="196" t="s">
        <v>373</v>
      </c>
      <c r="BD362" s="212"/>
      <c r="BE362" s="212"/>
      <c r="BF362" s="212"/>
      <c r="BG362" s="212"/>
      <c r="BH362" s="212"/>
      <c r="BI362" s="212"/>
      <c r="BJ362" s="212"/>
      <c r="BK362" s="212"/>
      <c r="BL362" s="212"/>
      <c r="BM362" s="212"/>
      <c r="BN362" s="212"/>
      <c r="BO362" s="212"/>
      <c r="BP362" s="212"/>
      <c r="BQ362" s="212"/>
      <c r="BR362" s="212"/>
      <c r="BS362" s="212"/>
      <c r="BT362" s="212"/>
      <c r="BU362" s="212"/>
      <c r="BV362" s="212"/>
      <c r="BW362" s="212"/>
      <c r="BX362" s="212"/>
      <c r="BY362" s="212"/>
      <c r="BZ362" s="212"/>
      <c r="CA362" s="212"/>
      <c r="CB362" s="212"/>
      <c r="CC362" s="212"/>
      <c r="CD362" s="212"/>
      <c r="CE362" s="212"/>
    </row>
    <row r="363" spans="1:83" x14ac:dyDescent="0.2">
      <c r="A363" s="1091">
        <v>115</v>
      </c>
      <c r="B363" s="1082" t="str">
        <f>IF(Stammblatt!$L$4=1,'Kalkulation Herstellungskosten'!BB363,'Kalkulation Herstellungskosten'!BC363)</f>
        <v>Baumaterial - Miete *)</v>
      </c>
      <c r="C363" s="30"/>
      <c r="D363" s="318"/>
      <c r="E363" s="32"/>
      <c r="F363" s="396">
        <f>C363*E363</f>
        <v>0</v>
      </c>
      <c r="G363" s="1035"/>
      <c r="H363" s="1035"/>
      <c r="I363" s="1086"/>
      <c r="J363" s="347"/>
      <c r="K363" s="348"/>
      <c r="L363" s="348"/>
      <c r="M363" s="348"/>
      <c r="N363" s="349"/>
      <c r="O363" s="512"/>
      <c r="P363" s="506"/>
      <c r="Q363" s="507"/>
      <c r="R363" s="505"/>
      <c r="S363" s="514"/>
      <c r="T363" s="517"/>
      <c r="U363" s="505"/>
      <c r="V363" s="1053">
        <f>SUM(T363:U363)</f>
        <v>0</v>
      </c>
      <c r="W363" s="397">
        <f>F363-V363</f>
        <v>0</v>
      </c>
      <c r="X363" s="512"/>
      <c r="Y363" s="508"/>
      <c r="Z363" s="507"/>
      <c r="AA363" s="505"/>
      <c r="AB363" s="295"/>
      <c r="AC363" s="305"/>
      <c r="AD363" s="799"/>
      <c r="AE363" s="800"/>
      <c r="AF363" s="801"/>
      <c r="AG363" s="831">
        <f>SUM(AE363:AF363)</f>
        <v>0</v>
      </c>
      <c r="AH363" s="799"/>
      <c r="AI363" s="800"/>
      <c r="AJ363" s="801"/>
      <c r="AK363" s="831">
        <f>SUM(AI363:AJ363)</f>
        <v>0</v>
      </c>
      <c r="AL363" s="799"/>
      <c r="AM363" s="800"/>
      <c r="AN363" s="801"/>
      <c r="AO363" s="831">
        <f>SUM(AM363:AN363)</f>
        <v>0</v>
      </c>
      <c r="AP363" s="1079">
        <f t="shared" si="261"/>
        <v>0</v>
      </c>
      <c r="AQ363" s="1079">
        <f t="shared" si="262"/>
        <v>0</v>
      </c>
      <c r="AR363" s="1080">
        <f t="shared" si="263"/>
        <v>0</v>
      </c>
      <c r="AS363" s="307"/>
      <c r="AT363" s="307"/>
      <c r="AU363" s="307"/>
      <c r="AV363" s="307"/>
      <c r="AW363" s="307"/>
      <c r="AX363" s="307"/>
      <c r="AY363" s="307"/>
      <c r="AZ363" s="307"/>
      <c r="BA363" s="307"/>
      <c r="BB363" s="196" t="s">
        <v>63</v>
      </c>
      <c r="BC363" s="196" t="s">
        <v>374</v>
      </c>
      <c r="BD363" s="212"/>
      <c r="BE363" s="212"/>
      <c r="BF363" s="212"/>
      <c r="BG363" s="212"/>
      <c r="BH363" s="212"/>
      <c r="BI363" s="212"/>
      <c r="BJ363" s="212"/>
      <c r="BK363" s="212"/>
      <c r="BL363" s="212"/>
      <c r="BM363" s="212"/>
      <c r="BN363" s="212"/>
      <c r="BO363" s="212"/>
      <c r="BP363" s="212"/>
      <c r="BQ363" s="212"/>
      <c r="BR363" s="212"/>
      <c r="BS363" s="212"/>
      <c r="BT363" s="212"/>
      <c r="BU363" s="212"/>
      <c r="BV363" s="212"/>
      <c r="BW363" s="212"/>
      <c r="BX363" s="212"/>
      <c r="BY363" s="212"/>
      <c r="BZ363" s="212"/>
      <c r="CA363" s="212"/>
      <c r="CB363" s="212"/>
      <c r="CC363" s="212"/>
      <c r="CD363" s="212"/>
      <c r="CE363" s="212"/>
    </row>
    <row r="364" spans="1:83" x14ac:dyDescent="0.2">
      <c r="A364" s="1055"/>
      <c r="B364" s="496"/>
      <c r="C364" s="303"/>
      <c r="D364" s="295"/>
      <c r="E364" s="304"/>
      <c r="F364" s="371"/>
      <c r="G364" s="1056"/>
      <c r="H364" s="1056"/>
      <c r="I364" s="1057"/>
      <c r="J364" s="325"/>
      <c r="K364" s="324"/>
      <c r="L364" s="324"/>
      <c r="M364" s="324"/>
      <c r="N364" s="326"/>
      <c r="O364" s="509"/>
      <c r="P364" s="509"/>
      <c r="Q364" s="509"/>
      <c r="R364" s="509"/>
      <c r="S364" s="514"/>
      <c r="T364" s="510"/>
      <c r="U364" s="327"/>
      <c r="V364" s="1041"/>
      <c r="W364" s="1042"/>
      <c r="X364" s="509"/>
      <c r="Y364" s="509"/>
      <c r="Z364" s="509"/>
      <c r="AA364" s="509"/>
      <c r="AB364" s="295"/>
      <c r="AC364" s="305"/>
      <c r="AD364" s="805"/>
      <c r="AE364" s="807"/>
      <c r="AF364" s="807"/>
      <c r="AG364" s="832"/>
      <c r="AH364" s="805"/>
      <c r="AI364" s="807"/>
      <c r="AJ364" s="807"/>
      <c r="AK364" s="832"/>
      <c r="AL364" s="805"/>
      <c r="AM364" s="807"/>
      <c r="AN364" s="807"/>
      <c r="AO364" s="832"/>
      <c r="AP364" s="822"/>
      <c r="AQ364" s="822"/>
      <c r="AR364" s="822"/>
      <c r="AS364" s="307"/>
      <c r="AT364" s="307"/>
      <c r="AU364" s="307"/>
      <c r="AV364" s="307"/>
      <c r="AW364" s="307"/>
      <c r="AX364" s="307"/>
      <c r="AY364" s="307"/>
      <c r="AZ364" s="307"/>
      <c r="BA364" s="307"/>
      <c r="BB364" s="196"/>
      <c r="BC364" s="196"/>
      <c r="BD364" s="212"/>
      <c r="BE364" s="212"/>
      <c r="BF364" s="212"/>
      <c r="BG364" s="212"/>
      <c r="BH364" s="212"/>
      <c r="BI364" s="212"/>
      <c r="BJ364" s="212"/>
      <c r="BK364" s="212"/>
      <c r="BL364" s="212"/>
      <c r="BM364" s="212"/>
      <c r="BN364" s="212"/>
      <c r="BO364" s="212"/>
      <c r="BP364" s="212"/>
      <c r="BQ364" s="212"/>
      <c r="BR364" s="212"/>
      <c r="BS364" s="212"/>
      <c r="BT364" s="212"/>
      <c r="BU364" s="212"/>
      <c r="BV364" s="212"/>
      <c r="BW364" s="212"/>
      <c r="BX364" s="212"/>
      <c r="BY364" s="212"/>
      <c r="BZ364" s="212"/>
      <c r="CA364" s="212"/>
      <c r="CB364" s="212"/>
      <c r="CC364" s="212"/>
      <c r="CD364" s="212"/>
      <c r="CE364" s="212"/>
    </row>
    <row r="365" spans="1:83" x14ac:dyDescent="0.2">
      <c r="A365" s="1091">
        <v>116</v>
      </c>
      <c r="B365" s="1082" t="str">
        <f>IF(Stammblatt!$L$4=1,'Kalkulation Herstellungskosten'!BB365,'Kalkulation Herstellungskosten'!BC365)</f>
        <v>Motivgebühren (einschließlich Halteverbote, Nebenräume)</v>
      </c>
      <c r="C365" s="317"/>
      <c r="D365" s="318"/>
      <c r="E365" s="319"/>
      <c r="F365" s="396">
        <f>Motive+HV+Nebenräume</f>
        <v>0</v>
      </c>
      <c r="G365" s="1035"/>
      <c r="H365" s="1035"/>
      <c r="I365" s="1086"/>
      <c r="J365" s="322"/>
      <c r="K365" s="320"/>
      <c r="L365" s="320"/>
      <c r="M365" s="320"/>
      <c r="N365" s="323"/>
      <c r="O365" s="512"/>
      <c r="P365" s="506"/>
      <c r="Q365" s="507"/>
      <c r="R365" s="505"/>
      <c r="S365" s="514"/>
      <c r="T365" s="517"/>
      <c r="U365" s="505"/>
      <c r="V365" s="1053">
        <f>SUM(T365:U365)</f>
        <v>0</v>
      </c>
      <c r="W365" s="397">
        <f>F365-V365</f>
        <v>0</v>
      </c>
      <c r="X365" s="512"/>
      <c r="Y365" s="508"/>
      <c r="Z365" s="507"/>
      <c r="AA365" s="505"/>
      <c r="AB365" s="295"/>
      <c r="AC365" s="305"/>
      <c r="AD365" s="799"/>
      <c r="AE365" s="800"/>
      <c r="AF365" s="801"/>
      <c r="AG365" s="831">
        <f>SUM(AE365:AF365)</f>
        <v>0</v>
      </c>
      <c r="AH365" s="799"/>
      <c r="AI365" s="800"/>
      <c r="AJ365" s="801"/>
      <c r="AK365" s="831">
        <f>SUM(AI365:AJ365)</f>
        <v>0</v>
      </c>
      <c r="AL365" s="799"/>
      <c r="AM365" s="800"/>
      <c r="AN365" s="801"/>
      <c r="AO365" s="831">
        <f>SUM(AM365:AN365)</f>
        <v>0</v>
      </c>
      <c r="AP365" s="1079">
        <f t="shared" ref="AP365:AP366" si="264">SUM(F365,AD365,AH365,AL365)</f>
        <v>0</v>
      </c>
      <c r="AQ365" s="1079">
        <f t="shared" ref="AQ365:AQ366" si="265">SUM(AO365,AK365,AG365,V365)</f>
        <v>0</v>
      </c>
      <c r="AR365" s="1080">
        <f t="shared" ref="AR365:AR366" si="266">AP365-AQ365</f>
        <v>0</v>
      </c>
      <c r="AS365" s="307"/>
      <c r="AT365" s="307"/>
      <c r="AU365" s="307"/>
      <c r="AV365" s="307"/>
      <c r="AW365" s="307"/>
      <c r="AX365" s="307"/>
      <c r="AY365" s="307"/>
      <c r="AZ365" s="307"/>
      <c r="BA365" s="307"/>
      <c r="BB365" s="196" t="s">
        <v>721</v>
      </c>
      <c r="BC365" s="196" t="s">
        <v>722</v>
      </c>
      <c r="BD365" s="212"/>
      <c r="BE365" s="212"/>
      <c r="BF365" s="212"/>
      <c r="BG365" s="212"/>
      <c r="BH365" s="212"/>
      <c r="BI365" s="212"/>
      <c r="BJ365" s="212"/>
      <c r="BK365" s="212"/>
      <c r="BL365" s="212"/>
      <c r="BM365" s="212"/>
      <c r="BN365" s="212"/>
      <c r="BO365" s="212"/>
      <c r="BP365" s="212"/>
      <c r="BQ365" s="212"/>
      <c r="BR365" s="212"/>
      <c r="BS365" s="212"/>
      <c r="BT365" s="212"/>
      <c r="BU365" s="212"/>
      <c r="BV365" s="212"/>
      <c r="BW365" s="212"/>
      <c r="BX365" s="212"/>
      <c r="BY365" s="212"/>
      <c r="BZ365" s="212"/>
      <c r="CA365" s="212"/>
      <c r="CB365" s="212"/>
      <c r="CC365" s="212"/>
      <c r="CD365" s="212"/>
      <c r="CE365" s="212"/>
    </row>
    <row r="366" spans="1:83" x14ac:dyDescent="0.2">
      <c r="A366" s="1091">
        <v>117</v>
      </c>
      <c r="B366" s="1082" t="str">
        <f>IF(Stammblatt!$L$4=1,'Kalkulation Herstellungskosten'!BB366,'Kalkulation Herstellungskosten'!BC366)</f>
        <v>Absperrhilfen</v>
      </c>
      <c r="C366" s="317"/>
      <c r="D366" s="318"/>
      <c r="E366" s="319"/>
      <c r="F366" s="396">
        <f>Absperrhilfen</f>
        <v>0</v>
      </c>
      <c r="G366" s="1035"/>
      <c r="H366" s="1035"/>
      <c r="I366" s="1086"/>
      <c r="J366" s="322"/>
      <c r="K366" s="320"/>
      <c r="L366" s="320"/>
      <c r="M366" s="320"/>
      <c r="N366" s="323"/>
      <c r="O366" s="512"/>
      <c r="P366" s="506"/>
      <c r="Q366" s="507"/>
      <c r="R366" s="505"/>
      <c r="S366" s="514"/>
      <c r="T366" s="529"/>
      <c r="U366" s="530"/>
      <c r="V366" s="1053">
        <f>SUM(T366:U366)</f>
        <v>0</v>
      </c>
      <c r="W366" s="397">
        <f>F366-V366</f>
        <v>0</v>
      </c>
      <c r="X366" s="512"/>
      <c r="Y366" s="508"/>
      <c r="Z366" s="507"/>
      <c r="AA366" s="505"/>
      <c r="AB366" s="295"/>
      <c r="AC366" s="305"/>
      <c r="AD366" s="799"/>
      <c r="AE366" s="800"/>
      <c r="AF366" s="801"/>
      <c r="AG366" s="831">
        <f>SUM(AE366:AF366)</f>
        <v>0</v>
      </c>
      <c r="AH366" s="799"/>
      <c r="AI366" s="800"/>
      <c r="AJ366" s="830"/>
      <c r="AK366" s="831">
        <f>SUM(AI366:AJ366)</f>
        <v>0</v>
      </c>
      <c r="AL366" s="799"/>
      <c r="AM366" s="800"/>
      <c r="AN366" s="830"/>
      <c r="AO366" s="831">
        <f>SUM(AM366:AN366)</f>
        <v>0</v>
      </c>
      <c r="AP366" s="1079">
        <f t="shared" si="264"/>
        <v>0</v>
      </c>
      <c r="AQ366" s="1079">
        <f t="shared" si="265"/>
        <v>0</v>
      </c>
      <c r="AR366" s="1080">
        <f t="shared" si="266"/>
        <v>0</v>
      </c>
      <c r="AS366" s="307"/>
      <c r="AT366" s="307"/>
      <c r="AU366" s="307"/>
      <c r="AV366" s="307"/>
      <c r="AW366" s="307"/>
      <c r="AX366" s="307"/>
      <c r="AY366" s="307"/>
      <c r="AZ366" s="307"/>
      <c r="BA366" s="307"/>
      <c r="BB366" s="196" t="s">
        <v>758</v>
      </c>
      <c r="BC366" s="196" t="s">
        <v>1051</v>
      </c>
      <c r="BD366" s="212"/>
      <c r="BE366" s="212"/>
      <c r="BF366" s="212"/>
      <c r="BG366" s="212"/>
      <c r="BH366" s="212"/>
      <c r="BI366" s="212"/>
      <c r="BJ366" s="212"/>
      <c r="BK366" s="212"/>
      <c r="BL366" s="212"/>
      <c r="BM366" s="212"/>
      <c r="BN366" s="212"/>
      <c r="BO366" s="212"/>
      <c r="BP366" s="212"/>
      <c r="BQ366" s="212"/>
      <c r="BR366" s="212"/>
      <c r="BS366" s="212"/>
      <c r="BT366" s="212"/>
      <c r="BU366" s="212"/>
      <c r="BV366" s="212"/>
      <c r="BW366" s="212"/>
      <c r="BX366" s="212"/>
      <c r="BY366" s="212"/>
      <c r="BZ366" s="212"/>
      <c r="CA366" s="212"/>
      <c r="CB366" s="212"/>
      <c r="CC366" s="212"/>
      <c r="CD366" s="212"/>
      <c r="CE366" s="212"/>
    </row>
    <row r="367" spans="1:83" x14ac:dyDescent="0.2">
      <c r="A367" s="1091"/>
      <c r="B367" s="1082"/>
      <c r="C367" s="317"/>
      <c r="D367" s="318"/>
      <c r="E367" s="319"/>
      <c r="F367" s="396"/>
      <c r="G367" s="1035"/>
      <c r="H367" s="1035"/>
      <c r="I367" s="1086"/>
      <c r="J367" s="322"/>
      <c r="K367" s="320"/>
      <c r="L367" s="320"/>
      <c r="M367" s="320"/>
      <c r="N367" s="323"/>
      <c r="O367" s="516"/>
      <c r="P367" s="509"/>
      <c r="Q367" s="509"/>
      <c r="R367" s="509"/>
      <c r="S367" s="514"/>
      <c r="T367" s="510"/>
      <c r="U367" s="327"/>
      <c r="V367" s="1041"/>
      <c r="W367" s="1042"/>
      <c r="X367" s="516"/>
      <c r="Y367" s="516"/>
      <c r="Z367" s="516"/>
      <c r="AA367" s="516"/>
      <c r="AB367" s="295"/>
      <c r="AC367" s="305"/>
      <c r="AD367" s="810"/>
      <c r="AE367" s="807"/>
      <c r="AF367" s="807"/>
      <c r="AG367" s="832"/>
      <c r="AH367" s="810"/>
      <c r="AI367" s="807"/>
      <c r="AJ367" s="807"/>
      <c r="AK367" s="832"/>
      <c r="AL367" s="810"/>
      <c r="AM367" s="807"/>
      <c r="AN367" s="807"/>
      <c r="AO367" s="832"/>
      <c r="AP367" s="822"/>
      <c r="AQ367" s="822"/>
      <c r="AR367" s="822"/>
      <c r="AS367" s="307"/>
      <c r="AT367" s="307"/>
      <c r="AU367" s="307"/>
      <c r="AV367" s="307"/>
      <c r="AW367" s="307"/>
      <c r="AX367" s="307"/>
      <c r="AY367" s="307"/>
      <c r="AZ367" s="307"/>
      <c r="BA367" s="307"/>
      <c r="BB367" s="196"/>
      <c r="BC367" s="196"/>
      <c r="BD367" s="212"/>
      <c r="BE367" s="212"/>
      <c r="BF367" s="212"/>
      <c r="BG367" s="212"/>
      <c r="BH367" s="212"/>
      <c r="BI367" s="212"/>
      <c r="BJ367" s="212"/>
      <c r="BK367" s="212"/>
      <c r="BL367" s="212"/>
      <c r="BM367" s="212"/>
      <c r="BN367" s="212"/>
      <c r="BO367" s="212"/>
      <c r="BP367" s="212"/>
      <c r="BQ367" s="212"/>
      <c r="BR367" s="212"/>
      <c r="BS367" s="212"/>
      <c r="BT367" s="212"/>
      <c r="BU367" s="212"/>
      <c r="BV367" s="212"/>
      <c r="BW367" s="212"/>
      <c r="BX367" s="212"/>
      <c r="BY367" s="212"/>
      <c r="BZ367" s="212"/>
      <c r="CA367" s="212"/>
      <c r="CB367" s="212"/>
      <c r="CC367" s="212"/>
      <c r="CD367" s="212"/>
      <c r="CE367" s="212"/>
    </row>
    <row r="368" spans="1:83" x14ac:dyDescent="0.2">
      <c r="A368" s="1091">
        <v>118</v>
      </c>
      <c r="B368" s="1082" t="str">
        <f>IF(Stammblatt!$L$4=1,'Kalkulation Herstellungskosten'!BB368,'Kalkulation Herstellungskosten'!BC368)</f>
        <v>Stromkosten (Bau/Abbau/Dreh) *)</v>
      </c>
      <c r="C368" s="30">
        <v>0</v>
      </c>
      <c r="D368" s="318"/>
      <c r="E368" s="32">
        <v>0</v>
      </c>
      <c r="F368" s="396">
        <f>C368*E368</f>
        <v>0</v>
      </c>
      <c r="G368" s="1035"/>
      <c r="H368" s="1035"/>
      <c r="I368" s="1086"/>
      <c r="J368" s="347"/>
      <c r="K368" s="348"/>
      <c r="L368" s="348"/>
      <c r="M368" s="348"/>
      <c r="N368" s="349"/>
      <c r="O368" s="512"/>
      <c r="P368" s="506"/>
      <c r="Q368" s="507"/>
      <c r="R368" s="505"/>
      <c r="S368" s="514"/>
      <c r="T368" s="517"/>
      <c r="U368" s="505"/>
      <c r="V368" s="1053">
        <f>SUM(T368:U368)</f>
        <v>0</v>
      </c>
      <c r="W368" s="397">
        <f>F368-V368</f>
        <v>0</v>
      </c>
      <c r="X368" s="512"/>
      <c r="Y368" s="508"/>
      <c r="Z368" s="507"/>
      <c r="AA368" s="505"/>
      <c r="AB368" s="295"/>
      <c r="AC368" s="305"/>
      <c r="AD368" s="799"/>
      <c r="AE368" s="800"/>
      <c r="AF368" s="801"/>
      <c r="AG368" s="831">
        <f>SUM(AE368:AF368)</f>
        <v>0</v>
      </c>
      <c r="AH368" s="799"/>
      <c r="AI368" s="800"/>
      <c r="AJ368" s="801"/>
      <c r="AK368" s="831">
        <f>SUM(AI368:AJ368)</f>
        <v>0</v>
      </c>
      <c r="AL368" s="799"/>
      <c r="AM368" s="800"/>
      <c r="AN368" s="801"/>
      <c r="AO368" s="831">
        <f>SUM(AM368:AN368)</f>
        <v>0</v>
      </c>
      <c r="AP368" s="1079">
        <f t="shared" ref="AP368:AP369" si="267">SUM(F368,AD368,AH368,AL368)</f>
        <v>0</v>
      </c>
      <c r="AQ368" s="1079">
        <f t="shared" ref="AQ368:AQ369" si="268">SUM(AO368,AK368,AG368,V368)</f>
        <v>0</v>
      </c>
      <c r="AR368" s="1080">
        <f t="shared" ref="AR368:AR369" si="269">AP368-AQ368</f>
        <v>0</v>
      </c>
      <c r="AS368" s="307"/>
      <c r="AT368" s="307"/>
      <c r="AU368" s="307"/>
      <c r="AV368" s="307"/>
      <c r="AW368" s="307"/>
      <c r="AX368" s="307"/>
      <c r="AY368" s="307"/>
      <c r="AZ368" s="307"/>
      <c r="BA368" s="307"/>
      <c r="BB368" s="196" t="s">
        <v>64</v>
      </c>
      <c r="BC368" s="196" t="s">
        <v>375</v>
      </c>
      <c r="BD368" s="212"/>
      <c r="BE368" s="212"/>
      <c r="BF368" s="212"/>
      <c r="BG368" s="212"/>
      <c r="BH368" s="212"/>
      <c r="BI368" s="212"/>
      <c r="BJ368" s="212"/>
      <c r="BK368" s="212"/>
      <c r="BL368" s="212"/>
      <c r="BM368" s="212"/>
      <c r="BN368" s="212"/>
      <c r="BO368" s="212"/>
      <c r="BP368" s="212"/>
      <c r="BQ368" s="212"/>
      <c r="BR368" s="212"/>
      <c r="BS368" s="212"/>
      <c r="BT368" s="212"/>
      <c r="BU368" s="212"/>
      <c r="BV368" s="212"/>
      <c r="BW368" s="212"/>
      <c r="BX368" s="212"/>
      <c r="BY368" s="212"/>
      <c r="BZ368" s="212"/>
      <c r="CA368" s="212"/>
      <c r="CB368" s="212"/>
      <c r="CC368" s="212"/>
      <c r="CD368" s="212"/>
      <c r="CE368" s="212"/>
    </row>
    <row r="369" spans="1:83" x14ac:dyDescent="0.2">
      <c r="A369" s="1091">
        <v>119</v>
      </c>
      <c r="B369" s="1082" t="str">
        <f>IF(Stammblatt!$L$4=1,'Kalkulation Herstellungskosten'!BB369,'Kalkulation Herstellungskosten'!BC369)</f>
        <v>Sonstiges *)</v>
      </c>
      <c r="C369" s="317"/>
      <c r="D369" s="318"/>
      <c r="E369" s="319"/>
      <c r="F369" s="32">
        <v>0</v>
      </c>
      <c r="G369" s="1035"/>
      <c r="H369" s="1035"/>
      <c r="I369" s="1086"/>
      <c r="J369" s="347"/>
      <c r="K369" s="348"/>
      <c r="L369" s="348"/>
      <c r="M369" s="348"/>
      <c r="N369" s="349"/>
      <c r="O369" s="512"/>
      <c r="P369" s="506"/>
      <c r="Q369" s="507"/>
      <c r="R369" s="505"/>
      <c r="S369" s="514"/>
      <c r="T369" s="517"/>
      <c r="U369" s="505"/>
      <c r="V369" s="1053">
        <f>SUM(T369:U369)</f>
        <v>0</v>
      </c>
      <c r="W369" s="397">
        <f>F369-V369</f>
        <v>0</v>
      </c>
      <c r="X369" s="512"/>
      <c r="Y369" s="508"/>
      <c r="Z369" s="507"/>
      <c r="AA369" s="505"/>
      <c r="AB369" s="295"/>
      <c r="AC369" s="305"/>
      <c r="AD369" s="799"/>
      <c r="AE369" s="800"/>
      <c r="AF369" s="801"/>
      <c r="AG369" s="831">
        <f>SUM(AE369:AF369)</f>
        <v>0</v>
      </c>
      <c r="AH369" s="799"/>
      <c r="AI369" s="800"/>
      <c r="AJ369" s="801"/>
      <c r="AK369" s="831">
        <f>SUM(AI369:AJ369)</f>
        <v>0</v>
      </c>
      <c r="AL369" s="799"/>
      <c r="AM369" s="800"/>
      <c r="AN369" s="801"/>
      <c r="AO369" s="831">
        <f>SUM(AM369:AN369)</f>
        <v>0</v>
      </c>
      <c r="AP369" s="1079">
        <f t="shared" si="267"/>
        <v>0</v>
      </c>
      <c r="AQ369" s="1079">
        <f t="shared" si="268"/>
        <v>0</v>
      </c>
      <c r="AR369" s="1080">
        <f t="shared" si="269"/>
        <v>0</v>
      </c>
      <c r="AS369" s="307"/>
      <c r="AT369" s="307"/>
      <c r="AU369" s="307"/>
      <c r="AV369" s="307"/>
      <c r="AW369" s="307"/>
      <c r="AX369" s="307"/>
      <c r="AY369" s="307"/>
      <c r="AZ369" s="307"/>
      <c r="BA369" s="307"/>
      <c r="BB369" s="196" t="s">
        <v>41</v>
      </c>
      <c r="BC369" s="196" t="s">
        <v>365</v>
      </c>
      <c r="BD369" s="212"/>
      <c r="BE369" s="212"/>
      <c r="BF369" s="212"/>
      <c r="BG369" s="212"/>
      <c r="BH369" s="212"/>
      <c r="BI369" s="212"/>
      <c r="BJ369" s="212"/>
      <c r="BK369" s="212"/>
      <c r="BL369" s="212"/>
      <c r="BM369" s="212"/>
      <c r="BN369" s="212"/>
      <c r="BO369" s="212"/>
      <c r="BP369" s="212"/>
      <c r="BQ369" s="212"/>
      <c r="BR369" s="212"/>
      <c r="BS369" s="212"/>
      <c r="BT369" s="212"/>
      <c r="BU369" s="212"/>
      <c r="BV369" s="212"/>
      <c r="BW369" s="212"/>
      <c r="BX369" s="212"/>
      <c r="BY369" s="212"/>
      <c r="BZ369" s="212"/>
      <c r="CA369" s="212"/>
      <c r="CB369" s="212"/>
      <c r="CC369" s="212"/>
      <c r="CD369" s="212"/>
      <c r="CE369" s="212"/>
    </row>
    <row r="370" spans="1:83" x14ac:dyDescent="0.2">
      <c r="A370" s="1055"/>
      <c r="B370" s="496"/>
      <c r="C370" s="490"/>
      <c r="D370" s="328"/>
      <c r="E370" s="371"/>
      <c r="F370" s="371"/>
      <c r="G370" s="1056"/>
      <c r="H370" s="1056"/>
      <c r="I370" s="1057"/>
      <c r="J370" s="1058"/>
      <c r="K370" s="1056"/>
      <c r="L370" s="1056"/>
      <c r="M370" s="1056"/>
      <c r="N370" s="335"/>
      <c r="O370" s="1059"/>
      <c r="P370" s="1059"/>
      <c r="Q370" s="1059"/>
      <c r="R370" s="1059"/>
      <c r="S370" s="1046"/>
      <c r="T370" s="1060"/>
      <c r="U370" s="1041"/>
      <c r="V370" s="1041"/>
      <c r="W370" s="1042"/>
      <c r="X370" s="1059"/>
      <c r="Y370" s="1059"/>
      <c r="Z370" s="1059"/>
      <c r="AA370" s="1059"/>
      <c r="AB370" s="328"/>
      <c r="AC370" s="1062"/>
      <c r="AD370" s="822"/>
      <c r="AE370" s="832"/>
      <c r="AF370" s="832"/>
      <c r="AG370" s="832"/>
      <c r="AH370" s="822"/>
      <c r="AI370" s="832"/>
      <c r="AJ370" s="832"/>
      <c r="AK370" s="832"/>
      <c r="AL370" s="822"/>
      <c r="AM370" s="832"/>
      <c r="AN370" s="832"/>
      <c r="AO370" s="832"/>
      <c r="AP370" s="822"/>
      <c r="AQ370" s="822"/>
      <c r="AR370" s="822"/>
      <c r="AS370" s="307"/>
      <c r="AT370" s="307"/>
      <c r="AU370" s="307"/>
      <c r="AV370" s="307"/>
      <c r="AW370" s="307"/>
      <c r="AX370" s="307"/>
      <c r="AY370" s="307"/>
      <c r="AZ370" s="307"/>
      <c r="BA370" s="307"/>
      <c r="BB370" s="196"/>
      <c r="BC370" s="196"/>
      <c r="BD370" s="212"/>
      <c r="BE370" s="212"/>
      <c r="BF370" s="212"/>
      <c r="BG370" s="212"/>
      <c r="BH370" s="212"/>
      <c r="BI370" s="212"/>
      <c r="BJ370" s="212"/>
      <c r="BK370" s="212"/>
      <c r="BL370" s="212"/>
      <c r="BM370" s="212"/>
      <c r="BN370" s="212"/>
      <c r="BO370" s="212"/>
      <c r="BP370" s="212"/>
      <c r="BQ370" s="212"/>
      <c r="BR370" s="212"/>
      <c r="BS370" s="212"/>
      <c r="BT370" s="212"/>
      <c r="BU370" s="212"/>
      <c r="BV370" s="212"/>
      <c r="BW370" s="212"/>
      <c r="BX370" s="212"/>
      <c r="BY370" s="212"/>
      <c r="BZ370" s="212"/>
      <c r="CA370" s="212"/>
      <c r="CB370" s="212"/>
      <c r="CC370" s="212"/>
      <c r="CD370" s="212"/>
      <c r="CE370" s="212"/>
    </row>
    <row r="371" spans="1:83" x14ac:dyDescent="0.2">
      <c r="A371" s="1092"/>
      <c r="B371" s="1090" t="str">
        <f>IF(Stammblatt!$L$4=1,'Kalkulation Herstellungskosten'!BB371,'Kalkulation Herstellungskosten'!BC371)</f>
        <v>Σ-Studiodreh, Originalmotive, Bauten</v>
      </c>
      <c r="C371" s="1152"/>
      <c r="D371" s="1153"/>
      <c r="E371" s="1154"/>
      <c r="F371" s="1154">
        <f>SUM(F354:F370)</f>
        <v>0</v>
      </c>
      <c r="G371" s="1154"/>
      <c r="H371" s="1154"/>
      <c r="I371" s="1155"/>
      <c r="J371" s="1156"/>
      <c r="K371" s="1154"/>
      <c r="L371" s="1154"/>
      <c r="M371" s="1154"/>
      <c r="N371" s="904"/>
      <c r="O371" s="90">
        <f>SUM(O354:O370)</f>
        <v>0</v>
      </c>
      <c r="P371" s="90">
        <f>SUM(P354:P370)</f>
        <v>0</v>
      </c>
      <c r="Q371" s="90">
        <f t="shared" ref="Q371:R371" si="270">SUM(Q354:Q370)</f>
        <v>0</v>
      </c>
      <c r="R371" s="90">
        <f t="shared" si="270"/>
        <v>0</v>
      </c>
      <c r="S371" s="1046"/>
      <c r="T371" s="511">
        <f>SUM(T354:T370)</f>
        <v>0</v>
      </c>
      <c r="U371" s="90">
        <f>SUM(U354:U370)</f>
        <v>0</v>
      </c>
      <c r="V371" s="90">
        <f>SUM(V354:V370)</f>
        <v>0</v>
      </c>
      <c r="W371" s="1043">
        <f>ZS_5_Atelier_Ausleuchtung_Außenaufnahmen-V371</f>
        <v>0</v>
      </c>
      <c r="X371" s="90">
        <f>SUM(X354:X370)</f>
        <v>0</v>
      </c>
      <c r="Y371" s="90">
        <f>SUM(Y354:Y370)</f>
        <v>0</v>
      </c>
      <c r="Z371" s="90">
        <f t="shared" ref="Z371:AA371" si="271">SUM(Z354:Z370)</f>
        <v>0</v>
      </c>
      <c r="AA371" s="90">
        <f t="shared" si="271"/>
        <v>0</v>
      </c>
      <c r="AB371" s="328"/>
      <c r="AC371" s="1062"/>
      <c r="AD371" s="1158">
        <f>SUM(AD354:AD370)</f>
        <v>0</v>
      </c>
      <c r="AE371" s="1037">
        <f t="shared" ref="AE371:AG371" si="272">SUM(AE354:AE370)</f>
        <v>0</v>
      </c>
      <c r="AF371" s="653">
        <f t="shared" si="272"/>
        <v>0</v>
      </c>
      <c r="AG371" s="653">
        <f t="shared" si="272"/>
        <v>0</v>
      </c>
      <c r="AH371" s="1158">
        <f>SUM(AH354:AH370)</f>
        <v>0</v>
      </c>
      <c r="AI371" s="1037">
        <f t="shared" ref="AI371:AK371" si="273">SUM(AI354:AI370)</f>
        <v>0</v>
      </c>
      <c r="AJ371" s="653">
        <f t="shared" si="273"/>
        <v>0</v>
      </c>
      <c r="AK371" s="653">
        <f t="shared" si="273"/>
        <v>0</v>
      </c>
      <c r="AL371" s="1158">
        <f>SUM(AL354:AL370)</f>
        <v>0</v>
      </c>
      <c r="AM371" s="1037">
        <f t="shared" ref="AM371:AO371" si="274">SUM(AM354:AM370)</f>
        <v>0</v>
      </c>
      <c r="AN371" s="653">
        <f t="shared" si="274"/>
        <v>0</v>
      </c>
      <c r="AO371" s="653">
        <f t="shared" si="274"/>
        <v>0</v>
      </c>
      <c r="AP371" s="653">
        <f t="shared" ref="AP371:AQ371" si="275">SUM(AP354:AP370)</f>
        <v>0</v>
      </c>
      <c r="AQ371" s="653">
        <f t="shared" si="275"/>
        <v>0</v>
      </c>
      <c r="AR371" s="1139">
        <f t="shared" ref="AR371" si="276">AP371-AQ371</f>
        <v>0</v>
      </c>
      <c r="AS371" s="307"/>
      <c r="AT371" s="307"/>
      <c r="AU371" s="307"/>
      <c r="AV371" s="307"/>
      <c r="AW371" s="307"/>
      <c r="AX371" s="307"/>
      <c r="AY371" s="307"/>
      <c r="AZ371" s="307"/>
      <c r="BA371" s="307"/>
      <c r="BB371" s="196" t="s">
        <v>756</v>
      </c>
      <c r="BC371" s="196" t="s">
        <v>757</v>
      </c>
      <c r="BD371" s="212"/>
      <c r="BE371" s="212"/>
      <c r="BF371" s="212"/>
      <c r="BG371" s="212"/>
      <c r="BH371" s="212"/>
      <c r="BI371" s="212"/>
      <c r="BJ371" s="212"/>
      <c r="BK371" s="212"/>
      <c r="BL371" s="212"/>
      <c r="BM371" s="212"/>
      <c r="BN371" s="212"/>
      <c r="BO371" s="212"/>
      <c r="BP371" s="212"/>
      <c r="BQ371" s="212"/>
      <c r="BR371" s="212"/>
      <c r="BS371" s="212"/>
      <c r="BT371" s="212"/>
      <c r="BU371" s="212"/>
      <c r="BV371" s="212"/>
      <c r="BW371" s="212"/>
      <c r="BX371" s="212"/>
      <c r="BY371" s="212"/>
      <c r="BZ371" s="212"/>
      <c r="CA371" s="212"/>
      <c r="CB371" s="212"/>
      <c r="CC371" s="212"/>
      <c r="CD371" s="212"/>
      <c r="CE371" s="212"/>
    </row>
    <row r="372" spans="1:83" x14ac:dyDescent="0.2">
      <c r="A372" s="1055"/>
      <c r="B372" s="496"/>
      <c r="C372" s="490"/>
      <c r="D372" s="328"/>
      <c r="E372" s="371"/>
      <c r="F372" s="371"/>
      <c r="G372" s="1056"/>
      <c r="H372" s="1056"/>
      <c r="I372" s="1057"/>
      <c r="J372" s="1058"/>
      <c r="K372" s="1056"/>
      <c r="L372" s="1056"/>
      <c r="M372" s="1056"/>
      <c r="N372" s="335"/>
      <c r="O372" s="1059"/>
      <c r="P372" s="1059"/>
      <c r="Q372" s="1059"/>
      <c r="R372" s="1059"/>
      <c r="S372" s="1046"/>
      <c r="T372" s="1060"/>
      <c r="U372" s="1041"/>
      <c r="V372" s="1041"/>
      <c r="W372" s="1041"/>
      <c r="X372" s="1041"/>
      <c r="Y372" s="1059"/>
      <c r="Z372" s="1059"/>
      <c r="AA372" s="1059"/>
      <c r="AB372" s="328"/>
      <c r="AC372" s="1062"/>
      <c r="AD372" s="822"/>
      <c r="AE372" s="832"/>
      <c r="AF372" s="832"/>
      <c r="AG372" s="832"/>
      <c r="AH372" s="822"/>
      <c r="AI372" s="832"/>
      <c r="AJ372" s="832"/>
      <c r="AK372" s="832"/>
      <c r="AL372" s="822"/>
      <c r="AM372" s="832"/>
      <c r="AN372" s="832"/>
      <c r="AO372" s="832"/>
      <c r="AP372" s="822"/>
      <c r="AQ372" s="822"/>
      <c r="AR372" s="822"/>
      <c r="AS372" s="307"/>
      <c r="AT372" s="307"/>
      <c r="AU372" s="307"/>
      <c r="AV372" s="307"/>
      <c r="AW372" s="307"/>
      <c r="AX372" s="307"/>
      <c r="AY372" s="307"/>
      <c r="AZ372" s="307"/>
      <c r="BA372" s="307"/>
      <c r="BB372" s="196"/>
      <c r="BC372" s="196"/>
      <c r="BD372" s="212"/>
      <c r="BE372" s="212"/>
      <c r="BF372" s="212"/>
      <c r="BG372" s="212"/>
      <c r="BH372" s="212"/>
      <c r="BI372" s="212"/>
      <c r="BJ372" s="212"/>
      <c r="BK372" s="212"/>
      <c r="BL372" s="212"/>
      <c r="BM372" s="212"/>
      <c r="BN372" s="212"/>
      <c r="BO372" s="212"/>
      <c r="BP372" s="212"/>
      <c r="BQ372" s="212"/>
      <c r="BR372" s="212"/>
      <c r="BS372" s="212"/>
      <c r="BT372" s="212"/>
      <c r="BU372" s="212"/>
      <c r="BV372" s="212"/>
      <c r="BW372" s="212"/>
      <c r="BX372" s="212"/>
      <c r="BY372" s="212"/>
      <c r="BZ372" s="212"/>
      <c r="CA372" s="212"/>
      <c r="CB372" s="212"/>
      <c r="CC372" s="212"/>
      <c r="CD372" s="212"/>
      <c r="CE372" s="212"/>
    </row>
    <row r="373" spans="1:83" x14ac:dyDescent="0.2">
      <c r="A373" s="1055"/>
      <c r="B373" s="496"/>
      <c r="C373" s="490"/>
      <c r="D373" s="328"/>
      <c r="E373" s="371"/>
      <c r="F373" s="371"/>
      <c r="G373" s="1056"/>
      <c r="H373" s="1056"/>
      <c r="I373" s="1057"/>
      <c r="J373" s="1058"/>
      <c r="K373" s="1056"/>
      <c r="L373" s="1056"/>
      <c r="M373" s="1056"/>
      <c r="N373" s="335"/>
      <c r="O373" s="1059"/>
      <c r="P373" s="1059"/>
      <c r="Q373" s="1059"/>
      <c r="R373" s="1059"/>
      <c r="S373" s="1046"/>
      <c r="T373" s="1060"/>
      <c r="U373" s="1041"/>
      <c r="V373" s="1041"/>
      <c r="W373" s="1041"/>
      <c r="X373" s="1041"/>
      <c r="Y373" s="1059"/>
      <c r="Z373" s="1059"/>
      <c r="AA373" s="1059"/>
      <c r="AB373" s="328"/>
      <c r="AC373" s="1062"/>
      <c r="AD373" s="822"/>
      <c r="AE373" s="832"/>
      <c r="AF373" s="832"/>
      <c r="AG373" s="832"/>
      <c r="AH373" s="822"/>
      <c r="AI373" s="832"/>
      <c r="AJ373" s="832"/>
      <c r="AK373" s="832"/>
      <c r="AL373" s="822"/>
      <c r="AM373" s="832"/>
      <c r="AN373" s="832"/>
      <c r="AO373" s="832"/>
      <c r="AP373" s="822"/>
      <c r="AQ373" s="822"/>
      <c r="AR373" s="822"/>
      <c r="AS373" s="307"/>
      <c r="AT373" s="307"/>
      <c r="AU373" s="307"/>
      <c r="AV373" s="307"/>
      <c r="AW373" s="307"/>
      <c r="AX373" s="307"/>
      <c r="AY373" s="307"/>
      <c r="AZ373" s="307"/>
      <c r="BA373" s="307"/>
      <c r="BB373" s="196"/>
      <c r="BC373" s="196"/>
      <c r="BD373" s="212"/>
      <c r="BE373" s="212"/>
      <c r="BF373" s="212"/>
      <c r="BG373" s="212"/>
      <c r="BH373" s="212"/>
      <c r="BI373" s="212"/>
      <c r="BJ373" s="212"/>
      <c r="BK373" s="212"/>
      <c r="BL373" s="212"/>
      <c r="BM373" s="212"/>
      <c r="BN373" s="212"/>
      <c r="BO373" s="212"/>
      <c r="BP373" s="212"/>
      <c r="BQ373" s="212"/>
      <c r="BR373" s="212"/>
      <c r="BS373" s="212"/>
      <c r="BT373" s="212"/>
      <c r="BU373" s="212"/>
      <c r="BV373" s="212"/>
      <c r="BW373" s="212"/>
      <c r="BX373" s="212"/>
      <c r="BY373" s="212"/>
      <c r="BZ373" s="212"/>
      <c r="CA373" s="212"/>
      <c r="CB373" s="212"/>
      <c r="CC373" s="212"/>
      <c r="CD373" s="212"/>
      <c r="CE373" s="212"/>
    </row>
    <row r="374" spans="1:83" s="24" customFormat="1" x14ac:dyDescent="0.2">
      <c r="A374" s="1066"/>
      <c r="B374" s="497" t="str">
        <f>IF(Stammblatt!$L$4=1,'Kalkulation Herstellungskosten'!BB374,'Kalkulation Herstellungskosten'!BC374)</f>
        <v>6. Ausstattung</v>
      </c>
      <c r="C374" s="328" t="str">
        <f>IF(Stammblatt!$L$4=1,"Wochen","weeks")</f>
        <v>Wochen</v>
      </c>
      <c r="D374" s="328" t="s">
        <v>600</v>
      </c>
      <c r="E374" s="329"/>
      <c r="F374" s="329"/>
      <c r="G374" s="1062"/>
      <c r="H374" s="1062"/>
      <c r="I374" s="1068"/>
      <c r="J374" s="1069"/>
      <c r="K374" s="1062"/>
      <c r="L374" s="1062"/>
      <c r="M374" s="1062"/>
      <c r="N374" s="1070"/>
      <c r="O374" s="1038"/>
      <c r="P374" s="1038"/>
      <c r="Q374" s="1038"/>
      <c r="R374" s="1038"/>
      <c r="S374" s="1046"/>
      <c r="T374" s="1071"/>
      <c r="U374" s="1040"/>
      <c r="V374" s="1040"/>
      <c r="W374" s="1040"/>
      <c r="X374" s="1040"/>
      <c r="Y374" s="1038"/>
      <c r="Z374" s="1038"/>
      <c r="AA374" s="1038"/>
      <c r="AB374" s="328"/>
      <c r="AC374" s="1062"/>
      <c r="AD374" s="1135"/>
      <c r="AE374" s="1138"/>
      <c r="AF374" s="1138"/>
      <c r="AG374" s="1138"/>
      <c r="AH374" s="1135"/>
      <c r="AI374" s="1138"/>
      <c r="AJ374" s="1138"/>
      <c r="AK374" s="1138"/>
      <c r="AL374" s="1135"/>
      <c r="AM374" s="1138"/>
      <c r="AN374" s="1138"/>
      <c r="AO374" s="1138"/>
      <c r="AP374" s="1135"/>
      <c r="AQ374" s="1135"/>
      <c r="AR374" s="1135"/>
      <c r="AS374" s="307"/>
      <c r="AT374" s="307"/>
      <c r="AU374" s="307"/>
      <c r="AV374" s="307"/>
      <c r="AW374" s="307"/>
      <c r="AX374" s="307"/>
      <c r="AY374" s="307"/>
      <c r="AZ374" s="307"/>
      <c r="BA374" s="307"/>
      <c r="BB374" s="196" t="s">
        <v>65</v>
      </c>
      <c r="BC374" s="196" t="s">
        <v>480</v>
      </c>
      <c r="BD374" s="308"/>
      <c r="BE374" s="308"/>
      <c r="BF374" s="308"/>
      <c r="BG374" s="308"/>
      <c r="BH374" s="308"/>
      <c r="BI374" s="308"/>
      <c r="BJ374" s="308"/>
      <c r="BK374" s="308"/>
      <c r="BL374" s="308"/>
      <c r="BM374" s="308"/>
      <c r="BN374" s="308"/>
      <c r="BO374" s="308"/>
      <c r="BP374" s="308"/>
      <c r="BQ374" s="308"/>
      <c r="BR374" s="308"/>
      <c r="BS374" s="308"/>
      <c r="BT374" s="308"/>
      <c r="BU374" s="308"/>
      <c r="BV374" s="308"/>
      <c r="BW374" s="308"/>
      <c r="BX374" s="308"/>
      <c r="BY374" s="308"/>
      <c r="BZ374" s="308"/>
      <c r="CA374" s="308"/>
      <c r="CB374" s="308"/>
      <c r="CC374" s="308"/>
      <c r="CD374" s="308"/>
      <c r="CE374" s="308"/>
    </row>
    <row r="375" spans="1:83" x14ac:dyDescent="0.2">
      <c r="A375" s="1091">
        <v>120</v>
      </c>
      <c r="B375" s="1082" t="str">
        <f>IF(Stammblatt!$L$4=1,'Kalkulation Herstellungskosten'!BB375,'Kalkulation Herstellungskosten'!BC375)</f>
        <v>Kostüm - Kauf</v>
      </c>
      <c r="C375" s="317"/>
      <c r="D375" s="318"/>
      <c r="E375" s="319"/>
      <c r="F375" s="396">
        <f>DarstellerInnen!S55+DarstellerInnen!S62</f>
        <v>0</v>
      </c>
      <c r="G375" s="1035"/>
      <c r="H375" s="1035"/>
      <c r="I375" s="1086"/>
      <c r="J375" s="322"/>
      <c r="K375" s="320"/>
      <c r="L375" s="320"/>
      <c r="M375" s="320"/>
      <c r="N375" s="323"/>
      <c r="O375" s="512"/>
      <c r="P375" s="506"/>
      <c r="Q375" s="507"/>
      <c r="R375" s="505"/>
      <c r="S375" s="514"/>
      <c r="T375" s="517"/>
      <c r="U375" s="505"/>
      <c r="V375" s="1053">
        <f t="shared" ref="V375:V385" si="277">SUM(T375:U375)</f>
        <v>0</v>
      </c>
      <c r="W375" s="1053">
        <f t="shared" ref="W375:W385" si="278">F375-V375</f>
        <v>0</v>
      </c>
      <c r="X375" s="512"/>
      <c r="Y375" s="508"/>
      <c r="Z375" s="507"/>
      <c r="AA375" s="505"/>
      <c r="AB375" s="295"/>
      <c r="AC375" s="305"/>
      <c r="AD375" s="828">
        <f>DarstellerInnen!AA55+DarstellerInnen!AA62</f>
        <v>0</v>
      </c>
      <c r="AE375" s="800"/>
      <c r="AF375" s="801"/>
      <c r="AG375" s="831">
        <f t="shared" ref="AG375:AG385" si="279">SUM(AE375:AF375)</f>
        <v>0</v>
      </c>
      <c r="AH375" s="828">
        <f>DarstellerInnen!AB55+DarstellerInnen!AB62</f>
        <v>0</v>
      </c>
      <c r="AI375" s="800"/>
      <c r="AJ375" s="801"/>
      <c r="AK375" s="831">
        <f t="shared" ref="AK375:AK385" si="280">SUM(AI375:AJ375)</f>
        <v>0</v>
      </c>
      <c r="AL375" s="828">
        <f>DarstellerInnen!AC55+DarstellerInnen!AC62</f>
        <v>0</v>
      </c>
      <c r="AM375" s="800"/>
      <c r="AN375" s="801"/>
      <c r="AO375" s="831">
        <f t="shared" ref="AO375:AO385" si="281">SUM(AM375:AN375)</f>
        <v>0</v>
      </c>
      <c r="AP375" s="1079">
        <f t="shared" ref="AP375" si="282">SUM(F375,AD375,AH375,AL375)</f>
        <v>0</v>
      </c>
      <c r="AQ375" s="1079">
        <f t="shared" ref="AQ375" si="283">SUM(AO375,AK375,AG375,V375)</f>
        <v>0</v>
      </c>
      <c r="AR375" s="1080">
        <f t="shared" ref="AR375" si="284">AP375-AQ375</f>
        <v>0</v>
      </c>
      <c r="AS375" s="307"/>
      <c r="AT375" s="307"/>
      <c r="AU375" s="307"/>
      <c r="AV375" s="307"/>
      <c r="AW375" s="307"/>
      <c r="AX375" s="307"/>
      <c r="AY375" s="307"/>
      <c r="AZ375" s="307"/>
      <c r="BA375" s="307"/>
      <c r="BB375" s="196" t="s">
        <v>66</v>
      </c>
      <c r="BC375" s="196" t="s">
        <v>377</v>
      </c>
      <c r="BD375" s="212"/>
      <c r="BE375" s="212"/>
      <c r="BF375" s="212"/>
      <c r="BG375" s="212"/>
      <c r="BH375" s="212"/>
      <c r="BI375" s="212"/>
      <c r="BJ375" s="212"/>
      <c r="BK375" s="212"/>
      <c r="BL375" s="212"/>
      <c r="BM375" s="212"/>
      <c r="BN375" s="212"/>
      <c r="BO375" s="212"/>
      <c r="BP375" s="212"/>
      <c r="BQ375" s="212"/>
      <c r="BR375" s="212"/>
      <c r="BS375" s="212"/>
      <c r="BT375" s="212"/>
      <c r="BU375" s="212"/>
      <c r="BV375" s="212"/>
      <c r="BW375" s="212"/>
      <c r="BX375" s="212"/>
      <c r="BY375" s="212"/>
      <c r="BZ375" s="212"/>
      <c r="CA375" s="212"/>
      <c r="CB375" s="212"/>
      <c r="CC375" s="212"/>
      <c r="CD375" s="212"/>
      <c r="CE375" s="212"/>
    </row>
    <row r="376" spans="1:83" x14ac:dyDescent="0.2">
      <c r="A376" s="1091">
        <v>121</v>
      </c>
      <c r="B376" s="1082" t="str">
        <f>IF(Stammblatt!$L$4=1,'Kalkulation Herstellungskosten'!BB376,'Kalkulation Herstellungskosten'!BC376)</f>
        <v>Kostüm - Miete *)</v>
      </c>
      <c r="C376" s="30">
        <v>0</v>
      </c>
      <c r="D376" s="318"/>
      <c r="E376" s="32">
        <v>0</v>
      </c>
      <c r="F376" s="396">
        <f>C376*E376</f>
        <v>0</v>
      </c>
      <c r="G376" s="1035"/>
      <c r="H376" s="1035"/>
      <c r="I376" s="1086"/>
      <c r="J376" s="347"/>
      <c r="K376" s="348"/>
      <c r="L376" s="348"/>
      <c r="M376" s="348"/>
      <c r="N376" s="349"/>
      <c r="O376" s="512"/>
      <c r="P376" s="506"/>
      <c r="Q376" s="507"/>
      <c r="R376" s="505"/>
      <c r="S376" s="514"/>
      <c r="T376" s="517"/>
      <c r="U376" s="505"/>
      <c r="V376" s="1053">
        <f t="shared" si="277"/>
        <v>0</v>
      </c>
      <c r="W376" s="1053">
        <f t="shared" si="278"/>
        <v>0</v>
      </c>
      <c r="X376" s="512"/>
      <c r="Y376" s="508"/>
      <c r="Z376" s="507"/>
      <c r="AA376" s="505"/>
      <c r="AB376" s="295"/>
      <c r="AC376" s="305"/>
      <c r="AD376" s="799"/>
      <c r="AE376" s="800"/>
      <c r="AF376" s="801"/>
      <c r="AG376" s="831">
        <f t="shared" si="279"/>
        <v>0</v>
      </c>
      <c r="AH376" s="799"/>
      <c r="AI376" s="800"/>
      <c r="AJ376" s="801"/>
      <c r="AK376" s="831">
        <f t="shared" si="280"/>
        <v>0</v>
      </c>
      <c r="AL376" s="799"/>
      <c r="AM376" s="800"/>
      <c r="AN376" s="801"/>
      <c r="AO376" s="831">
        <f t="shared" si="281"/>
        <v>0</v>
      </c>
      <c r="AP376" s="1079">
        <f t="shared" ref="AP376:AP385" si="285">SUM(F376,AD376,AH376,AL376)</f>
        <v>0</v>
      </c>
      <c r="AQ376" s="1079">
        <f t="shared" ref="AQ376:AQ385" si="286">SUM(AO376,AK376,AG376,V376)</f>
        <v>0</v>
      </c>
      <c r="AR376" s="1080">
        <f t="shared" ref="AR376:AR385" si="287">AP376-AQ376</f>
        <v>0</v>
      </c>
      <c r="AS376" s="307"/>
      <c r="AT376" s="307"/>
      <c r="AU376" s="307"/>
      <c r="AV376" s="307"/>
      <c r="AW376" s="307"/>
      <c r="AX376" s="307"/>
      <c r="AY376" s="307"/>
      <c r="AZ376" s="307"/>
      <c r="BA376" s="307"/>
      <c r="BB376" s="196" t="s">
        <v>67</v>
      </c>
      <c r="BC376" s="196" t="s">
        <v>378</v>
      </c>
      <c r="BD376" s="212"/>
      <c r="BE376" s="212"/>
      <c r="BF376" s="212"/>
      <c r="BG376" s="212"/>
      <c r="BH376" s="212"/>
      <c r="BI376" s="212"/>
      <c r="BJ376" s="212"/>
      <c r="BK376" s="212"/>
      <c r="BL376" s="212"/>
      <c r="BM376" s="212"/>
      <c r="BN376" s="212"/>
      <c r="BO376" s="212"/>
      <c r="BP376" s="212"/>
      <c r="BQ376" s="212"/>
      <c r="BR376" s="212"/>
      <c r="BS376" s="212"/>
      <c r="BT376" s="212"/>
      <c r="BU376" s="212"/>
      <c r="BV376" s="212"/>
      <c r="BW376" s="212"/>
      <c r="BX376" s="212"/>
      <c r="BY376" s="212"/>
      <c r="BZ376" s="212"/>
      <c r="CA376" s="212"/>
      <c r="CB376" s="212"/>
      <c r="CC376" s="212"/>
      <c r="CD376" s="212"/>
      <c r="CE376" s="212"/>
    </row>
    <row r="377" spans="1:83" x14ac:dyDescent="0.2">
      <c r="A377" s="1091">
        <v>122</v>
      </c>
      <c r="B377" s="1082" t="str">
        <f>IF(Stammblatt!$L$4=1,'Kalkulation Herstellungskosten'!BB377,'Kalkulation Herstellungskosten'!BC377)</f>
        <v>Möbel-Requisiten-Stoffe - Kauf</v>
      </c>
      <c r="C377" s="317"/>
      <c r="D377" s="318"/>
      <c r="E377" s="319"/>
      <c r="F377" s="396">
        <f>Requisiten</f>
        <v>0</v>
      </c>
      <c r="G377" s="1035"/>
      <c r="H377" s="1035"/>
      <c r="I377" s="1086"/>
      <c r="J377" s="347"/>
      <c r="K377" s="348"/>
      <c r="L377" s="348"/>
      <c r="M377" s="348"/>
      <c r="N377" s="349"/>
      <c r="O377" s="512"/>
      <c r="P377" s="506"/>
      <c r="Q377" s="507"/>
      <c r="R377" s="505"/>
      <c r="S377" s="514"/>
      <c r="T377" s="517"/>
      <c r="U377" s="505"/>
      <c r="V377" s="1053">
        <f t="shared" si="277"/>
        <v>0</v>
      </c>
      <c r="W377" s="1053">
        <f t="shared" si="278"/>
        <v>0</v>
      </c>
      <c r="X377" s="512"/>
      <c r="Y377" s="508"/>
      <c r="Z377" s="507"/>
      <c r="AA377" s="505"/>
      <c r="AB377" s="295"/>
      <c r="AC377" s="305"/>
      <c r="AD377" s="799"/>
      <c r="AE377" s="800"/>
      <c r="AF377" s="801"/>
      <c r="AG377" s="831">
        <f t="shared" si="279"/>
        <v>0</v>
      </c>
      <c r="AH377" s="799"/>
      <c r="AI377" s="800"/>
      <c r="AJ377" s="801"/>
      <c r="AK377" s="831">
        <f t="shared" si="280"/>
        <v>0</v>
      </c>
      <c r="AL377" s="799"/>
      <c r="AM377" s="800"/>
      <c r="AN377" s="801"/>
      <c r="AO377" s="831">
        <f t="shared" si="281"/>
        <v>0</v>
      </c>
      <c r="AP377" s="1079">
        <f t="shared" si="285"/>
        <v>0</v>
      </c>
      <c r="AQ377" s="1079">
        <f t="shared" si="286"/>
        <v>0</v>
      </c>
      <c r="AR377" s="1080">
        <f t="shared" si="287"/>
        <v>0</v>
      </c>
      <c r="AS377" s="307"/>
      <c r="AT377" s="307"/>
      <c r="AU377" s="307"/>
      <c r="AV377" s="307"/>
      <c r="AW377" s="307"/>
      <c r="AX377" s="307"/>
      <c r="AY377" s="307"/>
      <c r="AZ377" s="307"/>
      <c r="BA377" s="307"/>
      <c r="BB377" s="196" t="s">
        <v>208</v>
      </c>
      <c r="BC377" s="196" t="s">
        <v>379</v>
      </c>
      <c r="BD377" s="212"/>
      <c r="BE377" s="212"/>
      <c r="BF377" s="212"/>
      <c r="BG377" s="212"/>
      <c r="BH377" s="212"/>
      <c r="BI377" s="212"/>
      <c r="BJ377" s="212"/>
      <c r="BK377" s="212"/>
      <c r="BL377" s="212"/>
      <c r="BM377" s="212"/>
      <c r="BN377" s="212"/>
      <c r="BO377" s="212"/>
      <c r="BP377" s="212"/>
      <c r="BQ377" s="212"/>
      <c r="BR377" s="212"/>
      <c r="BS377" s="212"/>
      <c r="BT377" s="212"/>
      <c r="BU377" s="212"/>
      <c r="BV377" s="212"/>
      <c r="BW377" s="212"/>
      <c r="BX377" s="212"/>
      <c r="BY377" s="212"/>
      <c r="BZ377" s="212"/>
      <c r="CA377" s="212"/>
      <c r="CB377" s="212"/>
      <c r="CC377" s="212"/>
      <c r="CD377" s="212"/>
      <c r="CE377" s="212"/>
    </row>
    <row r="378" spans="1:83" x14ac:dyDescent="0.2">
      <c r="A378" s="1091">
        <v>123</v>
      </c>
      <c r="B378" s="1082" t="str">
        <f>IF(Stammblatt!$L$4=1,'Kalkulation Herstellungskosten'!BB378,'Kalkulation Herstellungskosten'!BC378)</f>
        <v>Möbel-Requisiten-Stoffe-Miete *)</v>
      </c>
      <c r="C378" s="30">
        <v>0</v>
      </c>
      <c r="D378" s="318"/>
      <c r="E378" s="32">
        <v>0</v>
      </c>
      <c r="F378" s="396">
        <f>C378*E378</f>
        <v>0</v>
      </c>
      <c r="G378" s="1035"/>
      <c r="H378" s="1035"/>
      <c r="I378" s="1086"/>
      <c r="J378" s="347"/>
      <c r="K378" s="348"/>
      <c r="L378" s="348"/>
      <c r="M378" s="348"/>
      <c r="N378" s="349"/>
      <c r="O378" s="512"/>
      <c r="P378" s="506"/>
      <c r="Q378" s="507"/>
      <c r="R378" s="505"/>
      <c r="S378" s="514"/>
      <c r="T378" s="517"/>
      <c r="U378" s="505"/>
      <c r="V378" s="1053">
        <f t="shared" si="277"/>
        <v>0</v>
      </c>
      <c r="W378" s="1053">
        <f t="shared" si="278"/>
        <v>0</v>
      </c>
      <c r="X378" s="512"/>
      <c r="Y378" s="508"/>
      <c r="Z378" s="507"/>
      <c r="AA378" s="505"/>
      <c r="AB378" s="295"/>
      <c r="AC378" s="305"/>
      <c r="AD378" s="799"/>
      <c r="AE378" s="800"/>
      <c r="AF378" s="801"/>
      <c r="AG378" s="831">
        <f t="shared" si="279"/>
        <v>0</v>
      </c>
      <c r="AH378" s="799"/>
      <c r="AI378" s="800"/>
      <c r="AJ378" s="801"/>
      <c r="AK378" s="831">
        <f t="shared" si="280"/>
        <v>0</v>
      </c>
      <c r="AL378" s="799"/>
      <c r="AM378" s="800"/>
      <c r="AN378" s="801"/>
      <c r="AO378" s="831">
        <f t="shared" si="281"/>
        <v>0</v>
      </c>
      <c r="AP378" s="1079">
        <f t="shared" si="285"/>
        <v>0</v>
      </c>
      <c r="AQ378" s="1079">
        <f t="shared" si="286"/>
        <v>0</v>
      </c>
      <c r="AR378" s="1080">
        <f t="shared" si="287"/>
        <v>0</v>
      </c>
      <c r="AS378" s="307"/>
      <c r="AT378" s="307"/>
      <c r="AU378" s="307"/>
      <c r="AV378" s="307"/>
      <c r="AW378" s="307"/>
      <c r="AX378" s="307"/>
      <c r="AY378" s="307"/>
      <c r="AZ378" s="307"/>
      <c r="BA378" s="307"/>
      <c r="BB378" s="196" t="s">
        <v>68</v>
      </c>
      <c r="BC378" s="196" t="s">
        <v>380</v>
      </c>
      <c r="BD378" s="212"/>
      <c r="BE378" s="212"/>
      <c r="BF378" s="212"/>
      <c r="BG378" s="212"/>
      <c r="BH378" s="212"/>
      <c r="BI378" s="212"/>
      <c r="BJ378" s="212"/>
      <c r="BK378" s="212"/>
      <c r="BL378" s="212"/>
      <c r="BM378" s="212"/>
      <c r="BN378" s="212"/>
      <c r="BO378" s="212"/>
      <c r="BP378" s="212"/>
      <c r="BQ378" s="212"/>
      <c r="BR378" s="212"/>
      <c r="BS378" s="212"/>
      <c r="BT378" s="212"/>
      <c r="BU378" s="212"/>
      <c r="BV378" s="212"/>
      <c r="BW378" s="212"/>
      <c r="BX378" s="212"/>
      <c r="BY378" s="212"/>
      <c r="BZ378" s="212"/>
      <c r="CA378" s="212"/>
      <c r="CB378" s="212"/>
      <c r="CC378" s="212"/>
      <c r="CD378" s="212"/>
      <c r="CE378" s="212"/>
    </row>
    <row r="379" spans="1:83" x14ac:dyDescent="0.2">
      <c r="A379" s="1091">
        <v>124</v>
      </c>
      <c r="B379" s="1082" t="str">
        <f>IF(Stammblatt!$L$4=1,'Kalkulation Herstellungskosten'!BB379,'Kalkulation Herstellungskosten'!BC379)</f>
        <v>Haarteile - Kauf</v>
      </c>
      <c r="C379" s="317"/>
      <c r="D379" s="318"/>
      <c r="E379" s="319"/>
      <c r="F379" s="32">
        <v>0</v>
      </c>
      <c r="G379" s="1035"/>
      <c r="H379" s="1035"/>
      <c r="I379" s="1086"/>
      <c r="J379" s="347"/>
      <c r="K379" s="348"/>
      <c r="L379" s="348"/>
      <c r="M379" s="348"/>
      <c r="N379" s="349"/>
      <c r="O379" s="512"/>
      <c r="P379" s="506"/>
      <c r="Q379" s="507"/>
      <c r="R379" s="505"/>
      <c r="S379" s="514"/>
      <c r="T379" s="517"/>
      <c r="U379" s="505"/>
      <c r="V379" s="1053">
        <f t="shared" si="277"/>
        <v>0</v>
      </c>
      <c r="W379" s="1053">
        <f t="shared" si="278"/>
        <v>0</v>
      </c>
      <c r="X379" s="512"/>
      <c r="Y379" s="508"/>
      <c r="Z379" s="507"/>
      <c r="AA379" s="505"/>
      <c r="AB379" s="295"/>
      <c r="AC379" s="305"/>
      <c r="AD379" s="799"/>
      <c r="AE379" s="800"/>
      <c r="AF379" s="801"/>
      <c r="AG379" s="831">
        <f t="shared" si="279"/>
        <v>0</v>
      </c>
      <c r="AH379" s="799"/>
      <c r="AI379" s="800"/>
      <c r="AJ379" s="801"/>
      <c r="AK379" s="831">
        <f t="shared" si="280"/>
        <v>0</v>
      </c>
      <c r="AL379" s="799"/>
      <c r="AM379" s="800"/>
      <c r="AN379" s="801"/>
      <c r="AO379" s="831">
        <f t="shared" si="281"/>
        <v>0</v>
      </c>
      <c r="AP379" s="1079">
        <f t="shared" si="285"/>
        <v>0</v>
      </c>
      <c r="AQ379" s="1079">
        <f t="shared" si="286"/>
        <v>0</v>
      </c>
      <c r="AR379" s="1080">
        <f t="shared" si="287"/>
        <v>0</v>
      </c>
      <c r="AS379" s="307"/>
      <c r="AT379" s="307"/>
      <c r="AU379" s="307"/>
      <c r="AV379" s="307"/>
      <c r="AW379" s="307"/>
      <c r="AX379" s="307"/>
      <c r="AY379" s="307"/>
      <c r="AZ379" s="307"/>
      <c r="BA379" s="307"/>
      <c r="BB379" s="196" t="s">
        <v>69</v>
      </c>
      <c r="BC379" s="196" t="s">
        <v>381</v>
      </c>
      <c r="BD379" s="212"/>
      <c r="BE379" s="212"/>
      <c r="BF379" s="212"/>
      <c r="BG379" s="212"/>
      <c r="BH379" s="212"/>
      <c r="BI379" s="212"/>
      <c r="BJ379" s="212"/>
      <c r="BK379" s="212"/>
      <c r="BL379" s="212"/>
      <c r="BM379" s="212"/>
      <c r="BN379" s="212"/>
      <c r="BO379" s="212"/>
      <c r="BP379" s="212"/>
      <c r="BQ379" s="212"/>
      <c r="BR379" s="212"/>
      <c r="BS379" s="212"/>
      <c r="BT379" s="212"/>
      <c r="BU379" s="212"/>
      <c r="BV379" s="212"/>
      <c r="BW379" s="212"/>
      <c r="BX379" s="212"/>
      <c r="BY379" s="212"/>
      <c r="BZ379" s="212"/>
      <c r="CA379" s="212"/>
      <c r="CB379" s="212"/>
      <c r="CC379" s="212"/>
      <c r="CD379" s="212"/>
      <c r="CE379" s="212"/>
    </row>
    <row r="380" spans="1:83" x14ac:dyDescent="0.2">
      <c r="A380" s="1091">
        <v>125</v>
      </c>
      <c r="B380" s="1082" t="str">
        <f>IF(Stammblatt!$L$4=1,'Kalkulation Herstellungskosten'!BB380,'Kalkulation Herstellungskosten'!BC380)</f>
        <v>Haarteile - Miete *)</v>
      </c>
      <c r="C380" s="30">
        <v>0</v>
      </c>
      <c r="D380" s="318"/>
      <c r="E380" s="32">
        <v>0</v>
      </c>
      <c r="F380" s="396">
        <f>C380*E380</f>
        <v>0</v>
      </c>
      <c r="G380" s="1035"/>
      <c r="H380" s="1035"/>
      <c r="I380" s="1086"/>
      <c r="J380" s="347"/>
      <c r="K380" s="348"/>
      <c r="L380" s="348"/>
      <c r="M380" s="348"/>
      <c r="N380" s="349"/>
      <c r="O380" s="512"/>
      <c r="P380" s="506"/>
      <c r="Q380" s="507"/>
      <c r="R380" s="505"/>
      <c r="S380" s="514"/>
      <c r="T380" s="517"/>
      <c r="U380" s="505"/>
      <c r="V380" s="1053">
        <f t="shared" si="277"/>
        <v>0</v>
      </c>
      <c r="W380" s="1053">
        <f t="shared" si="278"/>
        <v>0</v>
      </c>
      <c r="X380" s="512"/>
      <c r="Y380" s="508"/>
      <c r="Z380" s="507"/>
      <c r="AA380" s="505"/>
      <c r="AB380" s="295"/>
      <c r="AC380" s="305"/>
      <c r="AD380" s="799"/>
      <c r="AE380" s="800"/>
      <c r="AF380" s="801"/>
      <c r="AG380" s="831">
        <f t="shared" si="279"/>
        <v>0</v>
      </c>
      <c r="AH380" s="799"/>
      <c r="AI380" s="800"/>
      <c r="AJ380" s="801"/>
      <c r="AK380" s="831">
        <f t="shared" si="280"/>
        <v>0</v>
      </c>
      <c r="AL380" s="799"/>
      <c r="AM380" s="800"/>
      <c r="AN380" s="801"/>
      <c r="AO380" s="831">
        <f t="shared" si="281"/>
        <v>0</v>
      </c>
      <c r="AP380" s="1079">
        <f t="shared" si="285"/>
        <v>0</v>
      </c>
      <c r="AQ380" s="1079">
        <f t="shared" si="286"/>
        <v>0</v>
      </c>
      <c r="AR380" s="1080">
        <f t="shared" si="287"/>
        <v>0</v>
      </c>
      <c r="AS380" s="307"/>
      <c r="AT380" s="307"/>
      <c r="AU380" s="307"/>
      <c r="AV380" s="307"/>
      <c r="AW380" s="307"/>
      <c r="AX380" s="307"/>
      <c r="AY380" s="307"/>
      <c r="AZ380" s="307"/>
      <c r="BA380" s="307"/>
      <c r="BB380" s="196" t="s">
        <v>70</v>
      </c>
      <c r="BC380" s="196" t="s">
        <v>382</v>
      </c>
      <c r="BD380" s="212"/>
      <c r="BE380" s="212"/>
      <c r="BF380" s="212"/>
      <c r="BG380" s="212"/>
      <c r="BH380" s="212"/>
      <c r="BI380" s="212"/>
      <c r="BJ380" s="212"/>
      <c r="BK380" s="212"/>
      <c r="BL380" s="212"/>
      <c r="BM380" s="212"/>
      <c r="BN380" s="212"/>
      <c r="BO380" s="212"/>
      <c r="BP380" s="212"/>
      <c r="BQ380" s="212"/>
      <c r="BR380" s="212"/>
      <c r="BS380" s="212"/>
      <c r="BT380" s="212"/>
      <c r="BU380" s="212"/>
      <c r="BV380" s="212"/>
      <c r="BW380" s="212"/>
      <c r="BX380" s="212"/>
      <c r="BY380" s="212"/>
      <c r="BZ380" s="212"/>
      <c r="CA380" s="212"/>
      <c r="CB380" s="212"/>
      <c r="CC380" s="212"/>
      <c r="CD380" s="212"/>
      <c r="CE380" s="212"/>
    </row>
    <row r="381" spans="1:83" x14ac:dyDescent="0.2">
      <c r="A381" s="1091">
        <v>126</v>
      </c>
      <c r="B381" s="1082" t="str">
        <f>IF(Stammblatt!$L$4=1,'Kalkulation Herstellungskosten'!BB381,'Kalkulation Herstellungskosten'!BC381)</f>
        <v>Schminkmaterial</v>
      </c>
      <c r="C381" s="317"/>
      <c r="D381" s="318"/>
      <c r="E381" s="319"/>
      <c r="F381" s="32">
        <v>0</v>
      </c>
      <c r="G381" s="1035"/>
      <c r="H381" s="1035"/>
      <c r="I381" s="1086"/>
      <c r="J381" s="347"/>
      <c r="K381" s="348"/>
      <c r="L381" s="348"/>
      <c r="M381" s="348"/>
      <c r="N381" s="349"/>
      <c r="O381" s="512"/>
      <c r="P381" s="506"/>
      <c r="Q381" s="507"/>
      <c r="R381" s="505"/>
      <c r="S381" s="514"/>
      <c r="T381" s="517"/>
      <c r="U381" s="505"/>
      <c r="V381" s="1053">
        <f t="shared" si="277"/>
        <v>0</v>
      </c>
      <c r="W381" s="1053">
        <f t="shared" si="278"/>
        <v>0</v>
      </c>
      <c r="X381" s="512"/>
      <c r="Y381" s="508"/>
      <c r="Z381" s="507"/>
      <c r="AA381" s="505"/>
      <c r="AB381" s="295"/>
      <c r="AC381" s="305"/>
      <c r="AD381" s="799"/>
      <c r="AE381" s="800"/>
      <c r="AF381" s="801"/>
      <c r="AG381" s="831">
        <f t="shared" si="279"/>
        <v>0</v>
      </c>
      <c r="AH381" s="799"/>
      <c r="AI381" s="800"/>
      <c r="AJ381" s="801"/>
      <c r="AK381" s="831">
        <f t="shared" si="280"/>
        <v>0</v>
      </c>
      <c r="AL381" s="799"/>
      <c r="AM381" s="800"/>
      <c r="AN381" s="801"/>
      <c r="AO381" s="831">
        <f t="shared" si="281"/>
        <v>0</v>
      </c>
      <c r="AP381" s="1079">
        <f t="shared" si="285"/>
        <v>0</v>
      </c>
      <c r="AQ381" s="1079">
        <f t="shared" si="286"/>
        <v>0</v>
      </c>
      <c r="AR381" s="1080">
        <f t="shared" si="287"/>
        <v>0</v>
      </c>
      <c r="AS381" s="307"/>
      <c r="AT381" s="307"/>
      <c r="AU381" s="307"/>
      <c r="AV381" s="307"/>
      <c r="AW381" s="307"/>
      <c r="AX381" s="307"/>
      <c r="AY381" s="307"/>
      <c r="AZ381" s="307"/>
      <c r="BA381" s="307"/>
      <c r="BB381" s="196" t="s">
        <v>71</v>
      </c>
      <c r="BC381" s="196" t="s">
        <v>383</v>
      </c>
      <c r="BD381" s="212"/>
      <c r="BE381" s="212"/>
      <c r="BF381" s="212"/>
      <c r="BG381" s="212"/>
      <c r="BH381" s="212"/>
      <c r="BI381" s="212"/>
      <c r="BJ381" s="212"/>
      <c r="BK381" s="212"/>
      <c r="BL381" s="212"/>
      <c r="BM381" s="212"/>
      <c r="BN381" s="212"/>
      <c r="BO381" s="212"/>
      <c r="BP381" s="212"/>
      <c r="BQ381" s="212"/>
      <c r="BR381" s="212"/>
      <c r="BS381" s="212"/>
      <c r="BT381" s="212"/>
      <c r="BU381" s="212"/>
      <c r="BV381" s="212"/>
      <c r="BW381" s="212"/>
      <c r="BX381" s="212"/>
      <c r="BY381" s="212"/>
      <c r="BZ381" s="212"/>
      <c r="CA381" s="212"/>
      <c r="CB381" s="212"/>
      <c r="CC381" s="212"/>
      <c r="CD381" s="212"/>
      <c r="CE381" s="212"/>
    </row>
    <row r="382" spans="1:83" x14ac:dyDescent="0.2">
      <c r="A382" s="1091">
        <v>127</v>
      </c>
      <c r="B382" s="1082" t="str">
        <f>IF(Stammblatt!$L$4=1,'Kalkulation Herstellungskosten'!BB382,'Kalkulation Herstellungskosten'!BC382)</f>
        <v>Miete für Musikinstrumente</v>
      </c>
      <c r="C382" s="317"/>
      <c r="D382" s="318"/>
      <c r="E382" s="319"/>
      <c r="F382" s="32">
        <v>0</v>
      </c>
      <c r="G382" s="1035"/>
      <c r="H382" s="1035"/>
      <c r="I382" s="1086"/>
      <c r="J382" s="347"/>
      <c r="K382" s="348"/>
      <c r="L382" s="348"/>
      <c r="M382" s="348"/>
      <c r="N382" s="349"/>
      <c r="O382" s="512"/>
      <c r="P382" s="506"/>
      <c r="Q382" s="507"/>
      <c r="R382" s="505"/>
      <c r="S382" s="514"/>
      <c r="T382" s="517"/>
      <c r="U382" s="505"/>
      <c r="V382" s="1053">
        <f t="shared" si="277"/>
        <v>0</v>
      </c>
      <c r="W382" s="1053">
        <f t="shared" si="278"/>
        <v>0</v>
      </c>
      <c r="X382" s="512"/>
      <c r="Y382" s="508"/>
      <c r="Z382" s="507"/>
      <c r="AA382" s="505"/>
      <c r="AB382" s="295"/>
      <c r="AC382" s="305"/>
      <c r="AD382" s="799"/>
      <c r="AE382" s="800"/>
      <c r="AF382" s="801"/>
      <c r="AG382" s="831">
        <f t="shared" si="279"/>
        <v>0</v>
      </c>
      <c r="AH382" s="799"/>
      <c r="AI382" s="800"/>
      <c r="AJ382" s="801"/>
      <c r="AK382" s="831">
        <f t="shared" si="280"/>
        <v>0</v>
      </c>
      <c r="AL382" s="799"/>
      <c r="AM382" s="800"/>
      <c r="AN382" s="801"/>
      <c r="AO382" s="831">
        <f t="shared" si="281"/>
        <v>0</v>
      </c>
      <c r="AP382" s="1079">
        <f t="shared" si="285"/>
        <v>0</v>
      </c>
      <c r="AQ382" s="1079">
        <f t="shared" si="286"/>
        <v>0</v>
      </c>
      <c r="AR382" s="1080">
        <f t="shared" si="287"/>
        <v>0</v>
      </c>
      <c r="AS382" s="307"/>
      <c r="AT382" s="307"/>
      <c r="AU382" s="307"/>
      <c r="AV382" s="307"/>
      <c r="AW382" s="307"/>
      <c r="AX382" s="307"/>
      <c r="AY382" s="307"/>
      <c r="AZ382" s="307"/>
      <c r="BA382" s="307"/>
      <c r="BB382" s="196" t="s">
        <v>72</v>
      </c>
      <c r="BC382" s="196" t="s">
        <v>384</v>
      </c>
      <c r="BD382" s="212"/>
      <c r="BE382" s="212"/>
      <c r="BF382" s="212"/>
      <c r="BG382" s="212"/>
      <c r="BH382" s="212"/>
      <c r="BI382" s="212"/>
      <c r="BJ382" s="212"/>
      <c r="BK382" s="212"/>
      <c r="BL382" s="212"/>
      <c r="BM382" s="212"/>
      <c r="BN382" s="212"/>
      <c r="BO382" s="212"/>
      <c r="BP382" s="212"/>
      <c r="BQ382" s="212"/>
      <c r="BR382" s="212"/>
      <c r="BS382" s="212"/>
      <c r="BT382" s="212"/>
      <c r="BU382" s="212"/>
      <c r="BV382" s="212"/>
      <c r="BW382" s="212"/>
      <c r="BX382" s="212"/>
      <c r="BY382" s="212"/>
      <c r="BZ382" s="212"/>
      <c r="CA382" s="212"/>
      <c r="CB382" s="212"/>
      <c r="CC382" s="212"/>
      <c r="CD382" s="212"/>
      <c r="CE382" s="212"/>
    </row>
    <row r="383" spans="1:83" x14ac:dyDescent="0.2">
      <c r="A383" s="1091">
        <v>128</v>
      </c>
      <c r="B383" s="1082" t="str">
        <f>IF(Stammblatt!$L$4=1,'Kalkulation Herstellungskosten'!BB383,'Kalkulation Herstellungskosten'!BC383)</f>
        <v>Spielfahrzeuge</v>
      </c>
      <c r="C383" s="317"/>
      <c r="D383" s="318"/>
      <c r="E383" s="319"/>
      <c r="F383" s="396">
        <f>Spielfahrzeuge</f>
        <v>0</v>
      </c>
      <c r="G383" s="1035"/>
      <c r="H383" s="1035"/>
      <c r="I383" s="1086"/>
      <c r="J383" s="347"/>
      <c r="K383" s="348"/>
      <c r="L383" s="348"/>
      <c r="M383" s="348"/>
      <c r="N383" s="349"/>
      <c r="O383" s="512"/>
      <c r="P383" s="506"/>
      <c r="Q383" s="507"/>
      <c r="R383" s="505"/>
      <c r="S383" s="514"/>
      <c r="T383" s="517"/>
      <c r="U383" s="505"/>
      <c r="V383" s="1053">
        <f t="shared" si="277"/>
        <v>0</v>
      </c>
      <c r="W383" s="1053">
        <f t="shared" si="278"/>
        <v>0</v>
      </c>
      <c r="X383" s="512"/>
      <c r="Y383" s="508"/>
      <c r="Z383" s="507"/>
      <c r="AA383" s="505"/>
      <c r="AB383" s="295"/>
      <c r="AC383" s="305"/>
      <c r="AD383" s="799"/>
      <c r="AE383" s="800"/>
      <c r="AF383" s="801"/>
      <c r="AG383" s="831">
        <f t="shared" si="279"/>
        <v>0</v>
      </c>
      <c r="AH383" s="799"/>
      <c r="AI383" s="800"/>
      <c r="AJ383" s="801"/>
      <c r="AK383" s="831">
        <f t="shared" si="280"/>
        <v>0</v>
      </c>
      <c r="AL383" s="799"/>
      <c r="AM383" s="800"/>
      <c r="AN383" s="801"/>
      <c r="AO383" s="831">
        <f t="shared" si="281"/>
        <v>0</v>
      </c>
      <c r="AP383" s="1079">
        <f t="shared" si="285"/>
        <v>0</v>
      </c>
      <c r="AQ383" s="1079">
        <f t="shared" si="286"/>
        <v>0</v>
      </c>
      <c r="AR383" s="1080">
        <f t="shared" si="287"/>
        <v>0</v>
      </c>
      <c r="AS383" s="307"/>
      <c r="AT383" s="307"/>
      <c r="AU383" s="307"/>
      <c r="AV383" s="307"/>
      <c r="AW383" s="307"/>
      <c r="AX383" s="307"/>
      <c r="AY383" s="307"/>
      <c r="AZ383" s="307"/>
      <c r="BA383" s="307"/>
      <c r="BB383" s="196" t="s">
        <v>745</v>
      </c>
      <c r="BC383" s="196" t="s">
        <v>746</v>
      </c>
      <c r="BD383" s="212"/>
      <c r="BE383" s="212"/>
      <c r="BF383" s="212"/>
      <c r="BG383" s="212"/>
      <c r="BH383" s="212"/>
      <c r="BI383" s="212"/>
      <c r="BJ383" s="212"/>
      <c r="BK383" s="212"/>
      <c r="BL383" s="212"/>
      <c r="BM383" s="212"/>
      <c r="BN383" s="212"/>
      <c r="BO383" s="212"/>
      <c r="BP383" s="212"/>
      <c r="BQ383" s="212"/>
      <c r="BR383" s="212"/>
      <c r="BS383" s="212"/>
      <c r="BT383" s="212"/>
      <c r="BU383" s="212"/>
      <c r="BV383" s="212"/>
      <c r="BW383" s="212"/>
      <c r="BX383" s="212"/>
      <c r="BY383" s="212"/>
      <c r="BZ383" s="212"/>
      <c r="CA383" s="212"/>
      <c r="CB383" s="212"/>
      <c r="CC383" s="212"/>
      <c r="CD383" s="212"/>
      <c r="CE383" s="212"/>
    </row>
    <row r="384" spans="1:83" x14ac:dyDescent="0.2">
      <c r="A384" s="1091">
        <v>129</v>
      </c>
      <c r="B384" s="1082" t="str">
        <f>IF(Stammblatt!$L$4=1,'Kalkulation Herstellungskosten'!BB384,'Kalkulation Herstellungskosten'!BC384)</f>
        <v>Stunts, Pyrotechnik und SFX</v>
      </c>
      <c r="C384" s="317"/>
      <c r="D384" s="318"/>
      <c r="E384" s="319"/>
      <c r="F384" s="396">
        <f>SFX</f>
        <v>0</v>
      </c>
      <c r="G384" s="1035"/>
      <c r="H384" s="1035"/>
      <c r="I384" s="1086"/>
      <c r="J384" s="347"/>
      <c r="K384" s="348"/>
      <c r="L384" s="348"/>
      <c r="M384" s="348"/>
      <c r="N384" s="349"/>
      <c r="O384" s="512"/>
      <c r="P384" s="506"/>
      <c r="Q384" s="507"/>
      <c r="R384" s="505"/>
      <c r="S384" s="514"/>
      <c r="T384" s="517"/>
      <c r="U384" s="505"/>
      <c r="V384" s="1053">
        <f t="shared" si="277"/>
        <v>0</v>
      </c>
      <c r="W384" s="1053">
        <f t="shared" si="278"/>
        <v>0</v>
      </c>
      <c r="X384" s="512"/>
      <c r="Y384" s="508"/>
      <c r="Z384" s="507"/>
      <c r="AA384" s="505"/>
      <c r="AB384" s="295"/>
      <c r="AC384" s="305"/>
      <c r="AD384" s="799"/>
      <c r="AE384" s="800"/>
      <c r="AF384" s="801"/>
      <c r="AG384" s="831">
        <f t="shared" si="279"/>
        <v>0</v>
      </c>
      <c r="AH384" s="799"/>
      <c r="AI384" s="800"/>
      <c r="AJ384" s="801"/>
      <c r="AK384" s="831">
        <f t="shared" si="280"/>
        <v>0</v>
      </c>
      <c r="AL384" s="799"/>
      <c r="AM384" s="800"/>
      <c r="AN384" s="801"/>
      <c r="AO384" s="831">
        <f t="shared" si="281"/>
        <v>0</v>
      </c>
      <c r="AP384" s="1079">
        <f t="shared" si="285"/>
        <v>0</v>
      </c>
      <c r="AQ384" s="1079">
        <f t="shared" si="286"/>
        <v>0</v>
      </c>
      <c r="AR384" s="1080">
        <f t="shared" si="287"/>
        <v>0</v>
      </c>
      <c r="AS384" s="307"/>
      <c r="AT384" s="307"/>
      <c r="AU384" s="307"/>
      <c r="AV384" s="307"/>
      <c r="AW384" s="307"/>
      <c r="AX384" s="307"/>
      <c r="AY384" s="307"/>
      <c r="AZ384" s="307"/>
      <c r="BA384" s="307"/>
      <c r="BB384" s="196" t="s">
        <v>221</v>
      </c>
      <c r="BC384" s="196" t="s">
        <v>385</v>
      </c>
      <c r="BD384" s="212"/>
      <c r="BE384" s="212"/>
      <c r="BF384" s="212"/>
      <c r="BG384" s="212"/>
      <c r="BH384" s="212"/>
      <c r="BI384" s="212"/>
      <c r="BJ384" s="212"/>
      <c r="BK384" s="212"/>
      <c r="BL384" s="212"/>
      <c r="BM384" s="212"/>
      <c r="BN384" s="212"/>
      <c r="BO384" s="212"/>
      <c r="BP384" s="212"/>
      <c r="BQ384" s="212"/>
      <c r="BR384" s="212"/>
      <c r="BS384" s="212"/>
      <c r="BT384" s="212"/>
      <c r="BU384" s="212"/>
      <c r="BV384" s="212"/>
      <c r="BW384" s="212"/>
      <c r="BX384" s="212"/>
      <c r="BY384" s="212"/>
      <c r="BZ384" s="212"/>
      <c r="CA384" s="212"/>
      <c r="CB384" s="212"/>
      <c r="CC384" s="212"/>
      <c r="CD384" s="212"/>
      <c r="CE384" s="212"/>
    </row>
    <row r="385" spans="1:83" x14ac:dyDescent="0.2">
      <c r="A385" s="1091">
        <v>130</v>
      </c>
      <c r="B385" s="1082" t="str">
        <f>IF(Stammblatt!$L$4=1,'Kalkulation Herstellungskosten'!BB385,'Kalkulation Herstellungskosten'!BC385)</f>
        <v>Sonstiges *)</v>
      </c>
      <c r="C385" s="317"/>
      <c r="D385" s="318"/>
      <c r="E385" s="319"/>
      <c r="F385" s="32">
        <v>0</v>
      </c>
      <c r="G385" s="1035"/>
      <c r="H385" s="1035"/>
      <c r="I385" s="1086"/>
      <c r="J385" s="347"/>
      <c r="K385" s="348"/>
      <c r="L385" s="348"/>
      <c r="M385" s="348"/>
      <c r="N385" s="349"/>
      <c r="O385" s="512"/>
      <c r="P385" s="506"/>
      <c r="Q385" s="507"/>
      <c r="R385" s="505"/>
      <c r="S385" s="514"/>
      <c r="T385" s="517"/>
      <c r="U385" s="505"/>
      <c r="V385" s="1053">
        <f t="shared" si="277"/>
        <v>0</v>
      </c>
      <c r="W385" s="1053">
        <f t="shared" si="278"/>
        <v>0</v>
      </c>
      <c r="X385" s="512"/>
      <c r="Y385" s="508"/>
      <c r="Z385" s="507"/>
      <c r="AA385" s="505"/>
      <c r="AB385" s="295"/>
      <c r="AC385" s="305"/>
      <c r="AD385" s="799"/>
      <c r="AE385" s="800"/>
      <c r="AF385" s="801"/>
      <c r="AG385" s="831">
        <f t="shared" si="279"/>
        <v>0</v>
      </c>
      <c r="AH385" s="799"/>
      <c r="AI385" s="800"/>
      <c r="AJ385" s="801"/>
      <c r="AK385" s="831">
        <f t="shared" si="280"/>
        <v>0</v>
      </c>
      <c r="AL385" s="799"/>
      <c r="AM385" s="800"/>
      <c r="AN385" s="801"/>
      <c r="AO385" s="831">
        <f t="shared" si="281"/>
        <v>0</v>
      </c>
      <c r="AP385" s="1079">
        <f t="shared" si="285"/>
        <v>0</v>
      </c>
      <c r="AQ385" s="1079">
        <f t="shared" si="286"/>
        <v>0</v>
      </c>
      <c r="AR385" s="1080">
        <f t="shared" si="287"/>
        <v>0</v>
      </c>
      <c r="AS385" s="307"/>
      <c r="AT385" s="307"/>
      <c r="AU385" s="307"/>
      <c r="AV385" s="307"/>
      <c r="AW385" s="307"/>
      <c r="AX385" s="307"/>
      <c r="AY385" s="307"/>
      <c r="AZ385" s="307"/>
      <c r="BA385" s="307"/>
      <c r="BB385" s="196" t="s">
        <v>41</v>
      </c>
      <c r="BC385" s="196" t="s">
        <v>365</v>
      </c>
      <c r="BD385" s="212"/>
      <c r="BE385" s="212"/>
      <c r="BF385" s="212"/>
      <c r="BG385" s="212"/>
      <c r="BH385" s="212"/>
      <c r="BI385" s="212"/>
      <c r="BJ385" s="212"/>
      <c r="BK385" s="212"/>
      <c r="BL385" s="212"/>
      <c r="BM385" s="212"/>
      <c r="BN385" s="212"/>
      <c r="BO385" s="212"/>
      <c r="BP385" s="212"/>
      <c r="BQ385" s="212"/>
      <c r="BR385" s="212"/>
      <c r="BS385" s="212"/>
      <c r="BT385" s="212"/>
      <c r="BU385" s="212"/>
      <c r="BV385" s="212"/>
      <c r="BW385" s="212"/>
      <c r="BX385" s="212"/>
      <c r="BY385" s="212"/>
      <c r="BZ385" s="212"/>
      <c r="CA385" s="212"/>
      <c r="CB385" s="212"/>
      <c r="CC385" s="212"/>
      <c r="CD385" s="212"/>
      <c r="CE385" s="212"/>
    </row>
    <row r="386" spans="1:83" x14ac:dyDescent="0.2">
      <c r="A386" s="1055"/>
      <c r="B386" s="496"/>
      <c r="C386" s="490"/>
      <c r="D386" s="328"/>
      <c r="E386" s="371"/>
      <c r="F386" s="371"/>
      <c r="G386" s="1056"/>
      <c r="H386" s="1056"/>
      <c r="I386" s="1057"/>
      <c r="J386" s="1058"/>
      <c r="K386" s="1056"/>
      <c r="L386" s="1056"/>
      <c r="M386" s="1056"/>
      <c r="N386" s="335"/>
      <c r="O386" s="1059"/>
      <c r="P386" s="1059"/>
      <c r="Q386" s="1059"/>
      <c r="R386" s="1059"/>
      <c r="S386" s="1046"/>
      <c r="T386" s="1060"/>
      <c r="U386" s="1041"/>
      <c r="V386" s="1041"/>
      <c r="W386" s="1041"/>
      <c r="X386" s="1059"/>
      <c r="Y386" s="1059"/>
      <c r="Z386" s="1059"/>
      <c r="AA386" s="1059"/>
      <c r="AB386" s="328"/>
      <c r="AC386" s="1062"/>
      <c r="AD386" s="822"/>
      <c r="AE386" s="832"/>
      <c r="AF386" s="832"/>
      <c r="AG386" s="832"/>
      <c r="AH386" s="822"/>
      <c r="AI386" s="832"/>
      <c r="AJ386" s="832"/>
      <c r="AK386" s="832"/>
      <c r="AL386" s="822"/>
      <c r="AM386" s="832"/>
      <c r="AN386" s="832"/>
      <c r="AO386" s="832"/>
      <c r="AP386" s="822"/>
      <c r="AQ386" s="822"/>
      <c r="AR386" s="822"/>
      <c r="AS386" s="307"/>
      <c r="AT386" s="307"/>
      <c r="AU386" s="307"/>
      <c r="AV386" s="307"/>
      <c r="AW386" s="307"/>
      <c r="AX386" s="307"/>
      <c r="AY386" s="307"/>
      <c r="AZ386" s="307"/>
      <c r="BA386" s="307"/>
      <c r="BB386" s="196"/>
      <c r="BC386" s="196"/>
      <c r="BD386" s="212"/>
      <c r="BE386" s="212"/>
      <c r="BF386" s="212"/>
      <c r="BG386" s="212"/>
      <c r="BH386" s="212"/>
      <c r="BI386" s="212"/>
      <c r="BJ386" s="212"/>
      <c r="BK386" s="212"/>
      <c r="BL386" s="212"/>
      <c r="BM386" s="212"/>
      <c r="BN386" s="212"/>
      <c r="BO386" s="212"/>
      <c r="BP386" s="212"/>
      <c r="BQ386" s="212"/>
      <c r="BR386" s="212"/>
      <c r="BS386" s="212"/>
      <c r="BT386" s="212"/>
      <c r="BU386" s="212"/>
      <c r="BV386" s="212"/>
      <c r="BW386" s="212"/>
      <c r="BX386" s="212"/>
      <c r="BY386" s="212"/>
      <c r="BZ386" s="212"/>
      <c r="CA386" s="212"/>
      <c r="CB386" s="212"/>
      <c r="CC386" s="212"/>
      <c r="CD386" s="212"/>
      <c r="CE386" s="212"/>
    </row>
    <row r="387" spans="1:83" x14ac:dyDescent="0.2">
      <c r="A387" s="1092"/>
      <c r="B387" s="1090" t="str">
        <f>IF(Stammblatt!$L$4=1,'Kalkulation Herstellungskosten'!BB387,'Kalkulation Herstellungskosten'!BC387)</f>
        <v>Σ-Ausstattung</v>
      </c>
      <c r="C387" s="1152"/>
      <c r="D387" s="1153"/>
      <c r="E387" s="1154"/>
      <c r="F387" s="1154">
        <f>SUM(F375:F386)</f>
        <v>0</v>
      </c>
      <c r="G387" s="1154"/>
      <c r="H387" s="1154"/>
      <c r="I387" s="1155"/>
      <c r="J387" s="1156"/>
      <c r="K387" s="1154"/>
      <c r="L387" s="1154"/>
      <c r="M387" s="1154"/>
      <c r="N387" s="904"/>
      <c r="O387" s="90">
        <f>SUM(O375:O386)</f>
        <v>0</v>
      </c>
      <c r="P387" s="90">
        <f>SUM(P375:P386)</f>
        <v>0</v>
      </c>
      <c r="Q387" s="90">
        <f t="shared" ref="Q387:R387" si="288">SUM(Q375:Q386)</f>
        <v>0</v>
      </c>
      <c r="R387" s="90">
        <f t="shared" si="288"/>
        <v>0</v>
      </c>
      <c r="S387" s="1046"/>
      <c r="T387" s="511">
        <f>SUM(T375:T386)</f>
        <v>0</v>
      </c>
      <c r="U387" s="90">
        <f>SUM(U375:U386)</f>
        <v>0</v>
      </c>
      <c r="V387" s="90">
        <f>SUM(V375:V386)</f>
        <v>0</v>
      </c>
      <c r="W387" s="90">
        <f>ZS_6_Austattung-V387</f>
        <v>0</v>
      </c>
      <c r="X387" s="90">
        <f>SUM(X375:X386)</f>
        <v>0</v>
      </c>
      <c r="Y387" s="90">
        <f>SUM(Y375:Y386)</f>
        <v>0</v>
      </c>
      <c r="Z387" s="90">
        <f t="shared" ref="Z387:AA387" si="289">SUM(Z375:Z386)</f>
        <v>0</v>
      </c>
      <c r="AA387" s="90">
        <f t="shared" si="289"/>
        <v>0</v>
      </c>
      <c r="AB387" s="328"/>
      <c r="AC387" s="1062"/>
      <c r="AD387" s="1158">
        <f>SUM(AD375:AD386)</f>
        <v>0</v>
      </c>
      <c r="AE387" s="1037">
        <f t="shared" ref="AE387:AG387" si="290">SUM(AE375:AE386)</f>
        <v>0</v>
      </c>
      <c r="AF387" s="653">
        <f t="shared" si="290"/>
        <v>0</v>
      </c>
      <c r="AG387" s="653">
        <f t="shared" si="290"/>
        <v>0</v>
      </c>
      <c r="AH387" s="1158">
        <f>SUM(AH375:AH386)</f>
        <v>0</v>
      </c>
      <c r="AI387" s="1037">
        <f t="shared" ref="AI387:AK387" si="291">SUM(AI375:AI386)</f>
        <v>0</v>
      </c>
      <c r="AJ387" s="653">
        <f t="shared" si="291"/>
        <v>0</v>
      </c>
      <c r="AK387" s="653">
        <f t="shared" si="291"/>
        <v>0</v>
      </c>
      <c r="AL387" s="1158">
        <f>SUM(AL375:AL386)</f>
        <v>0</v>
      </c>
      <c r="AM387" s="1037">
        <f t="shared" ref="AM387:AO387" si="292">SUM(AM375:AM386)</f>
        <v>0</v>
      </c>
      <c r="AN387" s="653">
        <f t="shared" si="292"/>
        <v>0</v>
      </c>
      <c r="AO387" s="653">
        <f t="shared" si="292"/>
        <v>0</v>
      </c>
      <c r="AP387" s="653">
        <f>SUM(AP375:AP386)</f>
        <v>0</v>
      </c>
      <c r="AQ387" s="653">
        <f t="shared" ref="AQ387" si="293">SUM(AQ375:AQ386)</f>
        <v>0</v>
      </c>
      <c r="AR387" s="1139">
        <f t="shared" ref="AR387" si="294">AP387-AQ387</f>
        <v>0</v>
      </c>
      <c r="AS387" s="307"/>
      <c r="AT387" s="307"/>
      <c r="AU387" s="307"/>
      <c r="AV387" s="307"/>
      <c r="AW387" s="307"/>
      <c r="AX387" s="307"/>
      <c r="AY387" s="307"/>
      <c r="AZ387" s="307"/>
      <c r="BA387" s="307"/>
      <c r="BB387" s="196" t="s">
        <v>232</v>
      </c>
      <c r="BC387" s="196" t="s">
        <v>481</v>
      </c>
      <c r="BD387" s="212"/>
      <c r="BE387" s="212"/>
      <c r="BF387" s="212"/>
      <c r="BG387" s="212"/>
      <c r="BH387" s="212"/>
      <c r="BI387" s="212"/>
      <c r="BJ387" s="212"/>
      <c r="BK387" s="212"/>
      <c r="BL387" s="212"/>
      <c r="BM387" s="212"/>
      <c r="BN387" s="212"/>
      <c r="BO387" s="212"/>
      <c r="BP387" s="212"/>
      <c r="BQ387" s="212"/>
      <c r="BR387" s="212"/>
      <c r="BS387" s="212"/>
      <c r="BT387" s="212"/>
      <c r="BU387" s="212"/>
      <c r="BV387" s="212"/>
      <c r="BW387" s="212"/>
      <c r="BX387" s="212"/>
      <c r="BY387" s="212"/>
      <c r="BZ387" s="212"/>
      <c r="CA387" s="212"/>
      <c r="CB387" s="212"/>
      <c r="CC387" s="212"/>
      <c r="CD387" s="212"/>
      <c r="CE387" s="212"/>
    </row>
    <row r="388" spans="1:83" x14ac:dyDescent="0.2">
      <c r="A388" s="1055"/>
      <c r="B388" s="496"/>
      <c r="C388" s="490"/>
      <c r="D388" s="328"/>
      <c r="E388" s="371"/>
      <c r="F388" s="371"/>
      <c r="G388" s="1056"/>
      <c r="H388" s="1056"/>
      <c r="I388" s="1057"/>
      <c r="J388" s="1058"/>
      <c r="K388" s="1056"/>
      <c r="L388" s="1056"/>
      <c r="M388" s="1056"/>
      <c r="N388" s="335"/>
      <c r="O388" s="1059"/>
      <c r="P388" s="1059"/>
      <c r="Q388" s="1059"/>
      <c r="R388" s="1059"/>
      <c r="S388" s="1046"/>
      <c r="T388" s="1060"/>
      <c r="U388" s="1041"/>
      <c r="V388" s="1041"/>
      <c r="W388" s="1041"/>
      <c r="X388" s="1041"/>
      <c r="Y388" s="1059"/>
      <c r="Z388" s="1059"/>
      <c r="AA388" s="1059"/>
      <c r="AB388" s="328"/>
      <c r="AC388" s="1062"/>
      <c r="AD388" s="822"/>
      <c r="AE388" s="832"/>
      <c r="AF388" s="832"/>
      <c r="AG388" s="832"/>
      <c r="AH388" s="822"/>
      <c r="AI388" s="832"/>
      <c r="AJ388" s="832"/>
      <c r="AK388" s="832"/>
      <c r="AL388" s="822"/>
      <c r="AM388" s="832"/>
      <c r="AN388" s="832"/>
      <c r="AO388" s="832"/>
      <c r="AP388" s="822"/>
      <c r="AQ388" s="822"/>
      <c r="AR388" s="822"/>
      <c r="AS388" s="307"/>
      <c r="AT388" s="307"/>
      <c r="AU388" s="307"/>
      <c r="AV388" s="307"/>
      <c r="AW388" s="307"/>
      <c r="AX388" s="307"/>
      <c r="AY388" s="307"/>
      <c r="AZ388" s="307"/>
      <c r="BA388" s="307"/>
      <c r="BB388" s="196"/>
      <c r="BC388" s="196"/>
      <c r="BD388" s="212"/>
      <c r="BE388" s="212"/>
      <c r="BF388" s="212"/>
      <c r="BG388" s="212"/>
      <c r="BH388" s="212"/>
      <c r="BI388" s="212"/>
      <c r="BJ388" s="212"/>
      <c r="BK388" s="212"/>
      <c r="BL388" s="212"/>
      <c r="BM388" s="212"/>
      <c r="BN388" s="212"/>
      <c r="BO388" s="212"/>
      <c r="BP388" s="212"/>
      <c r="BQ388" s="212"/>
      <c r="BR388" s="212"/>
      <c r="BS388" s="212"/>
      <c r="BT388" s="212"/>
      <c r="BU388" s="212"/>
      <c r="BV388" s="212"/>
      <c r="BW388" s="212"/>
      <c r="BX388" s="212"/>
      <c r="BY388" s="212"/>
      <c r="BZ388" s="212"/>
      <c r="CA388" s="212"/>
      <c r="CB388" s="212"/>
      <c r="CC388" s="212"/>
      <c r="CD388" s="212"/>
      <c r="CE388" s="212"/>
    </row>
    <row r="389" spans="1:83" x14ac:dyDescent="0.2">
      <c r="A389" s="1055"/>
      <c r="B389" s="496"/>
      <c r="C389" s="490"/>
      <c r="D389" s="328"/>
      <c r="E389" s="371"/>
      <c r="F389" s="371"/>
      <c r="G389" s="1056"/>
      <c r="H389" s="1056"/>
      <c r="I389" s="1057"/>
      <c r="J389" s="1058"/>
      <c r="K389" s="1056"/>
      <c r="L389" s="1056"/>
      <c r="M389" s="1056"/>
      <c r="N389" s="335"/>
      <c r="O389" s="1059"/>
      <c r="P389" s="1059"/>
      <c r="Q389" s="1059"/>
      <c r="R389" s="1059"/>
      <c r="S389" s="1046"/>
      <c r="T389" s="1060"/>
      <c r="U389" s="1041"/>
      <c r="V389" s="1041"/>
      <c r="W389" s="1041"/>
      <c r="X389" s="1041"/>
      <c r="Y389" s="1059"/>
      <c r="Z389" s="1059"/>
      <c r="AA389" s="1059"/>
      <c r="AB389" s="328"/>
      <c r="AC389" s="1062"/>
      <c r="AD389" s="822"/>
      <c r="AE389" s="832"/>
      <c r="AF389" s="832"/>
      <c r="AG389" s="832"/>
      <c r="AH389" s="822"/>
      <c r="AI389" s="832"/>
      <c r="AJ389" s="832"/>
      <c r="AK389" s="832"/>
      <c r="AL389" s="822"/>
      <c r="AM389" s="832"/>
      <c r="AN389" s="832"/>
      <c r="AO389" s="832"/>
      <c r="AP389" s="822"/>
      <c r="AQ389" s="822"/>
      <c r="AR389" s="822"/>
      <c r="AS389" s="307"/>
      <c r="AT389" s="307"/>
      <c r="AU389" s="307"/>
      <c r="AV389" s="307"/>
      <c r="AW389" s="307"/>
      <c r="AX389" s="307"/>
      <c r="AY389" s="307"/>
      <c r="AZ389" s="307"/>
      <c r="BA389" s="307"/>
      <c r="BB389" s="196"/>
      <c r="BC389" s="196"/>
      <c r="BD389" s="212"/>
      <c r="BE389" s="212"/>
      <c r="BF389" s="212"/>
      <c r="BG389" s="212"/>
      <c r="BH389" s="212"/>
      <c r="BI389" s="212"/>
      <c r="BJ389" s="212"/>
      <c r="BK389" s="212"/>
      <c r="BL389" s="212"/>
      <c r="BM389" s="212"/>
      <c r="BN389" s="212"/>
      <c r="BO389" s="212"/>
      <c r="BP389" s="212"/>
      <c r="BQ389" s="212"/>
      <c r="BR389" s="212"/>
      <c r="BS389" s="212"/>
      <c r="BT389" s="212"/>
      <c r="BU389" s="212"/>
      <c r="BV389" s="212"/>
      <c r="BW389" s="212"/>
      <c r="BX389" s="212"/>
      <c r="BY389" s="212"/>
      <c r="BZ389" s="212"/>
      <c r="CA389" s="212"/>
      <c r="CB389" s="212"/>
      <c r="CC389" s="212"/>
      <c r="CD389" s="212"/>
      <c r="CE389" s="212"/>
    </row>
    <row r="390" spans="1:83" s="24" customFormat="1" x14ac:dyDescent="0.2">
      <c r="A390" s="1066"/>
      <c r="B390" s="497" t="str">
        <f>IF(Stammblatt!$L$4=1,'Kalkulation Herstellungskosten'!BB390,'Kalkulation Herstellungskosten'!BC390)</f>
        <v>7. Schnitt, Sync, Mischung</v>
      </c>
      <c r="C390" s="328" t="str">
        <f>IF(Stammblatt!$L$4=1,"Wochen","weeks")</f>
        <v>Wochen</v>
      </c>
      <c r="D390" s="328" t="s">
        <v>600</v>
      </c>
      <c r="E390" s="329"/>
      <c r="F390" s="329"/>
      <c r="G390" s="1062"/>
      <c r="H390" s="1062"/>
      <c r="I390" s="1068"/>
      <c r="J390" s="1069"/>
      <c r="K390" s="1062"/>
      <c r="L390" s="1062"/>
      <c r="M390" s="1062"/>
      <c r="N390" s="1070"/>
      <c r="O390" s="1038"/>
      <c r="P390" s="1038"/>
      <c r="Q390" s="1038"/>
      <c r="R390" s="1038"/>
      <c r="S390" s="1046"/>
      <c r="T390" s="1071"/>
      <c r="U390" s="1040"/>
      <c r="V390" s="1040"/>
      <c r="W390" s="1040"/>
      <c r="X390" s="1040"/>
      <c r="Y390" s="1038"/>
      <c r="Z390" s="1038"/>
      <c r="AA390" s="1038"/>
      <c r="AB390" s="328"/>
      <c r="AC390" s="1062"/>
      <c r="AD390" s="1135"/>
      <c r="AE390" s="1138"/>
      <c r="AF390" s="1138"/>
      <c r="AG390" s="1138"/>
      <c r="AH390" s="1135"/>
      <c r="AI390" s="1138"/>
      <c r="AJ390" s="1138"/>
      <c r="AK390" s="1138"/>
      <c r="AL390" s="1135"/>
      <c r="AM390" s="1138"/>
      <c r="AN390" s="1138"/>
      <c r="AO390" s="1138"/>
      <c r="AP390" s="1135"/>
      <c r="AQ390" s="1135"/>
      <c r="AR390" s="1135"/>
      <c r="AS390" s="307"/>
      <c r="AT390" s="307"/>
      <c r="AU390" s="307"/>
      <c r="AV390" s="307"/>
      <c r="AW390" s="307"/>
      <c r="AX390" s="307"/>
      <c r="AY390" s="307"/>
      <c r="AZ390" s="307"/>
      <c r="BA390" s="307"/>
      <c r="BB390" s="196" t="s">
        <v>679</v>
      </c>
      <c r="BC390" s="196" t="s">
        <v>430</v>
      </c>
      <c r="BD390" s="308"/>
      <c r="BE390" s="308"/>
      <c r="BF390" s="308"/>
      <c r="BG390" s="308"/>
      <c r="BH390" s="308"/>
      <c r="BI390" s="308"/>
      <c r="BJ390" s="308"/>
      <c r="BK390" s="308"/>
      <c r="BL390" s="308"/>
      <c r="BM390" s="308"/>
      <c r="BN390" s="308"/>
      <c r="BO390" s="308"/>
      <c r="BP390" s="308"/>
      <c r="BQ390" s="308"/>
      <c r="BR390" s="308"/>
      <c r="BS390" s="308"/>
      <c r="BT390" s="308"/>
      <c r="BU390" s="308"/>
      <c r="BV390" s="308"/>
      <c r="BW390" s="308"/>
      <c r="BX390" s="308"/>
      <c r="BY390" s="308"/>
      <c r="BZ390" s="308"/>
      <c r="CA390" s="308"/>
      <c r="CB390" s="308"/>
      <c r="CC390" s="308"/>
      <c r="CD390" s="308"/>
      <c r="CE390" s="308"/>
    </row>
    <row r="391" spans="1:83" x14ac:dyDescent="0.2">
      <c r="A391" s="1091">
        <v>131</v>
      </c>
      <c r="B391" s="1082" t="str">
        <f>IF(Stammblatt!$L$4=1,'Kalkulation Herstellungskosten'!BB391,'Kalkulation Herstellungskosten'!BC391)</f>
        <v>Schneideraum (z.B. Steenbeck)</v>
      </c>
      <c r="C391" s="30"/>
      <c r="D391" s="318"/>
      <c r="E391" s="32"/>
      <c r="F391" s="396">
        <f>C391*E391</f>
        <v>0</v>
      </c>
      <c r="G391" s="1035"/>
      <c r="H391" s="1035"/>
      <c r="I391" s="1086"/>
      <c r="J391" s="322"/>
      <c r="K391" s="320"/>
      <c r="L391" s="320"/>
      <c r="M391" s="320"/>
      <c r="N391" s="323"/>
      <c r="O391" s="512"/>
      <c r="P391" s="506"/>
      <c r="Q391" s="507"/>
      <c r="R391" s="505"/>
      <c r="S391" s="514"/>
      <c r="T391" s="517"/>
      <c r="U391" s="505"/>
      <c r="V391" s="1053">
        <f>SUM(T391:U391)</f>
        <v>0</v>
      </c>
      <c r="W391" s="1053">
        <f>F391-V391</f>
        <v>0</v>
      </c>
      <c r="X391" s="512"/>
      <c r="Y391" s="508"/>
      <c r="Z391" s="507"/>
      <c r="AA391" s="505"/>
      <c r="AB391" s="295"/>
      <c r="AC391" s="305"/>
      <c r="AD391" s="799"/>
      <c r="AE391" s="800"/>
      <c r="AF391" s="801"/>
      <c r="AG391" s="831">
        <f>SUM(AE391:AF391)</f>
        <v>0</v>
      </c>
      <c r="AH391" s="799"/>
      <c r="AI391" s="800"/>
      <c r="AJ391" s="801"/>
      <c r="AK391" s="831">
        <f>SUM(AI391:AJ391)</f>
        <v>0</v>
      </c>
      <c r="AL391" s="799"/>
      <c r="AM391" s="800"/>
      <c r="AN391" s="801"/>
      <c r="AO391" s="831">
        <f>SUM(AM391:AN391)</f>
        <v>0</v>
      </c>
      <c r="AP391" s="1079">
        <f t="shared" ref="AP391" si="295">SUM(F391,AD391,AH391,AL391)</f>
        <v>0</v>
      </c>
      <c r="AQ391" s="1079">
        <f t="shared" ref="AQ391" si="296">SUM(AO391,AK391,AG391,V391)</f>
        <v>0</v>
      </c>
      <c r="AR391" s="1080">
        <f t="shared" ref="AR391" si="297">AP391-AQ391</f>
        <v>0</v>
      </c>
      <c r="AS391" s="307"/>
      <c r="AT391" s="307"/>
      <c r="AU391" s="307"/>
      <c r="AV391" s="307"/>
      <c r="AW391" s="307"/>
      <c r="AX391" s="307"/>
      <c r="AY391" s="307"/>
      <c r="AZ391" s="307"/>
      <c r="BA391" s="307"/>
      <c r="BB391" s="196" t="s">
        <v>215</v>
      </c>
      <c r="BC391" s="196" t="s">
        <v>386</v>
      </c>
      <c r="BD391" s="212"/>
      <c r="BE391" s="212"/>
      <c r="BF391" s="212"/>
      <c r="BG391" s="212"/>
      <c r="BH391" s="212"/>
      <c r="BI391" s="212"/>
      <c r="BJ391" s="212"/>
      <c r="BK391" s="212"/>
      <c r="BL391" s="212"/>
      <c r="BM391" s="212"/>
      <c r="BN391" s="212"/>
      <c r="BO391" s="212"/>
      <c r="BP391" s="212"/>
      <c r="BQ391" s="212"/>
      <c r="BR391" s="212"/>
      <c r="BS391" s="212"/>
      <c r="BT391" s="212"/>
      <c r="BU391" s="212"/>
      <c r="BV391" s="212"/>
      <c r="BW391" s="212"/>
      <c r="BX391" s="212"/>
      <c r="BY391" s="212"/>
      <c r="BZ391" s="212"/>
      <c r="CA391" s="212"/>
      <c r="CB391" s="212"/>
      <c r="CC391" s="212"/>
      <c r="CD391" s="212"/>
      <c r="CE391" s="212"/>
    </row>
    <row r="392" spans="1:83" x14ac:dyDescent="0.2">
      <c r="A392" s="1091">
        <v>132</v>
      </c>
      <c r="B392" s="1082" t="str">
        <f>IF(Stammblatt!$L$4=1,'Kalkulation Herstellungskosten'!BB392,'Kalkulation Herstellungskosten'!BC392)</f>
        <v>Digitaler Bildschnitt (z.B. AVID)</v>
      </c>
      <c r="C392" s="30"/>
      <c r="D392" s="318"/>
      <c r="E392" s="32"/>
      <c r="F392" s="396">
        <f>C392*E392</f>
        <v>0</v>
      </c>
      <c r="G392" s="1035"/>
      <c r="H392" s="1035"/>
      <c r="I392" s="1086"/>
      <c r="J392" s="347"/>
      <c r="K392" s="348"/>
      <c r="L392" s="348"/>
      <c r="M392" s="348"/>
      <c r="N392" s="349"/>
      <c r="O392" s="512"/>
      <c r="P392" s="506"/>
      <c r="Q392" s="507"/>
      <c r="R392" s="505"/>
      <c r="S392" s="514"/>
      <c r="T392" s="517"/>
      <c r="U392" s="505"/>
      <c r="V392" s="1053">
        <f>SUM(T392:U392)</f>
        <v>0</v>
      </c>
      <c r="W392" s="1053">
        <f>F392-V392</f>
        <v>0</v>
      </c>
      <c r="X392" s="512"/>
      <c r="Y392" s="508"/>
      <c r="Z392" s="507"/>
      <c r="AA392" s="505"/>
      <c r="AB392" s="295"/>
      <c r="AC392" s="305"/>
      <c r="AD392" s="799"/>
      <c r="AE392" s="800"/>
      <c r="AF392" s="801"/>
      <c r="AG392" s="831">
        <f>SUM(AE392:AF392)</f>
        <v>0</v>
      </c>
      <c r="AH392" s="799"/>
      <c r="AI392" s="800"/>
      <c r="AJ392" s="801"/>
      <c r="AK392" s="831">
        <f>SUM(AI392:AJ392)</f>
        <v>0</v>
      </c>
      <c r="AL392" s="799"/>
      <c r="AM392" s="800"/>
      <c r="AN392" s="801"/>
      <c r="AO392" s="831">
        <f>SUM(AM392:AN392)</f>
        <v>0</v>
      </c>
      <c r="AP392" s="1079">
        <f t="shared" ref="AP392:AP393" si="298">SUM(F392,AD392,AH392,AL392)</f>
        <v>0</v>
      </c>
      <c r="AQ392" s="1079">
        <f t="shared" ref="AQ392:AQ393" si="299">SUM(AO392,AK392,AG392,V392)</f>
        <v>0</v>
      </c>
      <c r="AR392" s="1080">
        <f t="shared" ref="AR392:AR393" si="300">AP392-AQ392</f>
        <v>0</v>
      </c>
      <c r="AS392" s="307"/>
      <c r="AT392" s="307"/>
      <c r="AU392" s="307"/>
      <c r="AV392" s="383" t="b">
        <v>0</v>
      </c>
      <c r="AW392" s="310"/>
      <c r="AX392" s="310"/>
      <c r="AY392" s="310"/>
      <c r="AZ392" s="310"/>
      <c r="BA392" s="310"/>
      <c r="BB392" s="196" t="s">
        <v>216</v>
      </c>
      <c r="BC392" s="196" t="s">
        <v>389</v>
      </c>
      <c r="BD392" s="212"/>
      <c r="BE392" s="212"/>
      <c r="BF392" s="212"/>
      <c r="BG392" s="212"/>
      <c r="BH392" s="212"/>
      <c r="BI392" s="212"/>
      <c r="BJ392" s="212"/>
      <c r="BK392" s="212"/>
      <c r="BL392" s="212"/>
      <c r="BM392" s="212"/>
      <c r="BN392" s="212"/>
      <c r="BO392" s="212"/>
      <c r="BP392" s="212"/>
      <c r="BQ392" s="212"/>
      <c r="BR392" s="212"/>
      <c r="BS392" s="212"/>
      <c r="BT392" s="212"/>
      <c r="BU392" s="212"/>
      <c r="BV392" s="212"/>
      <c r="BW392" s="212"/>
      <c r="BX392" s="212"/>
      <c r="BY392" s="212"/>
      <c r="BZ392" s="212"/>
      <c r="CA392" s="212"/>
      <c r="CB392" s="212"/>
      <c r="CC392" s="212"/>
      <c r="CD392" s="212"/>
      <c r="CE392" s="212"/>
    </row>
    <row r="393" spans="1:83" x14ac:dyDescent="0.2">
      <c r="A393" s="1091">
        <v>133</v>
      </c>
      <c r="B393" s="1082" t="str">
        <f>IF(Stammblatt!$L$4=1,'Kalkulation Herstellungskosten'!BB393,'Kalkulation Herstellungskosten'!BC393)</f>
        <v>Digitaler Tonschnitt (z.B. AUDIOVISION)</v>
      </c>
      <c r="C393" s="30"/>
      <c r="D393" s="318"/>
      <c r="E393" s="32"/>
      <c r="F393" s="396">
        <f>C393*E393</f>
        <v>0</v>
      </c>
      <c r="G393" s="1035"/>
      <c r="H393" s="1035"/>
      <c r="I393" s="1086"/>
      <c r="J393" s="347"/>
      <c r="K393" s="348"/>
      <c r="L393" s="348"/>
      <c r="M393" s="348"/>
      <c r="N393" s="349"/>
      <c r="O393" s="512"/>
      <c r="P393" s="506"/>
      <c r="Q393" s="507"/>
      <c r="R393" s="505"/>
      <c r="S393" s="514"/>
      <c r="T393" s="517"/>
      <c r="U393" s="505"/>
      <c r="V393" s="1053">
        <f>SUM(T393:U393)</f>
        <v>0</v>
      </c>
      <c r="W393" s="1053">
        <f>F393-V393</f>
        <v>0</v>
      </c>
      <c r="X393" s="512"/>
      <c r="Y393" s="508"/>
      <c r="Z393" s="507"/>
      <c r="AA393" s="505"/>
      <c r="AB393" s="295"/>
      <c r="AC393" s="305"/>
      <c r="AD393" s="799"/>
      <c r="AE393" s="800"/>
      <c r="AF393" s="801"/>
      <c r="AG393" s="831">
        <f>SUM(AE393:AF393)</f>
        <v>0</v>
      </c>
      <c r="AH393" s="799"/>
      <c r="AI393" s="800"/>
      <c r="AJ393" s="801"/>
      <c r="AK393" s="831">
        <f>SUM(AI393:AJ393)</f>
        <v>0</v>
      </c>
      <c r="AL393" s="799"/>
      <c r="AM393" s="800"/>
      <c r="AN393" s="801"/>
      <c r="AO393" s="831">
        <f>SUM(AM393:AN393)</f>
        <v>0</v>
      </c>
      <c r="AP393" s="1079">
        <f t="shared" si="298"/>
        <v>0</v>
      </c>
      <c r="AQ393" s="1079">
        <f t="shared" si="299"/>
        <v>0</v>
      </c>
      <c r="AR393" s="1080">
        <f t="shared" si="300"/>
        <v>0</v>
      </c>
      <c r="AS393" s="307"/>
      <c r="AT393" s="307"/>
      <c r="AU393" s="307"/>
      <c r="AV393" s="383" t="b">
        <v>0</v>
      </c>
      <c r="AW393" s="310"/>
      <c r="AX393" s="310"/>
      <c r="AY393" s="310"/>
      <c r="AZ393" s="310"/>
      <c r="BA393" s="310"/>
      <c r="BB393" s="196" t="s">
        <v>217</v>
      </c>
      <c r="BC393" s="196" t="s">
        <v>390</v>
      </c>
      <c r="BD393" s="212"/>
      <c r="BE393" s="212"/>
      <c r="BF393" s="212"/>
      <c r="BG393" s="212"/>
      <c r="BH393" s="212"/>
      <c r="BI393" s="212"/>
      <c r="BJ393" s="212"/>
      <c r="BK393" s="212"/>
      <c r="BL393" s="212"/>
      <c r="BM393" s="212"/>
      <c r="BN393" s="212"/>
      <c r="BO393" s="212"/>
      <c r="BP393" s="212"/>
      <c r="BQ393" s="212"/>
      <c r="BR393" s="212"/>
      <c r="BS393" s="212"/>
      <c r="BT393" s="212"/>
      <c r="BU393" s="212"/>
      <c r="BV393" s="212"/>
      <c r="BW393" s="212"/>
      <c r="BX393" s="212"/>
      <c r="BY393" s="212"/>
      <c r="BZ393" s="212"/>
      <c r="CA393" s="212"/>
      <c r="CB393" s="212"/>
      <c r="CC393" s="212"/>
      <c r="CD393" s="212"/>
      <c r="CE393" s="212"/>
    </row>
    <row r="394" spans="1:83" x14ac:dyDescent="0.2">
      <c r="A394" s="1091"/>
      <c r="B394" s="1082"/>
      <c r="C394" s="328" t="str">
        <f>IF(Stammblatt!$L$4=1,"Stunden","hours")</f>
        <v>Stunden</v>
      </c>
      <c r="D394" s="1082"/>
      <c r="E394" s="1082"/>
      <c r="F394" s="1082"/>
      <c r="G394" s="1035"/>
      <c r="H394" s="1035"/>
      <c r="I394" s="1086"/>
      <c r="J394" s="1159"/>
      <c r="K394" s="1160"/>
      <c r="L394" s="1160"/>
      <c r="M394" s="1160"/>
      <c r="N394" s="1161"/>
      <c r="O394" s="1053"/>
      <c r="P394" s="1046"/>
      <c r="Q394" s="1046"/>
      <c r="R394" s="1046"/>
      <c r="S394" s="1046"/>
      <c r="T394" s="1162"/>
      <c r="U394" s="1053"/>
      <c r="V394" s="1053"/>
      <c r="W394" s="1053"/>
      <c r="X394" s="1053"/>
      <c r="Y394" s="1121"/>
      <c r="Z394" s="1163"/>
      <c r="AA394" s="1053"/>
      <c r="AB394" s="328"/>
      <c r="AC394" s="1062"/>
      <c r="AD394" s="1075"/>
      <c r="AE394" s="820"/>
      <c r="AF394" s="831"/>
      <c r="AG394" s="831"/>
      <c r="AH394" s="1075"/>
      <c r="AI394" s="820"/>
      <c r="AJ394" s="831"/>
      <c r="AK394" s="831"/>
      <c r="AL394" s="1075"/>
      <c r="AM394" s="820"/>
      <c r="AN394" s="831"/>
      <c r="AO394" s="831"/>
      <c r="AP394" s="822"/>
      <c r="AQ394" s="822"/>
      <c r="AR394" s="822"/>
      <c r="AS394" s="307"/>
      <c r="AT394" s="307"/>
      <c r="AU394" s="307"/>
      <c r="AV394" s="308"/>
      <c r="AW394" s="307"/>
      <c r="AX394" s="307"/>
      <c r="AY394" s="307"/>
      <c r="AZ394" s="307"/>
      <c r="BA394" s="307"/>
      <c r="BB394" s="196"/>
      <c r="BC394" s="196"/>
      <c r="BD394" s="212"/>
      <c r="BE394" s="212"/>
      <c r="BF394" s="212"/>
      <c r="BG394" s="212"/>
      <c r="BH394" s="212"/>
      <c r="BI394" s="212"/>
      <c r="BJ394" s="212"/>
      <c r="BK394" s="212"/>
      <c r="BL394" s="212"/>
      <c r="BM394" s="212"/>
      <c r="BN394" s="212"/>
      <c r="BO394" s="212"/>
      <c r="BP394" s="212"/>
      <c r="BQ394" s="212"/>
      <c r="BR394" s="212"/>
      <c r="BS394" s="212"/>
      <c r="BT394" s="212"/>
      <c r="BU394" s="212"/>
      <c r="BV394" s="212"/>
      <c r="BW394" s="212"/>
      <c r="BX394" s="212"/>
      <c r="BY394" s="212"/>
      <c r="BZ394" s="212"/>
      <c r="CA394" s="212"/>
      <c r="CB394" s="212"/>
      <c r="CC394" s="212"/>
      <c r="CD394" s="212"/>
      <c r="CE394" s="212"/>
    </row>
    <row r="395" spans="1:83" x14ac:dyDescent="0.2">
      <c r="A395" s="1091">
        <v>134</v>
      </c>
      <c r="B395" s="1082" t="str">
        <f>IF(Stammblatt!$L$4=1,'Kalkulation Herstellungskosten'!BB395,'Kalkulation Herstellungskosten'!BC395)</f>
        <v>Vorführraum</v>
      </c>
      <c r="C395" s="30"/>
      <c r="D395" s="350"/>
      <c r="E395" s="32"/>
      <c r="F395" s="396">
        <f>C395*E395</f>
        <v>0</v>
      </c>
      <c r="G395" s="1035"/>
      <c r="H395" s="1035"/>
      <c r="I395" s="1086"/>
      <c r="J395" s="347"/>
      <c r="K395" s="348"/>
      <c r="L395" s="348"/>
      <c r="M395" s="348"/>
      <c r="N395" s="349"/>
      <c r="O395" s="512"/>
      <c r="P395" s="506"/>
      <c r="Q395" s="507"/>
      <c r="R395" s="505"/>
      <c r="S395" s="514"/>
      <c r="T395" s="517"/>
      <c r="U395" s="505"/>
      <c r="V395" s="1053">
        <f>SUM(T395:U395)</f>
        <v>0</v>
      </c>
      <c r="W395" s="1053">
        <f>F395-V395</f>
        <v>0</v>
      </c>
      <c r="X395" s="512"/>
      <c r="Y395" s="508"/>
      <c r="Z395" s="507"/>
      <c r="AA395" s="505"/>
      <c r="AB395" s="295"/>
      <c r="AC395" s="305"/>
      <c r="AD395" s="799"/>
      <c r="AE395" s="800"/>
      <c r="AF395" s="801"/>
      <c r="AG395" s="831">
        <f>SUM(AE395:AF395)</f>
        <v>0</v>
      </c>
      <c r="AH395" s="799"/>
      <c r="AI395" s="800"/>
      <c r="AJ395" s="801"/>
      <c r="AK395" s="831">
        <f>SUM(AI395:AJ395)</f>
        <v>0</v>
      </c>
      <c r="AL395" s="799"/>
      <c r="AM395" s="800"/>
      <c r="AN395" s="801"/>
      <c r="AO395" s="831">
        <f>SUM(AM395:AN395)</f>
        <v>0</v>
      </c>
      <c r="AP395" s="1079">
        <f t="shared" ref="AP395" si="301">SUM(F395,AD395,AH395,AL395)</f>
        <v>0</v>
      </c>
      <c r="AQ395" s="1079">
        <f t="shared" ref="AQ395" si="302">SUM(AO395,AK395,AG395,V395)</f>
        <v>0</v>
      </c>
      <c r="AR395" s="1080">
        <f t="shared" ref="AR395" si="303">AP395-AQ395</f>
        <v>0</v>
      </c>
      <c r="AS395" s="307"/>
      <c r="AT395" s="307"/>
      <c r="AU395" s="307"/>
      <c r="AV395" s="383" t="b">
        <v>0</v>
      </c>
      <c r="AW395" s="310"/>
      <c r="AX395" s="310"/>
      <c r="AY395" s="310"/>
      <c r="AZ395" s="310"/>
      <c r="BA395" s="310"/>
      <c r="BB395" s="196" t="s">
        <v>73</v>
      </c>
      <c r="BC395" s="196" t="s">
        <v>387</v>
      </c>
      <c r="BD395" s="212"/>
      <c r="BE395" s="212"/>
      <c r="BF395" s="212"/>
      <c r="BG395" s="212"/>
      <c r="BH395" s="212"/>
      <c r="BI395" s="212"/>
      <c r="BJ395" s="212"/>
      <c r="BK395" s="212"/>
      <c r="BL395" s="212"/>
      <c r="BM395" s="212"/>
      <c r="BN395" s="212"/>
      <c r="BO395" s="212"/>
      <c r="BP395" s="212"/>
      <c r="BQ395" s="212"/>
      <c r="BR395" s="212"/>
      <c r="BS395" s="212"/>
      <c r="BT395" s="212"/>
      <c r="BU395" s="212"/>
      <c r="BV395" s="212"/>
      <c r="BW395" s="212"/>
      <c r="BX395" s="212"/>
      <c r="BY395" s="212"/>
      <c r="BZ395" s="212"/>
      <c r="CA395" s="212"/>
      <c r="CB395" s="212"/>
      <c r="CC395" s="212"/>
      <c r="CD395" s="212"/>
      <c r="CE395" s="212"/>
    </row>
    <row r="396" spans="1:83" x14ac:dyDescent="0.2">
      <c r="A396" s="1055"/>
      <c r="B396" s="496"/>
      <c r="C396" s="490"/>
      <c r="D396" s="328"/>
      <c r="E396" s="371"/>
      <c r="F396" s="371"/>
      <c r="G396" s="1056"/>
      <c r="H396" s="1056"/>
      <c r="I396" s="1057"/>
      <c r="J396" s="1058"/>
      <c r="K396" s="1056"/>
      <c r="L396" s="1056"/>
      <c r="M396" s="1056"/>
      <c r="N396" s="335"/>
      <c r="O396" s="1059"/>
      <c r="P396" s="1059"/>
      <c r="Q396" s="1059"/>
      <c r="R396" s="1059"/>
      <c r="S396" s="1046"/>
      <c r="T396" s="1060"/>
      <c r="U396" s="1041"/>
      <c r="V396" s="1041"/>
      <c r="W396" s="1041"/>
      <c r="X396" s="1059"/>
      <c r="Y396" s="1059"/>
      <c r="Z396" s="1059"/>
      <c r="AA396" s="1059"/>
      <c r="AB396" s="328"/>
      <c r="AC396" s="1062"/>
      <c r="AD396" s="822"/>
      <c r="AE396" s="832"/>
      <c r="AF396" s="832"/>
      <c r="AG396" s="832"/>
      <c r="AH396" s="822"/>
      <c r="AI396" s="832"/>
      <c r="AJ396" s="832"/>
      <c r="AK396" s="832"/>
      <c r="AL396" s="822"/>
      <c r="AM396" s="832"/>
      <c r="AN396" s="832"/>
      <c r="AO396" s="832"/>
      <c r="AP396" s="822"/>
      <c r="AQ396" s="822"/>
      <c r="AR396" s="822"/>
      <c r="AS396" s="307"/>
      <c r="AT396" s="307"/>
      <c r="AU396" s="307"/>
      <c r="AV396" s="307"/>
      <c r="AW396" s="307"/>
      <c r="AX396" s="307"/>
      <c r="AY396" s="307"/>
      <c r="AZ396" s="307"/>
      <c r="BA396" s="307"/>
      <c r="BB396" s="196"/>
      <c r="BC396" s="196"/>
      <c r="BD396" s="212"/>
      <c r="BE396" s="212"/>
      <c r="BF396" s="212"/>
      <c r="BG396" s="212"/>
      <c r="BH396" s="212"/>
      <c r="BI396" s="212"/>
      <c r="BJ396" s="212"/>
      <c r="BK396" s="212"/>
      <c r="BL396" s="212"/>
      <c r="BM396" s="212"/>
      <c r="BN396" s="212"/>
      <c r="BO396" s="212"/>
      <c r="BP396" s="212"/>
      <c r="BQ396" s="212"/>
      <c r="BR396" s="212"/>
      <c r="BS396" s="212"/>
      <c r="BT396" s="212"/>
      <c r="BU396" s="212"/>
      <c r="BV396" s="212"/>
      <c r="BW396" s="212"/>
      <c r="BX396" s="212"/>
      <c r="BY396" s="212"/>
      <c r="BZ396" s="212"/>
      <c r="CA396" s="212"/>
      <c r="CB396" s="212"/>
      <c r="CC396" s="212"/>
      <c r="CD396" s="212"/>
      <c r="CE396" s="212"/>
    </row>
    <row r="397" spans="1:83" x14ac:dyDescent="0.2">
      <c r="A397" s="1055"/>
      <c r="B397" s="496" t="str">
        <f>IF(Stammblatt!$L$4=1,'Kalkulation Herstellungskosten'!BB397,'Kalkulation Herstellungskosten'!BC397)</f>
        <v>Tonstudio</v>
      </c>
      <c r="C397" s="328" t="str">
        <f>IF(Stammblatt!$L$4=1,"Tage","days")</f>
        <v>Tage</v>
      </c>
      <c r="D397" s="328"/>
      <c r="E397" s="371"/>
      <c r="F397" s="371"/>
      <c r="G397" s="1056"/>
      <c r="H397" s="1056"/>
      <c r="I397" s="1057"/>
      <c r="J397" s="1159"/>
      <c r="K397" s="1160"/>
      <c r="L397" s="1160"/>
      <c r="M397" s="1160"/>
      <c r="N397" s="1161"/>
      <c r="O397" s="1059"/>
      <c r="P397" s="1059"/>
      <c r="Q397" s="1059"/>
      <c r="R397" s="1059"/>
      <c r="S397" s="1046"/>
      <c r="T397" s="1060"/>
      <c r="U397" s="1041"/>
      <c r="V397" s="1041"/>
      <c r="W397" s="1041"/>
      <c r="X397" s="1059"/>
      <c r="Y397" s="1059"/>
      <c r="Z397" s="1059"/>
      <c r="AA397" s="1059"/>
      <c r="AB397" s="328"/>
      <c r="AC397" s="1062"/>
      <c r="AD397" s="822"/>
      <c r="AE397" s="832"/>
      <c r="AF397" s="832"/>
      <c r="AG397" s="832"/>
      <c r="AH397" s="822"/>
      <c r="AI397" s="832"/>
      <c r="AJ397" s="832"/>
      <c r="AK397" s="832"/>
      <c r="AL397" s="822"/>
      <c r="AM397" s="832"/>
      <c r="AN397" s="832"/>
      <c r="AO397" s="832"/>
      <c r="AP397" s="822"/>
      <c r="AQ397" s="822"/>
      <c r="AR397" s="822"/>
      <c r="AS397" s="307"/>
      <c r="AT397" s="307"/>
      <c r="AU397" s="307"/>
      <c r="AV397" s="307"/>
      <c r="AW397" s="307"/>
      <c r="AX397" s="307"/>
      <c r="AY397" s="307"/>
      <c r="AZ397" s="307"/>
      <c r="BA397" s="307"/>
      <c r="BB397" s="196" t="s">
        <v>74</v>
      </c>
      <c r="BC397" s="196" t="s">
        <v>388</v>
      </c>
      <c r="BD397" s="212"/>
      <c r="BE397" s="212"/>
      <c r="BF397" s="212"/>
      <c r="BG397" s="212"/>
      <c r="BH397" s="212"/>
      <c r="BI397" s="212"/>
      <c r="BJ397" s="212"/>
      <c r="BK397" s="212"/>
      <c r="BL397" s="212"/>
      <c r="BM397" s="212"/>
      <c r="BN397" s="212"/>
      <c r="BO397" s="212"/>
      <c r="BP397" s="212"/>
      <c r="BQ397" s="212"/>
      <c r="BR397" s="212"/>
      <c r="BS397" s="212"/>
      <c r="BT397" s="212"/>
      <c r="BU397" s="212"/>
      <c r="BV397" s="212"/>
      <c r="BW397" s="212"/>
      <c r="BX397" s="212"/>
      <c r="BY397" s="212"/>
      <c r="BZ397" s="212"/>
      <c r="CA397" s="212"/>
      <c r="CB397" s="212"/>
      <c r="CC397" s="212"/>
      <c r="CD397" s="212"/>
      <c r="CE397" s="212"/>
    </row>
    <row r="398" spans="1:83" x14ac:dyDescent="0.2">
      <c r="A398" s="1091">
        <v>135</v>
      </c>
      <c r="B398" s="1082" t="str">
        <f>IF(Stammblatt!$L$4=1,'Kalkulation Herstellungskosten'!BB398,'Kalkulation Herstellungskosten'!BC398)</f>
        <v>für Nachsynchronisation</v>
      </c>
      <c r="C398" s="30"/>
      <c r="D398" s="318"/>
      <c r="E398" s="32"/>
      <c r="F398" s="396">
        <f t="shared" ref="F398:F403" si="304">C398*E398</f>
        <v>0</v>
      </c>
      <c r="G398" s="1035"/>
      <c r="H398" s="1035"/>
      <c r="I398" s="1086"/>
      <c r="J398" s="347"/>
      <c r="K398" s="348"/>
      <c r="L398" s="348"/>
      <c r="M398" s="348"/>
      <c r="N398" s="349"/>
      <c r="O398" s="512"/>
      <c r="P398" s="506"/>
      <c r="Q398" s="507"/>
      <c r="R398" s="505"/>
      <c r="S398" s="514"/>
      <c r="T398" s="517"/>
      <c r="U398" s="505"/>
      <c r="V398" s="1053">
        <f t="shared" ref="V398:V404" si="305">SUM(T398:U398)</f>
        <v>0</v>
      </c>
      <c r="W398" s="1053">
        <f t="shared" ref="W398:W404" si="306">F398-V398</f>
        <v>0</v>
      </c>
      <c r="X398" s="512"/>
      <c r="Y398" s="508"/>
      <c r="Z398" s="507"/>
      <c r="AA398" s="505"/>
      <c r="AB398" s="295"/>
      <c r="AC398" s="305"/>
      <c r="AD398" s="799"/>
      <c r="AE398" s="800"/>
      <c r="AF398" s="801"/>
      <c r="AG398" s="831">
        <f t="shared" ref="AG398:AG404" si="307">SUM(AE398:AF398)</f>
        <v>0</v>
      </c>
      <c r="AH398" s="799"/>
      <c r="AI398" s="800"/>
      <c r="AJ398" s="801"/>
      <c r="AK398" s="831">
        <f t="shared" ref="AK398:AK404" si="308">SUM(AI398:AJ398)</f>
        <v>0</v>
      </c>
      <c r="AL398" s="799"/>
      <c r="AM398" s="800"/>
      <c r="AN398" s="801"/>
      <c r="AO398" s="831">
        <f t="shared" ref="AO398:AO404" si="309">SUM(AM398:AN398)</f>
        <v>0</v>
      </c>
      <c r="AP398" s="1079">
        <f t="shared" ref="AP398" si="310">SUM(F398,AD398,AH398,AL398)</f>
        <v>0</v>
      </c>
      <c r="AQ398" s="1079">
        <f t="shared" ref="AQ398" si="311">SUM(AO398,AK398,AG398,V398)</f>
        <v>0</v>
      </c>
      <c r="AR398" s="1080">
        <f t="shared" ref="AR398" si="312">AP398-AQ398</f>
        <v>0</v>
      </c>
      <c r="AS398" s="307"/>
      <c r="AT398" s="307"/>
      <c r="AU398" s="307"/>
      <c r="AV398" s="307"/>
      <c r="AW398" s="307"/>
      <c r="AX398" s="307"/>
      <c r="AY398" s="307"/>
      <c r="AZ398" s="307"/>
      <c r="BA398" s="307"/>
      <c r="BB398" s="196" t="s">
        <v>75</v>
      </c>
      <c r="BC398" s="196" t="s">
        <v>391</v>
      </c>
      <c r="BD398" s="212"/>
      <c r="BE398" s="212"/>
      <c r="BF398" s="212"/>
      <c r="BG398" s="212"/>
      <c r="BH398" s="212"/>
      <c r="BI398" s="212"/>
      <c r="BJ398" s="212"/>
      <c r="BK398" s="212"/>
      <c r="BL398" s="212"/>
      <c r="BM398" s="212"/>
      <c r="BN398" s="212"/>
      <c r="BO398" s="212"/>
      <c r="BP398" s="212"/>
      <c r="BQ398" s="212"/>
      <c r="BR398" s="212"/>
      <c r="BS398" s="212"/>
      <c r="BT398" s="212"/>
      <c r="BU398" s="212"/>
      <c r="BV398" s="212"/>
      <c r="BW398" s="212"/>
      <c r="BX398" s="212"/>
      <c r="BY398" s="212"/>
      <c r="BZ398" s="212"/>
      <c r="CA398" s="212"/>
      <c r="CB398" s="212"/>
      <c r="CC398" s="212"/>
      <c r="CD398" s="212"/>
      <c r="CE398" s="212"/>
    </row>
    <row r="399" spans="1:83" x14ac:dyDescent="0.2">
      <c r="A399" s="1091">
        <v>136</v>
      </c>
      <c r="B399" s="1082" t="str">
        <f>IF(Stammblatt!$L$4=1,'Kalkulation Herstellungskosten'!BB399,'Kalkulation Herstellungskosten'!BC399)</f>
        <v>für Geräuschaufnahme</v>
      </c>
      <c r="C399" s="30"/>
      <c r="D399" s="318"/>
      <c r="E399" s="32"/>
      <c r="F399" s="396">
        <f t="shared" si="304"/>
        <v>0</v>
      </c>
      <c r="G399" s="1035"/>
      <c r="H399" s="1035"/>
      <c r="I399" s="1086"/>
      <c r="J399" s="347"/>
      <c r="K399" s="348"/>
      <c r="L399" s="348"/>
      <c r="M399" s="348"/>
      <c r="N399" s="349"/>
      <c r="O399" s="512"/>
      <c r="P399" s="506"/>
      <c r="Q399" s="507"/>
      <c r="R399" s="505"/>
      <c r="S399" s="514"/>
      <c r="T399" s="517"/>
      <c r="U399" s="505"/>
      <c r="V399" s="1053">
        <f t="shared" si="305"/>
        <v>0</v>
      </c>
      <c r="W399" s="1053">
        <f t="shared" si="306"/>
        <v>0</v>
      </c>
      <c r="X399" s="512"/>
      <c r="Y399" s="508"/>
      <c r="Z399" s="507"/>
      <c r="AA399" s="505"/>
      <c r="AB399" s="295"/>
      <c r="AC399" s="305"/>
      <c r="AD399" s="799"/>
      <c r="AE399" s="800"/>
      <c r="AF399" s="801"/>
      <c r="AG399" s="831">
        <f t="shared" si="307"/>
        <v>0</v>
      </c>
      <c r="AH399" s="799"/>
      <c r="AI399" s="800"/>
      <c r="AJ399" s="801"/>
      <c r="AK399" s="831">
        <f t="shared" si="308"/>
        <v>0</v>
      </c>
      <c r="AL399" s="799"/>
      <c r="AM399" s="800"/>
      <c r="AN399" s="801"/>
      <c r="AO399" s="831">
        <f t="shared" si="309"/>
        <v>0</v>
      </c>
      <c r="AP399" s="1079">
        <f t="shared" ref="AP399:AP404" si="313">SUM(F399,AD399,AH399,AL399)</f>
        <v>0</v>
      </c>
      <c r="AQ399" s="1079">
        <f t="shared" ref="AQ399:AQ404" si="314">SUM(AO399,AK399,AG399,V399)</f>
        <v>0</v>
      </c>
      <c r="AR399" s="1080">
        <f t="shared" ref="AR399:AR404" si="315">AP399-AQ399</f>
        <v>0</v>
      </c>
      <c r="AS399" s="307"/>
      <c r="AT399" s="307"/>
      <c r="AU399" s="307"/>
      <c r="AV399" s="307"/>
      <c r="AW399" s="307"/>
      <c r="AX399" s="307"/>
      <c r="AY399" s="307"/>
      <c r="AZ399" s="307"/>
      <c r="BA399" s="307"/>
      <c r="BB399" s="196" t="s">
        <v>76</v>
      </c>
      <c r="BC399" s="196" t="s">
        <v>392</v>
      </c>
      <c r="BD399" s="212"/>
      <c r="BE399" s="212"/>
      <c r="BF399" s="212"/>
      <c r="BG399" s="212"/>
      <c r="BH399" s="212"/>
      <c r="BI399" s="212"/>
      <c r="BJ399" s="212"/>
      <c r="BK399" s="212"/>
      <c r="BL399" s="212"/>
      <c r="BM399" s="212"/>
      <c r="BN399" s="212"/>
      <c r="BO399" s="212"/>
      <c r="BP399" s="212"/>
      <c r="BQ399" s="212"/>
      <c r="BR399" s="212"/>
      <c r="BS399" s="212"/>
      <c r="BT399" s="212"/>
      <c r="BU399" s="212"/>
      <c r="BV399" s="212"/>
      <c r="BW399" s="212"/>
      <c r="BX399" s="212"/>
      <c r="BY399" s="212"/>
      <c r="BZ399" s="212"/>
      <c r="CA399" s="212"/>
      <c r="CB399" s="212"/>
      <c r="CC399" s="212"/>
      <c r="CD399" s="212"/>
      <c r="CE399" s="212"/>
    </row>
    <row r="400" spans="1:83" x14ac:dyDescent="0.2">
      <c r="A400" s="1091">
        <v>137</v>
      </c>
      <c r="B400" s="1082" t="str">
        <f>IF(Stammblatt!$L$4=1,'Kalkulation Herstellungskosten'!BB400,'Kalkulation Herstellungskosten'!BC400)</f>
        <v>für Geräuschvormischung</v>
      </c>
      <c r="C400" s="30"/>
      <c r="D400" s="318"/>
      <c r="E400" s="32"/>
      <c r="F400" s="396">
        <f t="shared" si="304"/>
        <v>0</v>
      </c>
      <c r="G400" s="1035"/>
      <c r="H400" s="1035"/>
      <c r="I400" s="1086"/>
      <c r="J400" s="347"/>
      <c r="K400" s="348"/>
      <c r="L400" s="348"/>
      <c r="M400" s="348"/>
      <c r="N400" s="349"/>
      <c r="O400" s="512"/>
      <c r="P400" s="506"/>
      <c r="Q400" s="507"/>
      <c r="R400" s="505"/>
      <c r="S400" s="514"/>
      <c r="T400" s="517"/>
      <c r="U400" s="505"/>
      <c r="V400" s="1053">
        <f t="shared" si="305"/>
        <v>0</v>
      </c>
      <c r="W400" s="1053">
        <f t="shared" si="306"/>
        <v>0</v>
      </c>
      <c r="X400" s="512"/>
      <c r="Y400" s="508"/>
      <c r="Z400" s="507"/>
      <c r="AA400" s="505"/>
      <c r="AB400" s="295"/>
      <c r="AC400" s="305"/>
      <c r="AD400" s="799"/>
      <c r="AE400" s="800"/>
      <c r="AF400" s="801"/>
      <c r="AG400" s="831">
        <f t="shared" si="307"/>
        <v>0</v>
      </c>
      <c r="AH400" s="799"/>
      <c r="AI400" s="800"/>
      <c r="AJ400" s="801"/>
      <c r="AK400" s="831">
        <f t="shared" si="308"/>
        <v>0</v>
      </c>
      <c r="AL400" s="799"/>
      <c r="AM400" s="800"/>
      <c r="AN400" s="801"/>
      <c r="AO400" s="831">
        <f t="shared" si="309"/>
        <v>0</v>
      </c>
      <c r="AP400" s="1079">
        <f t="shared" si="313"/>
        <v>0</v>
      </c>
      <c r="AQ400" s="1079">
        <f t="shared" si="314"/>
        <v>0</v>
      </c>
      <c r="AR400" s="1080">
        <f t="shared" si="315"/>
        <v>0</v>
      </c>
      <c r="AS400" s="307"/>
      <c r="AT400" s="307"/>
      <c r="AU400" s="307"/>
      <c r="AV400" s="307"/>
      <c r="AW400" s="307"/>
      <c r="AX400" s="307"/>
      <c r="AY400" s="307"/>
      <c r="AZ400" s="307"/>
      <c r="BA400" s="307"/>
      <c r="BB400" s="196" t="s">
        <v>77</v>
      </c>
      <c r="BC400" s="196" t="s">
        <v>482</v>
      </c>
      <c r="BD400" s="212"/>
      <c r="BE400" s="212"/>
      <c r="BF400" s="212"/>
      <c r="BG400" s="212"/>
      <c r="BH400" s="212"/>
      <c r="BI400" s="212"/>
      <c r="BJ400" s="212"/>
      <c r="BK400" s="212"/>
      <c r="BL400" s="212"/>
      <c r="BM400" s="212"/>
      <c r="BN400" s="212"/>
      <c r="BO400" s="212"/>
      <c r="BP400" s="212"/>
      <c r="BQ400" s="212"/>
      <c r="BR400" s="212"/>
      <c r="BS400" s="212"/>
      <c r="BT400" s="212"/>
      <c r="BU400" s="212"/>
      <c r="BV400" s="212"/>
      <c r="BW400" s="212"/>
      <c r="BX400" s="212"/>
      <c r="BY400" s="212"/>
      <c r="BZ400" s="212"/>
      <c r="CA400" s="212"/>
      <c r="CB400" s="212"/>
      <c r="CC400" s="212"/>
      <c r="CD400" s="212"/>
      <c r="CE400" s="212"/>
    </row>
    <row r="401" spans="1:83" x14ac:dyDescent="0.2">
      <c r="A401" s="1091">
        <v>138</v>
      </c>
      <c r="B401" s="1082" t="str">
        <f>IF(Stammblatt!$L$4=1,'Kalkulation Herstellungskosten'!BB401,'Kalkulation Herstellungskosten'!BC401)</f>
        <v>für Musikaufnahme</v>
      </c>
      <c r="C401" s="30"/>
      <c r="D401" s="318"/>
      <c r="E401" s="32"/>
      <c r="F401" s="396">
        <f t="shared" si="304"/>
        <v>0</v>
      </c>
      <c r="G401" s="1035"/>
      <c r="H401" s="1035"/>
      <c r="I401" s="1086"/>
      <c r="J401" s="347"/>
      <c r="K401" s="348"/>
      <c r="L401" s="348"/>
      <c r="M401" s="348"/>
      <c r="N401" s="349"/>
      <c r="O401" s="512"/>
      <c r="P401" s="506"/>
      <c r="Q401" s="507"/>
      <c r="R401" s="505"/>
      <c r="S401" s="514"/>
      <c r="T401" s="517"/>
      <c r="U401" s="505"/>
      <c r="V401" s="1053">
        <f t="shared" si="305"/>
        <v>0</v>
      </c>
      <c r="W401" s="1053">
        <f t="shared" si="306"/>
        <v>0</v>
      </c>
      <c r="X401" s="512"/>
      <c r="Y401" s="508"/>
      <c r="Z401" s="507"/>
      <c r="AA401" s="505"/>
      <c r="AB401" s="295"/>
      <c r="AC401" s="305"/>
      <c r="AD401" s="799"/>
      <c r="AE401" s="800"/>
      <c r="AF401" s="801"/>
      <c r="AG401" s="831">
        <f t="shared" si="307"/>
        <v>0</v>
      </c>
      <c r="AH401" s="799"/>
      <c r="AI401" s="800"/>
      <c r="AJ401" s="801"/>
      <c r="AK401" s="831">
        <f t="shared" si="308"/>
        <v>0</v>
      </c>
      <c r="AL401" s="799"/>
      <c r="AM401" s="800"/>
      <c r="AN401" s="801"/>
      <c r="AO401" s="831">
        <f t="shared" si="309"/>
        <v>0</v>
      </c>
      <c r="AP401" s="1079">
        <f t="shared" si="313"/>
        <v>0</v>
      </c>
      <c r="AQ401" s="1079">
        <f t="shared" si="314"/>
        <v>0</v>
      </c>
      <c r="AR401" s="1080">
        <f t="shared" si="315"/>
        <v>0</v>
      </c>
      <c r="AS401" s="307"/>
      <c r="AT401" s="307"/>
      <c r="AU401" s="307"/>
      <c r="AV401" s="307"/>
      <c r="AW401" s="307"/>
      <c r="AX401" s="307"/>
      <c r="AY401" s="307"/>
      <c r="AZ401" s="307"/>
      <c r="BA401" s="307"/>
      <c r="BB401" s="196" t="s">
        <v>78</v>
      </c>
      <c r="BC401" s="196" t="s">
        <v>393</v>
      </c>
      <c r="BD401" s="212"/>
      <c r="BE401" s="212"/>
      <c r="BF401" s="212"/>
      <c r="BG401" s="212"/>
      <c r="BH401" s="212"/>
      <c r="BI401" s="212"/>
      <c r="BJ401" s="212"/>
      <c r="BK401" s="212"/>
      <c r="BL401" s="212"/>
      <c r="BM401" s="212"/>
      <c r="BN401" s="212"/>
      <c r="BO401" s="212"/>
      <c r="BP401" s="212"/>
      <c r="BQ401" s="212"/>
      <c r="BR401" s="212"/>
      <c r="BS401" s="212"/>
      <c r="BT401" s="212"/>
      <c r="BU401" s="212"/>
      <c r="BV401" s="212"/>
      <c r="BW401" s="212"/>
      <c r="BX401" s="212"/>
      <c r="BY401" s="212"/>
      <c r="BZ401" s="212"/>
      <c r="CA401" s="212"/>
      <c r="CB401" s="212"/>
      <c r="CC401" s="212"/>
      <c r="CD401" s="212"/>
      <c r="CE401" s="212"/>
    </row>
    <row r="402" spans="1:83" x14ac:dyDescent="0.2">
      <c r="A402" s="1091">
        <v>139</v>
      </c>
      <c r="B402" s="1082" t="str">
        <f>IF(Stammblatt!$L$4=1,'Kalkulation Herstellungskosten'!BB402,'Kalkulation Herstellungskosten'!BC402)</f>
        <v>für I.T. Band-Mischung</v>
      </c>
      <c r="C402" s="30"/>
      <c r="D402" s="318"/>
      <c r="E402" s="32"/>
      <c r="F402" s="396">
        <f t="shared" si="304"/>
        <v>0</v>
      </c>
      <c r="G402" s="1035"/>
      <c r="H402" s="1035"/>
      <c r="I402" s="1086"/>
      <c r="J402" s="347"/>
      <c r="K402" s="348"/>
      <c r="L402" s="348"/>
      <c r="M402" s="348"/>
      <c r="N402" s="349"/>
      <c r="O402" s="512"/>
      <c r="P402" s="506"/>
      <c r="Q402" s="507"/>
      <c r="R402" s="505"/>
      <c r="S402" s="514"/>
      <c r="T402" s="517"/>
      <c r="U402" s="505"/>
      <c r="V402" s="1053">
        <f t="shared" si="305"/>
        <v>0</v>
      </c>
      <c r="W402" s="1053">
        <f t="shared" si="306"/>
        <v>0</v>
      </c>
      <c r="X402" s="512"/>
      <c r="Y402" s="508"/>
      <c r="Z402" s="507"/>
      <c r="AA402" s="505"/>
      <c r="AB402" s="295"/>
      <c r="AC402" s="305"/>
      <c r="AD402" s="799"/>
      <c r="AE402" s="800"/>
      <c r="AF402" s="801"/>
      <c r="AG402" s="831">
        <f t="shared" si="307"/>
        <v>0</v>
      </c>
      <c r="AH402" s="799"/>
      <c r="AI402" s="800"/>
      <c r="AJ402" s="801"/>
      <c r="AK402" s="831">
        <f t="shared" si="308"/>
        <v>0</v>
      </c>
      <c r="AL402" s="799"/>
      <c r="AM402" s="800"/>
      <c r="AN402" s="801"/>
      <c r="AO402" s="831">
        <f t="shared" si="309"/>
        <v>0</v>
      </c>
      <c r="AP402" s="1079">
        <f t="shared" si="313"/>
        <v>0</v>
      </c>
      <c r="AQ402" s="1079">
        <f t="shared" si="314"/>
        <v>0</v>
      </c>
      <c r="AR402" s="1080">
        <f t="shared" si="315"/>
        <v>0</v>
      </c>
      <c r="AS402" s="307"/>
      <c r="AT402" s="307"/>
      <c r="AU402" s="307"/>
      <c r="AV402" s="307"/>
      <c r="AW402" s="307"/>
      <c r="AX402" s="307"/>
      <c r="AY402" s="307"/>
      <c r="AZ402" s="307"/>
      <c r="BA402" s="307"/>
      <c r="BB402" s="196" t="s">
        <v>79</v>
      </c>
      <c r="BC402" s="196" t="s">
        <v>483</v>
      </c>
      <c r="BD402" s="212"/>
      <c r="BE402" s="212"/>
      <c r="BF402" s="212"/>
      <c r="BG402" s="212"/>
      <c r="BH402" s="212"/>
      <c r="BI402" s="212"/>
      <c r="BJ402" s="212"/>
      <c r="BK402" s="212"/>
      <c r="BL402" s="212"/>
      <c r="BM402" s="212"/>
      <c r="BN402" s="212"/>
      <c r="BO402" s="212"/>
      <c r="BP402" s="212"/>
      <c r="BQ402" s="212"/>
      <c r="BR402" s="212"/>
      <c r="BS402" s="212"/>
      <c r="BT402" s="212"/>
      <c r="BU402" s="212"/>
      <c r="BV402" s="212"/>
      <c r="BW402" s="212"/>
      <c r="BX402" s="212"/>
      <c r="BY402" s="212"/>
      <c r="BZ402" s="212"/>
      <c r="CA402" s="212"/>
      <c r="CB402" s="212"/>
      <c r="CC402" s="212"/>
      <c r="CD402" s="212"/>
      <c r="CE402" s="212"/>
    </row>
    <row r="403" spans="1:83" x14ac:dyDescent="0.2">
      <c r="A403" s="1091">
        <v>140</v>
      </c>
      <c r="B403" s="1082" t="str">
        <f>IF(Stammblatt!$L$4=1,'Kalkulation Herstellungskosten'!BB403,'Kalkulation Herstellungskosten'!BC403)</f>
        <v>für Gesamtmischung</v>
      </c>
      <c r="C403" s="30"/>
      <c r="D403" s="318"/>
      <c r="E403" s="32"/>
      <c r="F403" s="396">
        <f t="shared" si="304"/>
        <v>0</v>
      </c>
      <c r="G403" s="1035"/>
      <c r="H403" s="1035"/>
      <c r="I403" s="1086"/>
      <c r="J403" s="347"/>
      <c r="K403" s="348"/>
      <c r="L403" s="348"/>
      <c r="M403" s="348"/>
      <c r="N403" s="349"/>
      <c r="O403" s="512"/>
      <c r="P403" s="506"/>
      <c r="Q403" s="507"/>
      <c r="R403" s="505"/>
      <c r="S403" s="514"/>
      <c r="T403" s="517"/>
      <c r="U403" s="505"/>
      <c r="V403" s="1053">
        <f t="shared" si="305"/>
        <v>0</v>
      </c>
      <c r="W403" s="1053">
        <f t="shared" si="306"/>
        <v>0</v>
      </c>
      <c r="X403" s="512"/>
      <c r="Y403" s="508"/>
      <c r="Z403" s="507"/>
      <c r="AA403" s="505"/>
      <c r="AB403" s="295"/>
      <c r="AC403" s="305"/>
      <c r="AD403" s="799"/>
      <c r="AE403" s="800"/>
      <c r="AF403" s="801"/>
      <c r="AG403" s="831">
        <f t="shared" si="307"/>
        <v>0</v>
      </c>
      <c r="AH403" s="799"/>
      <c r="AI403" s="800"/>
      <c r="AJ403" s="801"/>
      <c r="AK403" s="831">
        <f t="shared" si="308"/>
        <v>0</v>
      </c>
      <c r="AL403" s="799"/>
      <c r="AM403" s="800"/>
      <c r="AN403" s="801"/>
      <c r="AO403" s="831">
        <f t="shared" si="309"/>
        <v>0</v>
      </c>
      <c r="AP403" s="1079">
        <f t="shared" si="313"/>
        <v>0</v>
      </c>
      <c r="AQ403" s="1079">
        <f t="shared" si="314"/>
        <v>0</v>
      </c>
      <c r="AR403" s="1080">
        <f t="shared" si="315"/>
        <v>0</v>
      </c>
      <c r="AS403" s="307"/>
      <c r="AT403" s="307"/>
      <c r="AU403" s="307"/>
      <c r="AV403" s="307"/>
      <c r="AW403" s="307"/>
      <c r="AX403" s="307"/>
      <c r="AY403" s="307"/>
      <c r="AZ403" s="307"/>
      <c r="BA403" s="307"/>
      <c r="BB403" s="196" t="s">
        <v>80</v>
      </c>
      <c r="BC403" s="196" t="s">
        <v>484</v>
      </c>
      <c r="BD403" s="212"/>
      <c r="BE403" s="212"/>
      <c r="BF403" s="212"/>
      <c r="BG403" s="212"/>
      <c r="BH403" s="212"/>
      <c r="BI403" s="212"/>
      <c r="BJ403" s="212"/>
      <c r="BK403" s="212"/>
      <c r="BL403" s="212"/>
      <c r="BM403" s="212"/>
      <c r="BN403" s="212"/>
      <c r="BO403" s="212"/>
      <c r="BP403" s="212"/>
      <c r="BQ403" s="212"/>
      <c r="BR403" s="212"/>
      <c r="BS403" s="212"/>
      <c r="BT403" s="212"/>
      <c r="BU403" s="212"/>
      <c r="BV403" s="212"/>
      <c r="BW403" s="212"/>
      <c r="BX403" s="212"/>
      <c r="BY403" s="212"/>
      <c r="BZ403" s="212"/>
      <c r="CA403" s="212"/>
      <c r="CB403" s="212"/>
      <c r="CC403" s="212"/>
      <c r="CD403" s="212"/>
      <c r="CE403" s="212"/>
    </row>
    <row r="404" spans="1:83" x14ac:dyDescent="0.2">
      <c r="A404" s="1091">
        <v>141</v>
      </c>
      <c r="B404" s="1082" t="str">
        <f>IF(Stammblatt!$L$4=1,'Kalkulation Herstellungskosten'!BB404,'Kalkulation Herstellungskosten'!BC404)</f>
        <v>Sonstiges *)</v>
      </c>
      <c r="C404" s="317"/>
      <c r="D404" s="318"/>
      <c r="E404" s="319"/>
      <c r="F404" s="32">
        <v>0</v>
      </c>
      <c r="G404" s="1035"/>
      <c r="H404" s="1035"/>
      <c r="I404" s="1086"/>
      <c r="J404" s="347"/>
      <c r="K404" s="348"/>
      <c r="L404" s="348"/>
      <c r="M404" s="348"/>
      <c r="N404" s="349"/>
      <c r="O404" s="512"/>
      <c r="P404" s="506"/>
      <c r="Q404" s="507"/>
      <c r="R404" s="505"/>
      <c r="S404" s="514"/>
      <c r="T404" s="517"/>
      <c r="U404" s="505"/>
      <c r="V404" s="1053">
        <f t="shared" si="305"/>
        <v>0</v>
      </c>
      <c r="W404" s="1053">
        <f t="shared" si="306"/>
        <v>0</v>
      </c>
      <c r="X404" s="512"/>
      <c r="Y404" s="508"/>
      <c r="Z404" s="507"/>
      <c r="AA404" s="505"/>
      <c r="AB404" s="295"/>
      <c r="AC404" s="305"/>
      <c r="AD404" s="799"/>
      <c r="AE404" s="800"/>
      <c r="AF404" s="801"/>
      <c r="AG404" s="831">
        <f t="shared" si="307"/>
        <v>0</v>
      </c>
      <c r="AH404" s="799"/>
      <c r="AI404" s="800"/>
      <c r="AJ404" s="801"/>
      <c r="AK404" s="831">
        <f t="shared" si="308"/>
        <v>0</v>
      </c>
      <c r="AL404" s="799"/>
      <c r="AM404" s="800"/>
      <c r="AN404" s="801"/>
      <c r="AO404" s="831">
        <f t="shared" si="309"/>
        <v>0</v>
      </c>
      <c r="AP404" s="1079">
        <f t="shared" si="313"/>
        <v>0</v>
      </c>
      <c r="AQ404" s="1079">
        <f t="shared" si="314"/>
        <v>0</v>
      </c>
      <c r="AR404" s="1080">
        <f t="shared" si="315"/>
        <v>0</v>
      </c>
      <c r="AS404" s="307"/>
      <c r="AT404" s="307"/>
      <c r="AU404" s="307"/>
      <c r="AV404" s="307"/>
      <c r="AW404" s="307"/>
      <c r="AX404" s="307"/>
      <c r="AY404" s="307"/>
      <c r="AZ404" s="307"/>
      <c r="BA404" s="307"/>
      <c r="BB404" s="196" t="s">
        <v>41</v>
      </c>
      <c r="BC404" s="196" t="s">
        <v>365</v>
      </c>
      <c r="BD404" s="212"/>
      <c r="BE404" s="212"/>
      <c r="BF404" s="212"/>
      <c r="BG404" s="212"/>
      <c r="BH404" s="212"/>
      <c r="BI404" s="212"/>
      <c r="BJ404" s="212"/>
      <c r="BK404" s="212"/>
      <c r="BL404" s="212"/>
      <c r="BM404" s="212"/>
      <c r="BN404" s="212"/>
      <c r="BO404" s="212"/>
      <c r="BP404" s="212"/>
      <c r="BQ404" s="212"/>
      <c r="BR404" s="212"/>
      <c r="BS404" s="212"/>
      <c r="BT404" s="212"/>
      <c r="BU404" s="212"/>
      <c r="BV404" s="212"/>
      <c r="BW404" s="212"/>
      <c r="BX404" s="212"/>
      <c r="BY404" s="212"/>
      <c r="BZ404" s="212"/>
      <c r="CA404" s="212"/>
      <c r="CB404" s="212"/>
      <c r="CC404" s="212"/>
      <c r="CD404" s="212"/>
      <c r="CE404" s="212"/>
    </row>
    <row r="405" spans="1:83" x14ac:dyDescent="0.2">
      <c r="A405" s="1055"/>
      <c r="B405" s="496"/>
      <c r="C405" s="490"/>
      <c r="D405" s="328"/>
      <c r="E405" s="371"/>
      <c r="F405" s="371"/>
      <c r="G405" s="1056"/>
      <c r="H405" s="1056"/>
      <c r="I405" s="1057"/>
      <c r="J405" s="1058"/>
      <c r="K405" s="1056"/>
      <c r="L405" s="1056"/>
      <c r="M405" s="1056"/>
      <c r="N405" s="335"/>
      <c r="O405" s="1059"/>
      <c r="P405" s="1059"/>
      <c r="Q405" s="1059"/>
      <c r="R405" s="1059"/>
      <c r="S405" s="1046"/>
      <c r="T405" s="1060"/>
      <c r="U405" s="1041"/>
      <c r="V405" s="1041"/>
      <c r="W405" s="1041"/>
      <c r="X405" s="1059"/>
      <c r="Y405" s="1059"/>
      <c r="Z405" s="1059"/>
      <c r="AA405" s="1059"/>
      <c r="AB405" s="328"/>
      <c r="AC405" s="1062"/>
      <c r="AD405" s="822"/>
      <c r="AE405" s="832"/>
      <c r="AF405" s="832"/>
      <c r="AG405" s="832"/>
      <c r="AH405" s="822"/>
      <c r="AI405" s="832"/>
      <c r="AJ405" s="832"/>
      <c r="AK405" s="832"/>
      <c r="AL405" s="822"/>
      <c r="AM405" s="832"/>
      <c r="AN405" s="832"/>
      <c r="AO405" s="832"/>
      <c r="AP405" s="822"/>
      <c r="AQ405" s="822"/>
      <c r="AR405" s="822"/>
      <c r="AS405" s="307"/>
      <c r="AT405" s="307"/>
      <c r="AU405" s="307"/>
      <c r="AV405" s="307"/>
      <c r="AW405" s="307"/>
      <c r="AX405" s="307"/>
      <c r="AY405" s="307"/>
      <c r="AZ405" s="307"/>
      <c r="BA405" s="307"/>
      <c r="BB405" s="196"/>
      <c r="BC405" s="196"/>
      <c r="BD405" s="212"/>
      <c r="BE405" s="212"/>
      <c r="BF405" s="212"/>
      <c r="BG405" s="212"/>
      <c r="BH405" s="212"/>
      <c r="BI405" s="212"/>
      <c r="BJ405" s="212"/>
      <c r="BK405" s="212"/>
      <c r="BL405" s="212"/>
      <c r="BM405" s="212"/>
      <c r="BN405" s="212"/>
      <c r="BO405" s="212"/>
      <c r="BP405" s="212"/>
      <c r="BQ405" s="212"/>
      <c r="BR405" s="212"/>
      <c r="BS405" s="212"/>
      <c r="BT405" s="212"/>
      <c r="BU405" s="212"/>
      <c r="BV405" s="212"/>
      <c r="BW405" s="212"/>
      <c r="BX405" s="212"/>
      <c r="BY405" s="212"/>
      <c r="BZ405" s="212"/>
      <c r="CA405" s="212"/>
      <c r="CB405" s="212"/>
      <c r="CC405" s="212"/>
      <c r="CD405" s="212"/>
      <c r="CE405" s="212"/>
    </row>
    <row r="406" spans="1:83" x14ac:dyDescent="0.2">
      <c r="A406" s="1092"/>
      <c r="B406" s="1090" t="str">
        <f>IF(Stammblatt!$L$4=1,'Kalkulation Herstellungskosten'!BB406,'Kalkulation Herstellungskosten'!BC406)</f>
        <v>Σ-Schnitt, Synchronisation, Mischung</v>
      </c>
      <c r="C406" s="1152"/>
      <c r="D406" s="1153"/>
      <c r="E406" s="1154"/>
      <c r="F406" s="1154">
        <f>SUM(F391:F405)</f>
        <v>0</v>
      </c>
      <c r="G406" s="1154"/>
      <c r="H406" s="1154"/>
      <c r="I406" s="1155"/>
      <c r="J406" s="1156"/>
      <c r="K406" s="1154"/>
      <c r="L406" s="1154"/>
      <c r="M406" s="1154"/>
      <c r="N406" s="904"/>
      <c r="O406" s="90">
        <f t="shared" ref="O406:P406" si="316">SUM(O391:O405)</f>
        <v>0</v>
      </c>
      <c r="P406" s="90">
        <f t="shared" si="316"/>
        <v>0</v>
      </c>
      <c r="Q406" s="90">
        <f t="shared" ref="Q406:R406" si="317">SUM(Q391:Q405)</f>
        <v>0</v>
      </c>
      <c r="R406" s="90">
        <f t="shared" si="317"/>
        <v>0</v>
      </c>
      <c r="S406" s="1046"/>
      <c r="T406" s="511">
        <f>SUM(T391:T405)</f>
        <v>0</v>
      </c>
      <c r="U406" s="90">
        <f>SUM(U391:U405)</f>
        <v>0</v>
      </c>
      <c r="V406" s="90">
        <f>SUM(V391:V405)</f>
        <v>0</v>
      </c>
      <c r="W406" s="90">
        <f>ZS_7_Schnitt_Sync_Mischung-V406</f>
        <v>0</v>
      </c>
      <c r="X406" s="90">
        <f t="shared" ref="X406" si="318">SUM(X391:X405)</f>
        <v>0</v>
      </c>
      <c r="Y406" s="90">
        <f t="shared" ref="Y406:AA406" si="319">SUM(Y391:Y405)</f>
        <v>0</v>
      </c>
      <c r="Z406" s="90">
        <f t="shared" si="319"/>
        <v>0</v>
      </c>
      <c r="AA406" s="90">
        <f t="shared" si="319"/>
        <v>0</v>
      </c>
      <c r="AB406" s="328"/>
      <c r="AC406" s="1062"/>
      <c r="AD406" s="1158">
        <f t="shared" ref="AD406:AL406" si="320">SUM(AD391:AD405)</f>
        <v>0</v>
      </c>
      <c r="AE406" s="1037">
        <f t="shared" ref="AE406:AG406" si="321">SUM(AE391:AE405)</f>
        <v>0</v>
      </c>
      <c r="AF406" s="653">
        <f t="shared" si="321"/>
        <v>0</v>
      </c>
      <c r="AG406" s="653">
        <f t="shared" si="321"/>
        <v>0</v>
      </c>
      <c r="AH406" s="1158">
        <f t="shared" si="320"/>
        <v>0</v>
      </c>
      <c r="AI406" s="1037">
        <f t="shared" ref="AI406:AK406" si="322">SUM(AI391:AI405)</f>
        <v>0</v>
      </c>
      <c r="AJ406" s="653">
        <f t="shared" si="322"/>
        <v>0</v>
      </c>
      <c r="AK406" s="653">
        <f t="shared" si="322"/>
        <v>0</v>
      </c>
      <c r="AL406" s="1158">
        <f t="shared" si="320"/>
        <v>0</v>
      </c>
      <c r="AM406" s="1037">
        <f t="shared" ref="AM406:AO406" si="323">SUM(AM391:AM405)</f>
        <v>0</v>
      </c>
      <c r="AN406" s="653">
        <f t="shared" si="323"/>
        <v>0</v>
      </c>
      <c r="AO406" s="653">
        <f t="shared" si="323"/>
        <v>0</v>
      </c>
      <c r="AP406" s="653">
        <f t="shared" ref="AP406:AQ406" si="324">SUM(AP391:AP405)</f>
        <v>0</v>
      </c>
      <c r="AQ406" s="653">
        <f t="shared" si="324"/>
        <v>0</v>
      </c>
      <c r="AR406" s="1139">
        <f t="shared" ref="AR406" si="325">AP406-AQ406</f>
        <v>0</v>
      </c>
      <c r="AS406" s="307"/>
      <c r="AT406" s="307"/>
      <c r="AU406" s="307"/>
      <c r="AV406" s="307"/>
      <c r="AW406" s="307"/>
      <c r="AX406" s="307"/>
      <c r="AY406" s="307"/>
      <c r="AZ406" s="307"/>
      <c r="BA406" s="307"/>
      <c r="BB406" s="196" t="s">
        <v>233</v>
      </c>
      <c r="BC406" s="196" t="s">
        <v>431</v>
      </c>
      <c r="BD406" s="212"/>
      <c r="BE406" s="212"/>
      <c r="BF406" s="212"/>
      <c r="BG406" s="212"/>
      <c r="BH406" s="212"/>
      <c r="BI406" s="212"/>
      <c r="BJ406" s="212"/>
      <c r="BK406" s="212"/>
      <c r="BL406" s="212"/>
      <c r="BM406" s="212"/>
      <c r="BN406" s="212"/>
      <c r="BO406" s="212"/>
      <c r="BP406" s="212"/>
      <c r="BQ406" s="212"/>
      <c r="BR406" s="212"/>
      <c r="BS406" s="212"/>
      <c r="BT406" s="212"/>
      <c r="BU406" s="212"/>
      <c r="BV406" s="212"/>
      <c r="BW406" s="212"/>
      <c r="BX406" s="212"/>
      <c r="BY406" s="212"/>
      <c r="BZ406" s="212"/>
      <c r="CA406" s="212"/>
      <c r="CB406" s="212"/>
      <c r="CC406" s="212"/>
      <c r="CD406" s="212"/>
      <c r="CE406" s="212"/>
    </row>
    <row r="407" spans="1:83" x14ac:dyDescent="0.2">
      <c r="A407" s="1055"/>
      <c r="B407" s="496"/>
      <c r="C407" s="490"/>
      <c r="D407" s="328"/>
      <c r="E407" s="371"/>
      <c r="F407" s="371"/>
      <c r="G407" s="1056"/>
      <c r="H407" s="1056"/>
      <c r="I407" s="1057"/>
      <c r="J407" s="1058"/>
      <c r="K407" s="1056"/>
      <c r="L407" s="1056"/>
      <c r="M407" s="1056"/>
      <c r="N407" s="335"/>
      <c r="O407" s="1059"/>
      <c r="P407" s="1059"/>
      <c r="Q407" s="1059"/>
      <c r="R407" s="1059"/>
      <c r="S407" s="1046"/>
      <c r="T407" s="1060"/>
      <c r="U407" s="1041"/>
      <c r="V407" s="1041"/>
      <c r="W407" s="1041"/>
      <c r="X407" s="1041"/>
      <c r="Y407" s="1059"/>
      <c r="Z407" s="1059"/>
      <c r="AA407" s="1059"/>
      <c r="AB407" s="328"/>
      <c r="AC407" s="1062"/>
      <c r="AD407" s="822"/>
      <c r="AE407" s="832"/>
      <c r="AF407" s="832"/>
      <c r="AG407" s="832"/>
      <c r="AH407" s="822"/>
      <c r="AI407" s="832"/>
      <c r="AJ407" s="832"/>
      <c r="AK407" s="832"/>
      <c r="AL407" s="822"/>
      <c r="AM407" s="832"/>
      <c r="AN407" s="832"/>
      <c r="AO407" s="832"/>
      <c r="AP407" s="822"/>
      <c r="AQ407" s="822"/>
      <c r="AR407" s="822"/>
      <c r="AS407" s="307"/>
      <c r="AT407" s="307"/>
      <c r="AU407" s="307"/>
      <c r="AV407" s="307"/>
      <c r="AW407" s="307"/>
      <c r="AX407" s="307"/>
      <c r="AY407" s="307"/>
      <c r="AZ407" s="307"/>
      <c r="BA407" s="307"/>
      <c r="BB407" s="196"/>
      <c r="BC407" s="196"/>
      <c r="BD407" s="212"/>
      <c r="BE407" s="212"/>
      <c r="BF407" s="212"/>
      <c r="BG407" s="212"/>
      <c r="BH407" s="212"/>
      <c r="BI407" s="212"/>
      <c r="BJ407" s="212"/>
      <c r="BK407" s="212"/>
      <c r="BL407" s="212"/>
      <c r="BM407" s="212"/>
      <c r="BN407" s="212"/>
      <c r="BO407" s="212"/>
      <c r="BP407" s="212"/>
      <c r="BQ407" s="212"/>
      <c r="BR407" s="212"/>
      <c r="BS407" s="212"/>
      <c r="BT407" s="212"/>
      <c r="BU407" s="212"/>
      <c r="BV407" s="212"/>
      <c r="BW407" s="212"/>
      <c r="BX407" s="212"/>
      <c r="BY407" s="212"/>
      <c r="BZ407" s="212"/>
      <c r="CA407" s="212"/>
      <c r="CB407" s="212"/>
      <c r="CC407" s="212"/>
      <c r="CD407" s="212"/>
      <c r="CE407" s="212"/>
    </row>
    <row r="408" spans="1:83" x14ac:dyDescent="0.2">
      <c r="A408" s="1055"/>
      <c r="B408" s="496"/>
      <c r="C408" s="490"/>
      <c r="D408" s="328"/>
      <c r="E408" s="371"/>
      <c r="F408" s="371"/>
      <c r="G408" s="1056"/>
      <c r="H408" s="1056"/>
      <c r="I408" s="1057"/>
      <c r="J408" s="1058"/>
      <c r="K408" s="1056"/>
      <c r="L408" s="1056"/>
      <c r="M408" s="1056"/>
      <c r="N408" s="335"/>
      <c r="O408" s="1059"/>
      <c r="P408" s="1059"/>
      <c r="Q408" s="1059"/>
      <c r="R408" s="1059"/>
      <c r="S408" s="1046"/>
      <c r="T408" s="1060"/>
      <c r="U408" s="1041"/>
      <c r="V408" s="1041"/>
      <c r="W408" s="1041"/>
      <c r="X408" s="1041"/>
      <c r="Y408" s="1059"/>
      <c r="Z408" s="1059"/>
      <c r="AA408" s="1059"/>
      <c r="AB408" s="328"/>
      <c r="AC408" s="1062"/>
      <c r="AD408" s="822"/>
      <c r="AE408" s="832"/>
      <c r="AF408" s="832"/>
      <c r="AG408" s="832"/>
      <c r="AH408" s="822"/>
      <c r="AI408" s="832"/>
      <c r="AJ408" s="832"/>
      <c r="AK408" s="832"/>
      <c r="AL408" s="822"/>
      <c r="AM408" s="832"/>
      <c r="AN408" s="832"/>
      <c r="AO408" s="832"/>
      <c r="AP408" s="822"/>
      <c r="AQ408" s="822"/>
      <c r="AR408" s="822"/>
      <c r="AS408" s="307"/>
      <c r="AT408" s="307"/>
      <c r="AU408" s="307"/>
      <c r="AV408" s="307"/>
      <c r="AW408" s="307"/>
      <c r="AX408" s="307"/>
      <c r="AY408" s="307"/>
      <c r="AZ408" s="307"/>
      <c r="BA408" s="307"/>
      <c r="BB408" s="196"/>
      <c r="BC408" s="196"/>
      <c r="BD408" s="212"/>
      <c r="BE408" s="212"/>
      <c r="BF408" s="212"/>
      <c r="BG408" s="212"/>
      <c r="BH408" s="212"/>
      <c r="BI408" s="212"/>
      <c r="BJ408" s="212"/>
      <c r="BK408" s="212"/>
      <c r="BL408" s="212"/>
      <c r="BM408" s="212"/>
      <c r="BN408" s="212"/>
      <c r="BO408" s="212"/>
      <c r="BP408" s="212"/>
      <c r="BQ408" s="212"/>
      <c r="BR408" s="212"/>
      <c r="BS408" s="212"/>
      <c r="BT408" s="212"/>
      <c r="BU408" s="212"/>
      <c r="BV408" s="212"/>
      <c r="BW408" s="212"/>
      <c r="BX408" s="212"/>
      <c r="BY408" s="212"/>
      <c r="BZ408" s="212"/>
      <c r="CA408" s="212"/>
      <c r="CB408" s="212"/>
      <c r="CC408" s="212"/>
      <c r="CD408" s="212"/>
      <c r="CE408" s="212"/>
    </row>
    <row r="409" spans="1:83" s="24" customFormat="1" x14ac:dyDescent="0.2">
      <c r="A409" s="1066"/>
      <c r="B409" s="497" t="str">
        <f>IF(Stammblatt!$L$4=1,'Kalkulation Herstellungskosten'!BB409,'Kalkulation Herstellungskosten'!BC409)</f>
        <v>8. Bild- und Tonmaterial, Bearbeitung*)</v>
      </c>
      <c r="C409" s="379"/>
      <c r="D409" s="328" t="s">
        <v>600</v>
      </c>
      <c r="E409" s="329"/>
      <c r="F409" s="329"/>
      <c r="G409" s="1062"/>
      <c r="H409" s="1062"/>
      <c r="I409" s="1068"/>
      <c r="J409" s="1069"/>
      <c r="K409" s="1062"/>
      <c r="L409" s="1062"/>
      <c r="M409" s="1062"/>
      <c r="N409" s="1070"/>
      <c r="O409" s="1038"/>
      <c r="P409" s="1038"/>
      <c r="Q409" s="1038"/>
      <c r="R409" s="1038"/>
      <c r="S409" s="1046"/>
      <c r="T409" s="1071"/>
      <c r="U409" s="1040"/>
      <c r="V409" s="1040"/>
      <c r="W409" s="1040"/>
      <c r="X409" s="1040"/>
      <c r="Y409" s="1038"/>
      <c r="Z409" s="1038"/>
      <c r="AA409" s="1038"/>
      <c r="AB409" s="328"/>
      <c r="AC409" s="1062"/>
      <c r="AD409" s="1135"/>
      <c r="AE409" s="1138"/>
      <c r="AF409" s="1138"/>
      <c r="AG409" s="1138"/>
      <c r="AH409" s="1135"/>
      <c r="AI409" s="1138"/>
      <c r="AJ409" s="1138"/>
      <c r="AK409" s="1138"/>
      <c r="AL409" s="1135"/>
      <c r="AM409" s="1138"/>
      <c r="AN409" s="1138"/>
      <c r="AO409" s="1138"/>
      <c r="AP409" s="1135"/>
      <c r="AQ409" s="1135"/>
      <c r="AR409" s="1135"/>
      <c r="AS409" s="307"/>
      <c r="AT409" s="307"/>
      <c r="AU409" s="307"/>
      <c r="AV409" s="307"/>
      <c r="AW409" s="307"/>
      <c r="AX409" s="307"/>
      <c r="AY409" s="307"/>
      <c r="AZ409" s="307"/>
      <c r="BA409" s="307"/>
      <c r="BB409" s="196" t="s">
        <v>642</v>
      </c>
      <c r="BC409" s="196" t="s">
        <v>643</v>
      </c>
      <c r="BD409" s="308"/>
      <c r="BE409" s="308"/>
      <c r="BF409" s="308"/>
      <c r="BG409" s="308"/>
      <c r="BH409" s="308"/>
      <c r="BI409" s="308"/>
      <c r="BJ409" s="308"/>
      <c r="BK409" s="308"/>
      <c r="BL409" s="308"/>
      <c r="BM409" s="308"/>
      <c r="BN409" s="308"/>
      <c r="BO409" s="308"/>
      <c r="BP409" s="308"/>
      <c r="BQ409" s="308"/>
      <c r="BR409" s="308"/>
      <c r="BS409" s="308"/>
      <c r="BT409" s="308"/>
      <c r="BU409" s="308"/>
      <c r="BV409" s="308"/>
      <c r="BW409" s="308"/>
      <c r="BX409" s="308"/>
      <c r="BY409" s="308"/>
      <c r="BZ409" s="308"/>
      <c r="CA409" s="308"/>
      <c r="CB409" s="308"/>
      <c r="CC409" s="308"/>
      <c r="CD409" s="308"/>
      <c r="CE409" s="308"/>
    </row>
    <row r="410" spans="1:83" x14ac:dyDescent="0.2">
      <c r="A410" s="1091">
        <v>142</v>
      </c>
      <c r="B410" s="1082" t="str">
        <f>IF(Stammblatt!$L$4=1,'Kalkulation Herstellungskosten'!BB410,'Kalkulation Herstellungskosten'!BC410)</f>
        <v>Bild- und Tonmaterial</v>
      </c>
      <c r="C410" s="317"/>
      <c r="D410" s="492"/>
      <c r="E410" s="396"/>
      <c r="F410" s="396">
        <f>SUM(E411:E413)</f>
        <v>0</v>
      </c>
      <c r="G410" s="1035"/>
      <c r="H410" s="1035"/>
      <c r="I410" s="1086"/>
      <c r="J410" s="322"/>
      <c r="K410" s="320"/>
      <c r="L410" s="320"/>
      <c r="M410" s="320"/>
      <c r="N410" s="323"/>
      <c r="O410" s="512"/>
      <c r="P410" s="506"/>
      <c r="Q410" s="507"/>
      <c r="R410" s="505"/>
      <c r="S410" s="514"/>
      <c r="T410" s="517"/>
      <c r="U410" s="505"/>
      <c r="V410" s="1053">
        <f t="shared" ref="V410:V433" si="326">SUM(T410:U410)</f>
        <v>0</v>
      </c>
      <c r="W410" s="1053">
        <f>F410-V410</f>
        <v>0</v>
      </c>
      <c r="X410" s="512"/>
      <c r="Y410" s="508"/>
      <c r="Z410" s="507"/>
      <c r="AA410" s="505"/>
      <c r="AB410" s="295"/>
      <c r="AC410" s="305"/>
      <c r="AD410" s="799"/>
      <c r="AE410" s="800"/>
      <c r="AF410" s="801"/>
      <c r="AG410" s="831">
        <f t="shared" ref="AG410" si="327">SUM(AE410:AF410)</f>
        <v>0</v>
      </c>
      <c r="AH410" s="1172"/>
      <c r="AI410" s="800"/>
      <c r="AJ410" s="801"/>
      <c r="AK410" s="831">
        <f t="shared" ref="AK410" si="328">SUM(AI410:AJ410)</f>
        <v>0</v>
      </c>
      <c r="AL410" s="1172"/>
      <c r="AM410" s="800"/>
      <c r="AN410" s="801"/>
      <c r="AO410" s="831">
        <f t="shared" ref="AO410" si="329">SUM(AM410:AN410)</f>
        <v>0</v>
      </c>
      <c r="AP410" s="1079">
        <f t="shared" ref="AP410" si="330">SUM(F410,AD410,AH410,AL410)</f>
        <v>0</v>
      </c>
      <c r="AQ410" s="1079">
        <f t="shared" ref="AQ410" si="331">SUM(AO410,AK410,AG410,V410)</f>
        <v>0</v>
      </c>
      <c r="AR410" s="1080">
        <f t="shared" ref="AR410" si="332">AP410-AQ410</f>
        <v>0</v>
      </c>
      <c r="AS410" s="307"/>
      <c r="AT410" s="307"/>
      <c r="AU410" s="307"/>
      <c r="AV410" s="307"/>
      <c r="AW410" s="307"/>
      <c r="AX410" s="307"/>
      <c r="AY410" s="307"/>
      <c r="AZ410" s="307"/>
      <c r="BA410" s="307"/>
      <c r="BB410" s="196" t="s">
        <v>635</v>
      </c>
      <c r="BC410" s="196" t="s">
        <v>636</v>
      </c>
      <c r="BD410" s="212"/>
      <c r="BE410" s="212"/>
      <c r="BF410" s="212"/>
      <c r="BG410" s="212"/>
      <c r="BH410" s="212"/>
      <c r="BI410" s="212"/>
      <c r="BJ410" s="212"/>
      <c r="BK410" s="212"/>
      <c r="BL410" s="212"/>
      <c r="BM410" s="212"/>
      <c r="BN410" s="212"/>
      <c r="BO410" s="212"/>
      <c r="BP410" s="212"/>
      <c r="BQ410" s="212"/>
      <c r="BR410" s="212"/>
      <c r="BS410" s="212"/>
      <c r="BT410" s="212"/>
      <c r="BU410" s="212"/>
      <c r="BV410" s="212"/>
      <c r="BW410" s="212"/>
      <c r="BX410" s="212"/>
      <c r="BY410" s="212"/>
      <c r="BZ410" s="212"/>
      <c r="CA410" s="212"/>
      <c r="CB410" s="212"/>
      <c r="CC410" s="212"/>
      <c r="CD410" s="212"/>
      <c r="CE410" s="212"/>
    </row>
    <row r="411" spans="1:83" x14ac:dyDescent="0.2">
      <c r="A411" s="1091" t="s">
        <v>1124</v>
      </c>
      <c r="B411" s="1115" t="str">
        <f>IF(Stammblatt!$L$4=1,'Kalkulation Herstellungskosten'!BB411,'Kalkulation Herstellungskosten'!BC411)</f>
        <v>analoges Material</v>
      </c>
      <c r="C411" s="317"/>
      <c r="D411" s="318"/>
      <c r="E411" s="32">
        <v>0</v>
      </c>
      <c r="F411" s="514"/>
      <c r="G411" s="514"/>
      <c r="H411" s="514"/>
      <c r="I411" s="514"/>
      <c r="J411" s="514"/>
      <c r="K411" s="514"/>
      <c r="L411" s="514"/>
      <c r="M411" s="514"/>
      <c r="N411" s="514"/>
      <c r="O411" s="514"/>
      <c r="P411" s="514"/>
      <c r="Q411" s="514"/>
      <c r="R411" s="514"/>
      <c r="S411" s="1046"/>
      <c r="T411" s="1060"/>
      <c r="U411" s="328"/>
      <c r="V411" s="328"/>
      <c r="W411" s="328"/>
      <c r="X411" s="328"/>
      <c r="Y411" s="328"/>
      <c r="Z411" s="328"/>
      <c r="AA411" s="328"/>
      <c r="AB411" s="328"/>
      <c r="AC411" s="1062"/>
      <c r="AD411" s="328"/>
      <c r="AE411" s="832"/>
      <c r="AF411" s="832"/>
      <c r="AG411" s="832"/>
      <c r="AH411" s="1174"/>
      <c r="AI411" s="1175"/>
      <c r="AJ411" s="832"/>
      <c r="AK411" s="832"/>
      <c r="AL411" s="1174"/>
      <c r="AM411" s="1175"/>
      <c r="AN411" s="832"/>
      <c r="AO411" s="832"/>
      <c r="AP411" s="822"/>
      <c r="AQ411" s="822"/>
      <c r="AR411" s="822"/>
      <c r="AS411" s="307"/>
      <c r="AT411" s="307"/>
      <c r="AU411" s="307"/>
      <c r="AV411" s="307"/>
      <c r="AW411" s="307"/>
      <c r="AX411" s="307"/>
      <c r="AY411" s="307"/>
      <c r="AZ411" s="307"/>
      <c r="BA411" s="307"/>
      <c r="BB411" s="196" t="s">
        <v>637</v>
      </c>
      <c r="BC411" s="196" t="s">
        <v>660</v>
      </c>
      <c r="BD411" s="212"/>
      <c r="BE411" s="212"/>
      <c r="BF411" s="212"/>
      <c r="BG411" s="212"/>
      <c r="BH411" s="212"/>
      <c r="BI411" s="212"/>
      <c r="BJ411" s="212"/>
      <c r="BK411" s="212"/>
      <c r="BL411" s="212"/>
      <c r="BM411" s="212"/>
      <c r="BN411" s="212"/>
      <c r="BO411" s="212"/>
      <c r="BP411" s="212"/>
      <c r="BQ411" s="212"/>
      <c r="BR411" s="212"/>
      <c r="BS411" s="212"/>
      <c r="BT411" s="212"/>
      <c r="BU411" s="212"/>
      <c r="BV411" s="212"/>
      <c r="BW411" s="212"/>
      <c r="BX411" s="212"/>
      <c r="BY411" s="212"/>
      <c r="BZ411" s="212"/>
      <c r="CA411" s="212"/>
      <c r="CB411" s="212"/>
      <c r="CC411" s="212"/>
      <c r="CD411" s="212"/>
      <c r="CE411" s="212"/>
    </row>
    <row r="412" spans="1:83" x14ac:dyDescent="0.2">
      <c r="A412" s="1091" t="s">
        <v>1125</v>
      </c>
      <c r="B412" s="1115" t="str">
        <f>IF(Stammblatt!$L$4=1,'Kalkulation Herstellungskosten'!BB412,'Kalkulation Herstellungskosten'!BC412)</f>
        <v>Speichermedien</v>
      </c>
      <c r="C412" s="317"/>
      <c r="D412" s="318"/>
      <c r="E412" s="32">
        <v>0</v>
      </c>
      <c r="F412" s="514"/>
      <c r="G412" s="514"/>
      <c r="H412" s="514"/>
      <c r="I412" s="514"/>
      <c r="J412" s="514"/>
      <c r="K412" s="514"/>
      <c r="L412" s="514"/>
      <c r="M412" s="514"/>
      <c r="N412" s="514"/>
      <c r="O412" s="514"/>
      <c r="P412" s="514"/>
      <c r="Q412" s="514"/>
      <c r="R412" s="514"/>
      <c r="S412" s="1046"/>
      <c r="T412" s="1060"/>
      <c r="U412" s="328"/>
      <c r="V412" s="328"/>
      <c r="W412" s="328"/>
      <c r="X412" s="328"/>
      <c r="Y412" s="328"/>
      <c r="Z412" s="328"/>
      <c r="AA412" s="328"/>
      <c r="AB412" s="328"/>
      <c r="AC412" s="1062"/>
      <c r="AD412" s="328"/>
      <c r="AE412" s="328"/>
      <c r="AF412" s="832"/>
      <c r="AG412" s="832"/>
      <c r="AH412" s="1174"/>
      <c r="AI412" s="1175"/>
      <c r="AJ412" s="832"/>
      <c r="AK412" s="832"/>
      <c r="AL412" s="1174"/>
      <c r="AM412" s="1175"/>
      <c r="AN412" s="832"/>
      <c r="AO412" s="832"/>
      <c r="AP412" s="822"/>
      <c r="AQ412" s="822"/>
      <c r="AR412" s="822"/>
      <c r="AS412" s="307"/>
      <c r="AT412" s="307"/>
      <c r="AU412" s="307"/>
      <c r="AV412" s="307"/>
      <c r="AW412" s="307"/>
      <c r="AX412" s="307"/>
      <c r="AY412" s="307"/>
      <c r="AZ412" s="307"/>
      <c r="BA412" s="307"/>
      <c r="BB412" s="196" t="s">
        <v>638</v>
      </c>
      <c r="BC412" s="196" t="s">
        <v>661</v>
      </c>
      <c r="BD412" s="212"/>
      <c r="BE412" s="212"/>
      <c r="BF412" s="212"/>
      <c r="BG412" s="212"/>
      <c r="BH412" s="212"/>
      <c r="BI412" s="212"/>
      <c r="BJ412" s="212"/>
      <c r="BK412" s="212"/>
      <c r="BL412" s="212"/>
      <c r="BM412" s="212"/>
      <c r="BN412" s="212"/>
      <c r="BO412" s="212"/>
      <c r="BP412" s="212"/>
      <c r="BQ412" s="212"/>
      <c r="BR412" s="212"/>
      <c r="BS412" s="212"/>
      <c r="BT412" s="212"/>
      <c r="BU412" s="212"/>
      <c r="BV412" s="212"/>
      <c r="BW412" s="212"/>
      <c r="BX412" s="212"/>
      <c r="BY412" s="212"/>
      <c r="BZ412" s="212"/>
      <c r="CA412" s="212"/>
      <c r="CB412" s="212"/>
      <c r="CC412" s="212"/>
      <c r="CD412" s="212"/>
      <c r="CE412" s="212"/>
    </row>
    <row r="413" spans="1:83" x14ac:dyDescent="0.2">
      <c r="A413" s="1091" t="s">
        <v>1126</v>
      </c>
      <c r="B413" s="1115" t="str">
        <f>IF(Stammblatt!$L$4=1,'Kalkulation Herstellungskosten'!BB413,'Kalkulation Herstellungskosten'!BC413)</f>
        <v>Sonstiges</v>
      </c>
      <c r="C413" s="317"/>
      <c r="D413" s="318"/>
      <c r="E413" s="32">
        <v>0</v>
      </c>
      <c r="F413" s="514"/>
      <c r="G413" s="514"/>
      <c r="H413" s="514"/>
      <c r="I413" s="514"/>
      <c r="J413" s="514"/>
      <c r="K413" s="514"/>
      <c r="L413" s="514"/>
      <c r="M413" s="514"/>
      <c r="N413" s="514"/>
      <c r="O413" s="514"/>
      <c r="P413" s="514"/>
      <c r="Q413" s="514"/>
      <c r="R413" s="514"/>
      <c r="S413" s="1046"/>
      <c r="T413" s="1071"/>
      <c r="U413" s="328"/>
      <c r="V413" s="328"/>
      <c r="W413" s="328"/>
      <c r="X413" s="328"/>
      <c r="Y413" s="328"/>
      <c r="Z413" s="328"/>
      <c r="AA413" s="328"/>
      <c r="AB413" s="328"/>
      <c r="AC413" s="1062"/>
      <c r="AD413" s="328"/>
      <c r="AE413" s="328"/>
      <c r="AF413" s="832"/>
      <c r="AG413" s="832"/>
      <c r="AH413" s="1174"/>
      <c r="AI413" s="1175"/>
      <c r="AJ413" s="832"/>
      <c r="AK413" s="832"/>
      <c r="AL413" s="1174"/>
      <c r="AM413" s="1175"/>
      <c r="AN413" s="832"/>
      <c r="AO413" s="832"/>
      <c r="AP413" s="822"/>
      <c r="AQ413" s="822"/>
      <c r="AR413" s="822"/>
      <c r="AS413" s="307"/>
      <c r="AT413" s="307"/>
      <c r="AU413" s="307"/>
      <c r="AV413" s="307"/>
      <c r="AW413" s="307"/>
      <c r="AX413" s="307"/>
      <c r="AY413" s="307"/>
      <c r="AZ413" s="307"/>
      <c r="BA413" s="307"/>
      <c r="BB413" s="196" t="s">
        <v>639</v>
      </c>
      <c r="BC413" s="196" t="s">
        <v>365</v>
      </c>
      <c r="BD413" s="212"/>
      <c r="BE413" s="212"/>
      <c r="BF413" s="212"/>
      <c r="BG413" s="212"/>
      <c r="BH413" s="212"/>
      <c r="BI413" s="212"/>
      <c r="BJ413" s="212"/>
      <c r="BK413" s="212"/>
      <c r="BL413" s="212"/>
      <c r="BM413" s="212"/>
      <c r="BN413" s="212"/>
      <c r="BO413" s="212"/>
      <c r="BP413" s="212"/>
      <c r="BQ413" s="212"/>
      <c r="BR413" s="212"/>
      <c r="BS413" s="212"/>
      <c r="BT413" s="212"/>
      <c r="BU413" s="212"/>
      <c r="BV413" s="212"/>
      <c r="BW413" s="212"/>
      <c r="BX413" s="212"/>
      <c r="BY413" s="212"/>
      <c r="BZ413" s="212"/>
      <c r="CA413" s="212"/>
      <c r="CB413" s="212"/>
      <c r="CC413" s="212"/>
      <c r="CD413" s="212"/>
      <c r="CE413" s="212"/>
    </row>
    <row r="414" spans="1:83" x14ac:dyDescent="0.2">
      <c r="A414" s="1091">
        <v>143</v>
      </c>
      <c r="B414" s="1082" t="str">
        <f>IF(Stammblatt!$L$4=1,'Kalkulation Herstellungskosten'!BB414,'Kalkulation Herstellungskosten'!BC414)</f>
        <v>Negativentwicklung und Muster</v>
      </c>
      <c r="C414" s="317"/>
      <c r="D414" s="318"/>
      <c r="E414" s="319"/>
      <c r="F414" s="32">
        <v>0</v>
      </c>
      <c r="G414" s="320"/>
      <c r="H414" s="320"/>
      <c r="I414" s="321"/>
      <c r="J414" s="347"/>
      <c r="K414" s="348"/>
      <c r="L414" s="348"/>
      <c r="M414" s="348"/>
      <c r="N414" s="349"/>
      <c r="O414" s="512"/>
      <c r="P414" s="506"/>
      <c r="Q414" s="507"/>
      <c r="R414" s="505"/>
      <c r="S414" s="514"/>
      <c r="T414" s="517"/>
      <c r="U414" s="505"/>
      <c r="V414" s="1053">
        <f t="shared" si="326"/>
        <v>0</v>
      </c>
      <c r="W414" s="1053">
        <f t="shared" ref="W414:W419" si="333">F414-V414</f>
        <v>0</v>
      </c>
      <c r="X414" s="512"/>
      <c r="Y414" s="508"/>
      <c r="Z414" s="507"/>
      <c r="AA414" s="505"/>
      <c r="AB414" s="295"/>
      <c r="AC414" s="305"/>
      <c r="AD414" s="1173"/>
      <c r="AE414" s="800"/>
      <c r="AF414" s="801"/>
      <c r="AG414" s="831">
        <f t="shared" ref="AG414:AG419" si="334">SUM(AE414:AF414)</f>
        <v>0</v>
      </c>
      <c r="AH414" s="1173"/>
      <c r="AI414" s="800"/>
      <c r="AJ414" s="801"/>
      <c r="AK414" s="831">
        <f t="shared" ref="AK414:AK419" si="335">SUM(AI414:AJ414)</f>
        <v>0</v>
      </c>
      <c r="AL414" s="1173"/>
      <c r="AM414" s="800"/>
      <c r="AN414" s="801"/>
      <c r="AO414" s="831">
        <f t="shared" ref="AO414:AO419" si="336">SUM(AM414:AN414)</f>
        <v>0</v>
      </c>
      <c r="AP414" s="1079">
        <f t="shared" ref="AP414" si="337">SUM(F414,AD414,AH414,AL414)</f>
        <v>0</v>
      </c>
      <c r="AQ414" s="1079">
        <f t="shared" ref="AQ414" si="338">SUM(AO414,AK414,AG414,V414)</f>
        <v>0</v>
      </c>
      <c r="AR414" s="1080">
        <f t="shared" ref="AR414" si="339">AP414-AQ414</f>
        <v>0</v>
      </c>
      <c r="AS414" s="307"/>
      <c r="AT414" s="307"/>
      <c r="AU414" s="307"/>
      <c r="AV414" s="307"/>
      <c r="AW414" s="307"/>
      <c r="AX414" s="307"/>
      <c r="AY414" s="307"/>
      <c r="AZ414" s="307"/>
      <c r="BA414" s="307"/>
      <c r="BB414" s="196" t="s">
        <v>205</v>
      </c>
      <c r="BC414" s="196" t="s">
        <v>485</v>
      </c>
      <c r="BD414" s="212"/>
      <c r="BE414" s="212"/>
      <c r="BF414" s="212"/>
      <c r="BG414" s="212"/>
      <c r="BH414" s="212"/>
      <c r="BI414" s="212"/>
      <c r="BJ414" s="212"/>
      <c r="BK414" s="212"/>
      <c r="BL414" s="212"/>
      <c r="BM414" s="212"/>
      <c r="BN414" s="212"/>
      <c r="BO414" s="212"/>
      <c r="BP414" s="212"/>
      <c r="BQ414" s="212"/>
      <c r="BR414" s="212"/>
      <c r="BS414" s="212"/>
      <c r="BT414" s="212"/>
      <c r="BU414" s="212"/>
      <c r="BV414" s="212"/>
      <c r="BW414" s="212"/>
      <c r="BX414" s="212"/>
      <c r="BY414" s="212"/>
      <c r="BZ414" s="212"/>
      <c r="CA414" s="212"/>
      <c r="CB414" s="212"/>
      <c r="CC414" s="212"/>
      <c r="CD414" s="212"/>
      <c r="CE414" s="212"/>
    </row>
    <row r="415" spans="1:83" x14ac:dyDescent="0.2">
      <c r="A415" s="1091">
        <v>144</v>
      </c>
      <c r="B415" s="1082" t="str">
        <f>IF(Stammblatt!$L$4=1,'Kalkulation Herstellungskosten'!BB415,'Kalkulation Herstellungskosten'!BC415)</f>
        <v>Negativbearbeitung</v>
      </c>
      <c r="C415" s="317"/>
      <c r="D415" s="318"/>
      <c r="E415" s="319"/>
      <c r="F415" s="32">
        <v>0</v>
      </c>
      <c r="G415" s="320"/>
      <c r="H415" s="320"/>
      <c r="I415" s="321"/>
      <c r="J415" s="347"/>
      <c r="K415" s="348"/>
      <c r="L415" s="348"/>
      <c r="M415" s="348"/>
      <c r="N415" s="349"/>
      <c r="O415" s="512"/>
      <c r="P415" s="506"/>
      <c r="Q415" s="507"/>
      <c r="R415" s="505"/>
      <c r="S415" s="514"/>
      <c r="T415" s="517"/>
      <c r="U415" s="505"/>
      <c r="V415" s="1053">
        <f t="shared" si="326"/>
        <v>0</v>
      </c>
      <c r="W415" s="1053">
        <f t="shared" si="333"/>
        <v>0</v>
      </c>
      <c r="X415" s="512"/>
      <c r="Y415" s="508"/>
      <c r="Z415" s="507"/>
      <c r="AA415" s="505"/>
      <c r="AB415" s="295"/>
      <c r="AC415" s="305"/>
      <c r="AD415" s="799"/>
      <c r="AE415" s="800"/>
      <c r="AF415" s="801"/>
      <c r="AG415" s="831">
        <f t="shared" si="334"/>
        <v>0</v>
      </c>
      <c r="AH415" s="799"/>
      <c r="AI415" s="800"/>
      <c r="AJ415" s="801"/>
      <c r="AK415" s="831">
        <f t="shared" si="335"/>
        <v>0</v>
      </c>
      <c r="AL415" s="799"/>
      <c r="AM415" s="800"/>
      <c r="AN415" s="801"/>
      <c r="AO415" s="831">
        <f t="shared" si="336"/>
        <v>0</v>
      </c>
      <c r="AP415" s="1079">
        <f t="shared" ref="AP415:AP419" si="340">SUM(F415,AD415,AH415,AL415)</f>
        <v>0</v>
      </c>
      <c r="AQ415" s="1079">
        <f t="shared" ref="AQ415:AQ419" si="341">SUM(AO415,AK415,AG415,V415)</f>
        <v>0</v>
      </c>
      <c r="AR415" s="1080">
        <f t="shared" ref="AR415:AR419" si="342">AP415-AQ415</f>
        <v>0</v>
      </c>
      <c r="AS415" s="307"/>
      <c r="AT415" s="307"/>
      <c r="AU415" s="307"/>
      <c r="AV415" s="307"/>
      <c r="AW415" s="307"/>
      <c r="AX415" s="307"/>
      <c r="AY415" s="307"/>
      <c r="AZ415" s="307"/>
      <c r="BA415" s="307"/>
      <c r="BB415" s="196" t="s">
        <v>204</v>
      </c>
      <c r="BC415" s="196" t="s">
        <v>395</v>
      </c>
      <c r="BD415" s="212"/>
      <c r="BE415" s="212"/>
      <c r="BF415" s="212"/>
      <c r="BG415" s="212"/>
      <c r="BH415" s="212"/>
      <c r="BI415" s="212"/>
      <c r="BJ415" s="212"/>
      <c r="BK415" s="212"/>
      <c r="BL415" s="212"/>
      <c r="BM415" s="212"/>
      <c r="BN415" s="212"/>
      <c r="BO415" s="212"/>
      <c r="BP415" s="212"/>
      <c r="BQ415" s="212"/>
      <c r="BR415" s="212"/>
      <c r="BS415" s="212"/>
      <c r="BT415" s="212"/>
      <c r="BU415" s="212"/>
      <c r="BV415" s="212"/>
      <c r="BW415" s="212"/>
      <c r="BX415" s="212"/>
      <c r="BY415" s="212"/>
      <c r="BZ415" s="212"/>
      <c r="CA415" s="212"/>
      <c r="CB415" s="212"/>
      <c r="CC415" s="212"/>
      <c r="CD415" s="212"/>
      <c r="CE415" s="212"/>
    </row>
    <row r="416" spans="1:83" x14ac:dyDescent="0.2">
      <c r="A416" s="1091">
        <v>145</v>
      </c>
      <c r="B416" s="1082" t="str">
        <f>IF(Stammblatt!$L$4=1,'Kalkulation Herstellungskosten'!BB416,'Kalkulation Herstellungskosten'!BC416)</f>
        <v>Datenüberspielung/Sicherung</v>
      </c>
      <c r="C416" s="317"/>
      <c r="D416" s="318"/>
      <c r="E416" s="319"/>
      <c r="F416" s="32">
        <v>0</v>
      </c>
      <c r="G416" s="320"/>
      <c r="H416" s="320"/>
      <c r="I416" s="321"/>
      <c r="J416" s="347"/>
      <c r="K416" s="348"/>
      <c r="L416" s="348"/>
      <c r="M416" s="348"/>
      <c r="N416" s="349"/>
      <c r="O416" s="512"/>
      <c r="P416" s="506"/>
      <c r="Q416" s="507"/>
      <c r="R416" s="505"/>
      <c r="S416" s="514"/>
      <c r="T416" s="517"/>
      <c r="U416" s="505"/>
      <c r="V416" s="1053">
        <f t="shared" si="326"/>
        <v>0</v>
      </c>
      <c r="W416" s="1053">
        <f t="shared" si="333"/>
        <v>0</v>
      </c>
      <c r="X416" s="512"/>
      <c r="Y416" s="508"/>
      <c r="Z416" s="507"/>
      <c r="AA416" s="505"/>
      <c r="AB416" s="295"/>
      <c r="AC416" s="305"/>
      <c r="AD416" s="799"/>
      <c r="AE416" s="800"/>
      <c r="AF416" s="801"/>
      <c r="AG416" s="831">
        <f t="shared" si="334"/>
        <v>0</v>
      </c>
      <c r="AH416" s="799"/>
      <c r="AI416" s="800"/>
      <c r="AJ416" s="801"/>
      <c r="AK416" s="831">
        <f t="shared" si="335"/>
        <v>0</v>
      </c>
      <c r="AL416" s="799"/>
      <c r="AM416" s="800"/>
      <c r="AN416" s="801"/>
      <c r="AO416" s="831">
        <f t="shared" si="336"/>
        <v>0</v>
      </c>
      <c r="AP416" s="1079">
        <f t="shared" si="340"/>
        <v>0</v>
      </c>
      <c r="AQ416" s="1079">
        <f t="shared" si="341"/>
        <v>0</v>
      </c>
      <c r="AR416" s="1080">
        <f t="shared" si="342"/>
        <v>0</v>
      </c>
      <c r="AS416" s="307"/>
      <c r="AT416" s="307"/>
      <c r="AU416" s="307"/>
      <c r="AV416" s="307"/>
      <c r="AW416" s="307"/>
      <c r="AX416" s="307"/>
      <c r="AY416" s="307"/>
      <c r="AZ416" s="307"/>
      <c r="BA416" s="307"/>
      <c r="BB416" s="196" t="s">
        <v>641</v>
      </c>
      <c r="BC416" s="196" t="s">
        <v>640</v>
      </c>
      <c r="BD416" s="212"/>
      <c r="BE416" s="212"/>
      <c r="BF416" s="212"/>
      <c r="BG416" s="212"/>
      <c r="BH416" s="212"/>
      <c r="BI416" s="212"/>
      <c r="BJ416" s="212"/>
      <c r="BK416" s="212"/>
      <c r="BL416" s="212"/>
      <c r="BM416" s="212"/>
      <c r="BN416" s="212"/>
      <c r="BO416" s="212"/>
      <c r="BP416" s="212"/>
      <c r="BQ416" s="212"/>
      <c r="BR416" s="212"/>
      <c r="BS416" s="212"/>
      <c r="BT416" s="212"/>
      <c r="BU416" s="212"/>
      <c r="BV416" s="212"/>
      <c r="BW416" s="212"/>
      <c r="BX416" s="212"/>
      <c r="BY416" s="212"/>
      <c r="BZ416" s="212"/>
      <c r="CA416" s="212"/>
      <c r="CB416" s="212"/>
      <c r="CC416" s="212"/>
      <c r="CD416" s="212"/>
      <c r="CE416" s="212"/>
    </row>
    <row r="417" spans="1:83" x14ac:dyDescent="0.2">
      <c r="A417" s="1091">
        <v>146</v>
      </c>
      <c r="B417" s="1082" t="str">
        <f>IF(Stammblatt!$L$4=1,'Kalkulation Herstellungskosten'!BB417,'Kalkulation Herstellungskosten'!BC417)</f>
        <v>Titelgestaltung</v>
      </c>
      <c r="C417" s="317"/>
      <c r="D417" s="318"/>
      <c r="E417" s="319"/>
      <c r="F417" s="32">
        <v>0</v>
      </c>
      <c r="G417" s="320"/>
      <c r="H417" s="320"/>
      <c r="I417" s="321"/>
      <c r="J417" s="347"/>
      <c r="K417" s="348"/>
      <c r="L417" s="348"/>
      <c r="M417" s="348"/>
      <c r="N417" s="349"/>
      <c r="O417" s="512"/>
      <c r="P417" s="506"/>
      <c r="Q417" s="507"/>
      <c r="R417" s="505"/>
      <c r="S417" s="514"/>
      <c r="T417" s="517"/>
      <c r="U417" s="505"/>
      <c r="V417" s="1053">
        <f t="shared" si="326"/>
        <v>0</v>
      </c>
      <c r="W417" s="1053">
        <f t="shared" si="333"/>
        <v>0</v>
      </c>
      <c r="X417" s="512"/>
      <c r="Y417" s="508"/>
      <c r="Z417" s="507"/>
      <c r="AA417" s="505"/>
      <c r="AB417" s="295"/>
      <c r="AC417" s="305"/>
      <c r="AD417" s="799"/>
      <c r="AE417" s="800"/>
      <c r="AF417" s="801"/>
      <c r="AG417" s="831">
        <f t="shared" si="334"/>
        <v>0</v>
      </c>
      <c r="AH417" s="799"/>
      <c r="AI417" s="800"/>
      <c r="AJ417" s="801"/>
      <c r="AK417" s="831">
        <f t="shared" si="335"/>
        <v>0</v>
      </c>
      <c r="AL417" s="799"/>
      <c r="AM417" s="800"/>
      <c r="AN417" s="801"/>
      <c r="AO417" s="831">
        <f t="shared" si="336"/>
        <v>0</v>
      </c>
      <c r="AP417" s="1079">
        <f t="shared" si="340"/>
        <v>0</v>
      </c>
      <c r="AQ417" s="1079">
        <f t="shared" si="341"/>
        <v>0</v>
      </c>
      <c r="AR417" s="1080">
        <f t="shared" si="342"/>
        <v>0</v>
      </c>
      <c r="AS417" s="307"/>
      <c r="AT417" s="307"/>
      <c r="AU417" s="307"/>
      <c r="AV417" s="307"/>
      <c r="AW417" s="307"/>
      <c r="AX417" s="307"/>
      <c r="AY417" s="307"/>
      <c r="AZ417" s="307"/>
      <c r="BA417" s="307"/>
      <c r="BB417" s="196" t="s">
        <v>644</v>
      </c>
      <c r="BC417" s="196" t="s">
        <v>645</v>
      </c>
      <c r="BD417" s="212"/>
      <c r="BE417" s="212"/>
      <c r="BF417" s="212"/>
      <c r="BG417" s="212"/>
      <c r="BH417" s="212"/>
      <c r="BI417" s="212"/>
      <c r="BJ417" s="212"/>
      <c r="BK417" s="212"/>
      <c r="BL417" s="212"/>
      <c r="BM417" s="212"/>
      <c r="BN417" s="212"/>
      <c r="BO417" s="212"/>
      <c r="BP417" s="212"/>
      <c r="BQ417" s="212"/>
      <c r="BR417" s="212"/>
      <c r="BS417" s="212"/>
      <c r="BT417" s="212"/>
      <c r="BU417" s="212"/>
      <c r="BV417" s="212"/>
      <c r="BW417" s="212"/>
      <c r="BX417" s="212"/>
      <c r="BY417" s="212"/>
      <c r="BZ417" s="212"/>
      <c r="CA417" s="212"/>
      <c r="CB417" s="212"/>
      <c r="CC417" s="212"/>
      <c r="CD417" s="212"/>
      <c r="CE417" s="212"/>
    </row>
    <row r="418" spans="1:83" x14ac:dyDescent="0.2">
      <c r="A418" s="1091">
        <v>147</v>
      </c>
      <c r="B418" s="1082" t="str">
        <f>IF(Stammblatt!$L$4=1,'Kalkulation Herstellungskosten'!BB418,'Kalkulation Herstellungskosten'!BC418)</f>
        <v>Filmtricks (Animation, CGI, VFX)</v>
      </c>
      <c r="C418" s="317"/>
      <c r="D418" s="318"/>
      <c r="E418" s="319"/>
      <c r="F418" s="32">
        <v>0</v>
      </c>
      <c r="G418" s="320"/>
      <c r="H418" s="320"/>
      <c r="I418" s="321"/>
      <c r="J418" s="347"/>
      <c r="K418" s="348"/>
      <c r="L418" s="348"/>
      <c r="M418" s="348"/>
      <c r="N418" s="349"/>
      <c r="O418" s="512"/>
      <c r="P418" s="506"/>
      <c r="Q418" s="507"/>
      <c r="R418" s="505"/>
      <c r="S418" s="514"/>
      <c r="T418" s="517"/>
      <c r="U418" s="505"/>
      <c r="V418" s="1053">
        <f t="shared" si="326"/>
        <v>0</v>
      </c>
      <c r="W418" s="1053">
        <f t="shared" si="333"/>
        <v>0</v>
      </c>
      <c r="X418" s="512"/>
      <c r="Y418" s="508"/>
      <c r="Z418" s="507"/>
      <c r="AA418" s="505"/>
      <c r="AB418" s="295"/>
      <c r="AC418" s="305"/>
      <c r="AD418" s="799"/>
      <c r="AE418" s="800"/>
      <c r="AF418" s="801"/>
      <c r="AG418" s="831">
        <f t="shared" si="334"/>
        <v>0</v>
      </c>
      <c r="AH418" s="799"/>
      <c r="AI418" s="800"/>
      <c r="AJ418" s="801"/>
      <c r="AK418" s="831">
        <f t="shared" si="335"/>
        <v>0</v>
      </c>
      <c r="AL418" s="799"/>
      <c r="AM418" s="800"/>
      <c r="AN418" s="801"/>
      <c r="AO418" s="831">
        <f t="shared" si="336"/>
        <v>0</v>
      </c>
      <c r="AP418" s="1079">
        <f t="shared" si="340"/>
        <v>0</v>
      </c>
      <c r="AQ418" s="1079">
        <f t="shared" si="341"/>
        <v>0</v>
      </c>
      <c r="AR418" s="1080">
        <f t="shared" si="342"/>
        <v>0</v>
      </c>
      <c r="AS418" s="307"/>
      <c r="AT418" s="307"/>
      <c r="AU418" s="307"/>
      <c r="AV418" s="307"/>
      <c r="AW418" s="307"/>
      <c r="AX418" s="307"/>
      <c r="AY418" s="307"/>
      <c r="AZ418" s="307"/>
      <c r="BA418" s="307"/>
      <c r="BB418" s="196" t="s">
        <v>646</v>
      </c>
      <c r="BC418" s="196" t="s">
        <v>647</v>
      </c>
      <c r="BD418" s="212"/>
      <c r="BE418" s="212"/>
      <c r="BF418" s="212"/>
      <c r="BG418" s="212"/>
      <c r="BH418" s="212"/>
      <c r="BI418" s="212"/>
      <c r="BJ418" s="212"/>
      <c r="BK418" s="212"/>
      <c r="BL418" s="212"/>
      <c r="BM418" s="212"/>
      <c r="BN418" s="212"/>
      <c r="BO418" s="212"/>
      <c r="BP418" s="212"/>
      <c r="BQ418" s="212"/>
      <c r="BR418" s="212"/>
      <c r="BS418" s="212"/>
      <c r="BT418" s="212"/>
      <c r="BU418" s="212"/>
      <c r="BV418" s="212"/>
      <c r="BW418" s="212"/>
      <c r="BX418" s="212"/>
      <c r="BY418" s="212"/>
      <c r="BZ418" s="212"/>
      <c r="CA418" s="212"/>
      <c r="CB418" s="212"/>
      <c r="CC418" s="212"/>
      <c r="CD418" s="212"/>
      <c r="CE418" s="212"/>
    </row>
    <row r="419" spans="1:83" x14ac:dyDescent="0.2">
      <c r="A419" s="1091">
        <v>148</v>
      </c>
      <c r="B419" s="1082" t="str">
        <f>IF(Stammblatt!$L$4=1,'Kalkulation Herstellungskosten'!BB419,'Kalkulation Herstellungskosten'!BC419)</f>
        <v>Sonstige Bildbearbeitung</v>
      </c>
      <c r="C419" s="317"/>
      <c r="D419" s="318"/>
      <c r="E419" s="319"/>
      <c r="F419" s="396">
        <f>SUM(E420:E423)</f>
        <v>0</v>
      </c>
      <c r="G419" s="320"/>
      <c r="H419" s="320"/>
      <c r="I419" s="321"/>
      <c r="J419" s="347"/>
      <c r="K419" s="348"/>
      <c r="L419" s="348"/>
      <c r="M419" s="348"/>
      <c r="N419" s="349"/>
      <c r="O419" s="512"/>
      <c r="P419" s="506"/>
      <c r="Q419" s="507"/>
      <c r="R419" s="505"/>
      <c r="S419" s="514"/>
      <c r="T419" s="517"/>
      <c r="U419" s="505"/>
      <c r="V419" s="1053">
        <f t="shared" si="326"/>
        <v>0</v>
      </c>
      <c r="W419" s="1053">
        <f t="shared" si="333"/>
        <v>0</v>
      </c>
      <c r="X419" s="512"/>
      <c r="Y419" s="508"/>
      <c r="Z419" s="507"/>
      <c r="AA419" s="505"/>
      <c r="AB419" s="295"/>
      <c r="AC419" s="305"/>
      <c r="AD419" s="799"/>
      <c r="AE419" s="800"/>
      <c r="AF419" s="801"/>
      <c r="AG419" s="831">
        <f t="shared" si="334"/>
        <v>0</v>
      </c>
      <c r="AH419" s="799"/>
      <c r="AI419" s="800"/>
      <c r="AJ419" s="801"/>
      <c r="AK419" s="831">
        <f t="shared" si="335"/>
        <v>0</v>
      </c>
      <c r="AL419" s="799"/>
      <c r="AM419" s="800"/>
      <c r="AN419" s="801"/>
      <c r="AO419" s="831">
        <f t="shared" si="336"/>
        <v>0</v>
      </c>
      <c r="AP419" s="1079">
        <f t="shared" si="340"/>
        <v>0</v>
      </c>
      <c r="AQ419" s="1079">
        <f t="shared" si="341"/>
        <v>0</v>
      </c>
      <c r="AR419" s="1080">
        <f t="shared" si="342"/>
        <v>0</v>
      </c>
      <c r="AS419" s="307"/>
      <c r="AT419" s="307"/>
      <c r="AU419" s="307"/>
      <c r="AV419" s="307"/>
      <c r="AW419" s="307"/>
      <c r="AX419" s="307"/>
      <c r="AY419" s="307"/>
      <c r="AZ419" s="307"/>
      <c r="BA419" s="307"/>
      <c r="BB419" s="196" t="s">
        <v>648</v>
      </c>
      <c r="BC419" s="196" t="s">
        <v>498</v>
      </c>
      <c r="BD419" s="212"/>
      <c r="BE419" s="212"/>
      <c r="BF419" s="212"/>
      <c r="BG419" s="212"/>
      <c r="BH419" s="212"/>
      <c r="BI419" s="212"/>
      <c r="BJ419" s="212"/>
      <c r="BK419" s="212"/>
      <c r="BL419" s="212"/>
      <c r="BM419" s="212"/>
      <c r="BN419" s="212"/>
      <c r="BO419" s="212"/>
      <c r="BP419" s="212"/>
      <c r="BQ419" s="212"/>
      <c r="BR419" s="212"/>
      <c r="BS419" s="212"/>
      <c r="BT419" s="212"/>
      <c r="BU419" s="212"/>
      <c r="BV419" s="212"/>
      <c r="BW419" s="212"/>
      <c r="BX419" s="212"/>
      <c r="BY419" s="212"/>
      <c r="BZ419" s="212"/>
      <c r="CA419" s="212"/>
      <c r="CB419" s="212"/>
      <c r="CC419" s="212"/>
      <c r="CD419" s="212"/>
      <c r="CE419" s="212"/>
    </row>
    <row r="420" spans="1:83" x14ac:dyDescent="0.2">
      <c r="A420" s="1091" t="s">
        <v>1127</v>
      </c>
      <c r="B420" s="1115" t="str">
        <f>IF(Stammblatt!$L$4=1,'Kalkulation Herstellungskosten'!BB420,'Kalkulation Herstellungskosten'!BC420)</f>
        <v>Telecine und Farbkorrektur</v>
      </c>
      <c r="C420" s="317"/>
      <c r="D420" s="318"/>
      <c r="E420" s="32">
        <v>0</v>
      </c>
      <c r="F420" s="1046"/>
      <c r="G420" s="1046"/>
      <c r="H420" s="1046"/>
      <c r="I420" s="1046"/>
      <c r="J420" s="1046"/>
      <c r="K420" s="1046"/>
      <c r="L420" s="1046"/>
      <c r="M420" s="1046"/>
      <c r="N420" s="1046"/>
      <c r="O420" s="1046"/>
      <c r="P420" s="1046"/>
      <c r="Q420" s="1046"/>
      <c r="R420" s="1046"/>
      <c r="S420" s="1046"/>
      <c r="T420" s="1060"/>
      <c r="U420" s="328"/>
      <c r="V420" s="328"/>
      <c r="W420" s="328"/>
      <c r="X420" s="328"/>
      <c r="Y420" s="328"/>
      <c r="Z420" s="328"/>
      <c r="AA420" s="328"/>
      <c r="AB420" s="328"/>
      <c r="AC420" s="1062"/>
      <c r="AD420" s="328"/>
      <c r="AE420" s="832"/>
      <c r="AF420" s="832"/>
      <c r="AG420" s="832"/>
      <c r="AH420" s="328"/>
      <c r="AI420" s="832"/>
      <c r="AJ420" s="832"/>
      <c r="AK420" s="832"/>
      <c r="AL420" s="328"/>
      <c r="AM420" s="832"/>
      <c r="AN420" s="832"/>
      <c r="AO420" s="832"/>
      <c r="AP420" s="822"/>
      <c r="AQ420" s="822"/>
      <c r="AR420" s="822"/>
      <c r="AS420" s="307"/>
      <c r="AT420" s="307"/>
      <c r="AU420" s="307"/>
      <c r="AV420" s="307"/>
      <c r="AW420" s="307"/>
      <c r="AX420" s="307"/>
      <c r="AY420" s="307"/>
      <c r="AZ420" s="307"/>
      <c r="BA420" s="307"/>
      <c r="BB420" s="196" t="s">
        <v>649</v>
      </c>
      <c r="BC420" s="196" t="s">
        <v>662</v>
      </c>
      <c r="BD420" s="212"/>
      <c r="BE420" s="212"/>
      <c r="BF420" s="212"/>
      <c r="BG420" s="212"/>
      <c r="BH420" s="212"/>
      <c r="BI420" s="212"/>
      <c r="BJ420" s="212"/>
      <c r="BK420" s="212"/>
      <c r="BL420" s="212"/>
      <c r="BM420" s="212"/>
      <c r="BN420" s="212"/>
      <c r="BO420" s="212"/>
      <c r="BP420" s="212"/>
      <c r="BQ420" s="212"/>
      <c r="BR420" s="212"/>
      <c r="BS420" s="212"/>
      <c r="BT420" s="212"/>
      <c r="BU420" s="212"/>
      <c r="BV420" s="212"/>
      <c r="BW420" s="212"/>
      <c r="BX420" s="212"/>
      <c r="BY420" s="212"/>
      <c r="BZ420" s="212"/>
      <c r="CA420" s="212"/>
      <c r="CB420" s="212"/>
      <c r="CC420" s="212"/>
      <c r="CD420" s="212"/>
      <c r="CE420" s="212"/>
    </row>
    <row r="421" spans="1:83" x14ac:dyDescent="0.2">
      <c r="A421" s="1091" t="s">
        <v>1128</v>
      </c>
      <c r="B421" s="1115" t="str">
        <f>IF(Stammblatt!$L$4=1,'Kalkulation Herstellungskosten'!BB421,'Kalkulation Herstellungskosten'!BC421)</f>
        <v>Konvertierungen</v>
      </c>
      <c r="C421" s="317"/>
      <c r="D421" s="318"/>
      <c r="E421" s="32">
        <v>0</v>
      </c>
      <c r="F421" s="1046"/>
      <c r="G421" s="1046"/>
      <c r="H421" s="1046"/>
      <c r="I421" s="1046"/>
      <c r="J421" s="1046"/>
      <c r="K421" s="1046"/>
      <c r="L421" s="1046"/>
      <c r="M421" s="1046"/>
      <c r="N421" s="1046"/>
      <c r="O421" s="1046"/>
      <c r="P421" s="1046"/>
      <c r="Q421" s="1046"/>
      <c r="R421" s="1046"/>
      <c r="S421" s="1046"/>
      <c r="T421" s="1060"/>
      <c r="U421" s="328"/>
      <c r="V421" s="328"/>
      <c r="W421" s="328"/>
      <c r="X421" s="328"/>
      <c r="Y421" s="328"/>
      <c r="Z421" s="328"/>
      <c r="AA421" s="328"/>
      <c r="AB421" s="328"/>
      <c r="AC421" s="1062"/>
      <c r="AD421" s="328"/>
      <c r="AE421" s="328"/>
      <c r="AF421" s="832"/>
      <c r="AG421" s="832"/>
      <c r="AH421" s="328"/>
      <c r="AI421" s="328"/>
      <c r="AJ421" s="832"/>
      <c r="AK421" s="832"/>
      <c r="AL421" s="328"/>
      <c r="AM421" s="328"/>
      <c r="AN421" s="832"/>
      <c r="AO421" s="832"/>
      <c r="AP421" s="822"/>
      <c r="AQ421" s="822"/>
      <c r="AR421" s="822"/>
      <c r="AS421" s="307"/>
      <c r="AT421" s="307"/>
      <c r="AU421" s="307"/>
      <c r="AV421" s="307"/>
      <c r="AW421" s="307"/>
      <c r="AX421" s="307"/>
      <c r="AY421" s="307"/>
      <c r="AZ421" s="307"/>
      <c r="BA421" s="307"/>
      <c r="BB421" s="196" t="s">
        <v>650</v>
      </c>
      <c r="BC421" s="196" t="s">
        <v>663</v>
      </c>
      <c r="BD421" s="212"/>
      <c r="BE421" s="212"/>
      <c r="BF421" s="212"/>
      <c r="BG421" s="212"/>
      <c r="BH421" s="212"/>
      <c r="BI421" s="212"/>
      <c r="BJ421" s="212"/>
      <c r="BK421" s="212"/>
      <c r="BL421" s="212"/>
      <c r="BM421" s="212"/>
      <c r="BN421" s="212"/>
      <c r="BO421" s="212"/>
      <c r="BP421" s="212"/>
      <c r="BQ421" s="212"/>
      <c r="BR421" s="212"/>
      <c r="BS421" s="212"/>
      <c r="BT421" s="212"/>
      <c r="BU421" s="212"/>
      <c r="BV421" s="212"/>
      <c r="BW421" s="212"/>
      <c r="BX421" s="212"/>
      <c r="BY421" s="212"/>
      <c r="BZ421" s="212"/>
      <c r="CA421" s="212"/>
      <c r="CB421" s="212"/>
      <c r="CC421" s="212"/>
      <c r="CD421" s="212"/>
      <c r="CE421" s="212"/>
    </row>
    <row r="422" spans="1:83" x14ac:dyDescent="0.2">
      <c r="A422" s="1091" t="s">
        <v>1129</v>
      </c>
      <c r="B422" s="1115" t="str">
        <f>IF(Stammblatt!$L$4=1,'Kalkulation Herstellungskosten'!BB422,'Kalkulation Herstellungskosten'!BC422)</f>
        <v>Traileranfertigung</v>
      </c>
      <c r="C422" s="317"/>
      <c r="D422" s="318"/>
      <c r="E422" s="32">
        <v>0</v>
      </c>
      <c r="F422" s="1046"/>
      <c r="G422" s="1046"/>
      <c r="H422" s="1046"/>
      <c r="I422" s="1046"/>
      <c r="J422" s="1046"/>
      <c r="K422" s="1046"/>
      <c r="L422" s="1046"/>
      <c r="M422" s="1046"/>
      <c r="N422" s="1046"/>
      <c r="O422" s="1046"/>
      <c r="P422" s="1046"/>
      <c r="Q422" s="1046"/>
      <c r="R422" s="1046"/>
      <c r="S422" s="1046"/>
      <c r="T422" s="1071"/>
      <c r="U422" s="328"/>
      <c r="V422" s="328"/>
      <c r="W422" s="328"/>
      <c r="X422" s="328"/>
      <c r="Y422" s="328"/>
      <c r="Z422" s="328"/>
      <c r="AA422" s="328"/>
      <c r="AB422" s="328"/>
      <c r="AC422" s="1062"/>
      <c r="AD422" s="328"/>
      <c r="AE422" s="328"/>
      <c r="AF422" s="832"/>
      <c r="AG422" s="832"/>
      <c r="AH422" s="328"/>
      <c r="AI422" s="328"/>
      <c r="AJ422" s="832"/>
      <c r="AK422" s="832"/>
      <c r="AL422" s="328"/>
      <c r="AM422" s="328"/>
      <c r="AN422" s="832"/>
      <c r="AO422" s="832"/>
      <c r="AP422" s="822"/>
      <c r="AQ422" s="822"/>
      <c r="AR422" s="822"/>
      <c r="AS422" s="307"/>
      <c r="AT422" s="307"/>
      <c r="AU422" s="307"/>
      <c r="AV422" s="307"/>
      <c r="AW422" s="307"/>
      <c r="AX422" s="307"/>
      <c r="AY422" s="307"/>
      <c r="AZ422" s="307"/>
      <c r="BA422" s="307"/>
      <c r="BB422" s="196" t="s">
        <v>651</v>
      </c>
      <c r="BC422" s="196" t="s">
        <v>664</v>
      </c>
      <c r="BD422" s="212"/>
      <c r="BE422" s="212"/>
      <c r="BF422" s="212"/>
      <c r="BG422" s="212"/>
      <c r="BH422" s="212"/>
      <c r="BI422" s="212"/>
      <c r="BJ422" s="212"/>
      <c r="BK422" s="212"/>
      <c r="BL422" s="212"/>
      <c r="BM422" s="212"/>
      <c r="BN422" s="212"/>
      <c r="BO422" s="212"/>
      <c r="BP422" s="212"/>
      <c r="BQ422" s="212"/>
      <c r="BR422" s="212"/>
      <c r="BS422" s="212"/>
      <c r="BT422" s="212"/>
      <c r="BU422" s="212"/>
      <c r="BV422" s="212"/>
      <c r="BW422" s="212"/>
      <c r="BX422" s="212"/>
      <c r="BY422" s="212"/>
      <c r="BZ422" s="212"/>
      <c r="CA422" s="212"/>
      <c r="CB422" s="212"/>
      <c r="CC422" s="212"/>
      <c r="CD422" s="212"/>
      <c r="CE422" s="212"/>
    </row>
    <row r="423" spans="1:83" x14ac:dyDescent="0.2">
      <c r="A423" s="1091" t="s">
        <v>1130</v>
      </c>
      <c r="B423" s="1115" t="str">
        <f>IF(Stammblatt!$L$4=1,'Kalkulation Herstellungskosten'!BB423,'Kalkulation Herstellungskosten'!BC423)</f>
        <v>Sonstiges</v>
      </c>
      <c r="C423" s="317"/>
      <c r="D423" s="318"/>
      <c r="E423" s="32">
        <v>0</v>
      </c>
      <c r="F423" s="1046"/>
      <c r="G423" s="1046"/>
      <c r="H423" s="1046"/>
      <c r="I423" s="1046"/>
      <c r="J423" s="1046"/>
      <c r="K423" s="1046"/>
      <c r="L423" s="1046"/>
      <c r="M423" s="1046"/>
      <c r="N423" s="1046"/>
      <c r="O423" s="1046"/>
      <c r="P423" s="1046"/>
      <c r="Q423" s="1046"/>
      <c r="R423" s="1046"/>
      <c r="S423" s="1046"/>
      <c r="T423" s="1071"/>
      <c r="U423" s="328"/>
      <c r="V423" s="328"/>
      <c r="W423" s="328"/>
      <c r="X423" s="328"/>
      <c r="Y423" s="328"/>
      <c r="Z423" s="328"/>
      <c r="AA423" s="328"/>
      <c r="AB423" s="328"/>
      <c r="AC423" s="1062"/>
      <c r="AD423" s="328"/>
      <c r="AE423" s="328"/>
      <c r="AF423" s="832"/>
      <c r="AG423" s="832"/>
      <c r="AH423" s="328"/>
      <c r="AI423" s="328"/>
      <c r="AJ423" s="832"/>
      <c r="AK423" s="832"/>
      <c r="AL423" s="328"/>
      <c r="AM423" s="328"/>
      <c r="AN423" s="832"/>
      <c r="AO423" s="832"/>
      <c r="AP423" s="822"/>
      <c r="AQ423" s="822"/>
      <c r="AR423" s="822"/>
      <c r="AS423" s="307"/>
      <c r="AT423" s="307"/>
      <c r="AU423" s="307"/>
      <c r="AV423" s="307"/>
      <c r="AW423" s="307"/>
      <c r="AX423" s="307"/>
      <c r="AY423" s="307"/>
      <c r="AZ423" s="307"/>
      <c r="BA423" s="307"/>
      <c r="BB423" s="196" t="s">
        <v>639</v>
      </c>
      <c r="BC423" s="196" t="s">
        <v>365</v>
      </c>
      <c r="BD423" s="212"/>
      <c r="BE423" s="212"/>
      <c r="BF423" s="212"/>
      <c r="BG423" s="212"/>
      <c r="BH423" s="212"/>
      <c r="BI423" s="212"/>
      <c r="BJ423" s="212"/>
      <c r="BK423" s="212"/>
      <c r="BL423" s="212"/>
      <c r="BM423" s="212"/>
      <c r="BN423" s="212"/>
      <c r="BO423" s="212"/>
      <c r="BP423" s="212"/>
      <c r="BQ423" s="212"/>
      <c r="BR423" s="212"/>
      <c r="BS423" s="212"/>
      <c r="BT423" s="212"/>
      <c r="BU423" s="212"/>
      <c r="BV423" s="212"/>
      <c r="BW423" s="212"/>
      <c r="BX423" s="212"/>
      <c r="BY423" s="212"/>
      <c r="BZ423" s="212"/>
      <c r="CA423" s="212"/>
      <c r="CB423" s="212"/>
      <c r="CC423" s="212"/>
      <c r="CD423" s="212"/>
      <c r="CE423" s="212"/>
    </row>
    <row r="424" spans="1:83" x14ac:dyDescent="0.2">
      <c r="A424" s="1091">
        <v>149</v>
      </c>
      <c r="B424" s="1082" t="str">
        <f>IF(Stammblatt!$L$4=1,'Kalkulation Herstellungskosten'!BB424,'Kalkulation Herstellungskosten'!BC424)</f>
        <v>Kopien &amp; DI-Master</v>
      </c>
      <c r="C424" s="317"/>
      <c r="D424" s="318"/>
      <c r="E424" s="319"/>
      <c r="F424" s="396">
        <f>SUM(E425:E432)</f>
        <v>0</v>
      </c>
      <c r="G424" s="320"/>
      <c r="H424" s="320"/>
      <c r="I424" s="321"/>
      <c r="J424" s="347"/>
      <c r="K424" s="348"/>
      <c r="L424" s="348"/>
      <c r="M424" s="348"/>
      <c r="N424" s="349"/>
      <c r="O424" s="512"/>
      <c r="P424" s="506"/>
      <c r="Q424" s="507"/>
      <c r="R424" s="505"/>
      <c r="S424" s="514"/>
      <c r="T424" s="517"/>
      <c r="U424" s="505"/>
      <c r="V424" s="1053">
        <f t="shared" si="326"/>
        <v>0</v>
      </c>
      <c r="W424" s="1053">
        <f>F424-V424</f>
        <v>0</v>
      </c>
      <c r="X424" s="512"/>
      <c r="Y424" s="508"/>
      <c r="Z424" s="507"/>
      <c r="AA424" s="505"/>
      <c r="AB424" s="295"/>
      <c r="AC424" s="305"/>
      <c r="AD424" s="799"/>
      <c r="AE424" s="800"/>
      <c r="AF424" s="801"/>
      <c r="AG424" s="831">
        <f t="shared" ref="AG424" si="343">SUM(AE424:AF424)</f>
        <v>0</v>
      </c>
      <c r="AH424" s="799"/>
      <c r="AI424" s="800"/>
      <c r="AJ424" s="801"/>
      <c r="AK424" s="831">
        <f t="shared" ref="AK424" si="344">SUM(AI424:AJ424)</f>
        <v>0</v>
      </c>
      <c r="AL424" s="799"/>
      <c r="AM424" s="800"/>
      <c r="AN424" s="801"/>
      <c r="AO424" s="831">
        <f t="shared" ref="AO424" si="345">SUM(AM424:AN424)</f>
        <v>0</v>
      </c>
      <c r="AP424" s="1079">
        <f t="shared" ref="AP424" si="346">SUM(F424,AD424,AH424,AL424)</f>
        <v>0</v>
      </c>
      <c r="AQ424" s="1079">
        <f t="shared" ref="AQ424" si="347">SUM(AO424,AK424,AG424,V424)</f>
        <v>0</v>
      </c>
      <c r="AR424" s="1080">
        <f t="shared" ref="AR424" si="348">AP424-AQ424</f>
        <v>0</v>
      </c>
      <c r="AS424" s="307"/>
      <c r="AT424" s="307"/>
      <c r="AU424" s="307"/>
      <c r="AV424" s="307"/>
      <c r="AW424" s="307"/>
      <c r="AX424" s="307"/>
      <c r="AY424" s="307"/>
      <c r="AZ424" s="307"/>
      <c r="BA424" s="307"/>
      <c r="BB424" s="196" t="s">
        <v>658</v>
      </c>
      <c r="BC424" s="196" t="s">
        <v>657</v>
      </c>
      <c r="BD424" s="212"/>
      <c r="BE424" s="212"/>
      <c r="BF424" s="212"/>
      <c r="BG424" s="212"/>
      <c r="BH424" s="212"/>
      <c r="BI424" s="212"/>
      <c r="BJ424" s="212"/>
      <c r="BK424" s="212"/>
      <c r="BL424" s="212"/>
      <c r="BM424" s="212"/>
      <c r="BN424" s="212"/>
      <c r="BO424" s="212"/>
      <c r="BP424" s="212"/>
      <c r="BQ424" s="212"/>
      <c r="BR424" s="212"/>
      <c r="BS424" s="212"/>
      <c r="BT424" s="212"/>
      <c r="BU424" s="212"/>
      <c r="BV424" s="212"/>
      <c r="BW424" s="212"/>
      <c r="BX424" s="212"/>
      <c r="BY424" s="212"/>
      <c r="BZ424" s="212"/>
      <c r="CA424" s="212"/>
      <c r="CB424" s="212"/>
      <c r="CC424" s="212"/>
      <c r="CD424" s="212"/>
      <c r="CE424" s="212"/>
    </row>
    <row r="425" spans="1:83" x14ac:dyDescent="0.2">
      <c r="A425" s="1091" t="s">
        <v>1131</v>
      </c>
      <c r="B425" s="1115" t="str">
        <f>IF(Stammblatt!$L$4=1,'Kalkulation Herstellungskosten'!BB425,'Kalkulation Herstellungskosten'!BC425)</f>
        <v>Filmkopien (Null-, Korrektur-, Archivkopie)</v>
      </c>
      <c r="C425" s="317"/>
      <c r="D425" s="318"/>
      <c r="E425" s="32">
        <v>0</v>
      </c>
      <c r="F425" s="1046"/>
      <c r="G425" s="1046"/>
      <c r="H425" s="1046"/>
      <c r="I425" s="1046"/>
      <c r="J425" s="1046"/>
      <c r="K425" s="1046"/>
      <c r="L425" s="1046"/>
      <c r="M425" s="1046"/>
      <c r="N425" s="1046"/>
      <c r="O425" s="1046"/>
      <c r="P425" s="1046"/>
      <c r="Q425" s="1046"/>
      <c r="R425" s="1046"/>
      <c r="S425" s="1046"/>
      <c r="T425" s="1060"/>
      <c r="U425" s="328"/>
      <c r="V425" s="328"/>
      <c r="W425" s="328"/>
      <c r="X425" s="328"/>
      <c r="Y425" s="328"/>
      <c r="Z425" s="328"/>
      <c r="AA425" s="328"/>
      <c r="AB425" s="328"/>
      <c r="AC425" s="1062"/>
      <c r="AD425" s="1176"/>
      <c r="AE425" s="832"/>
      <c r="AF425" s="832"/>
      <c r="AG425" s="832"/>
      <c r="AH425" s="1176"/>
      <c r="AI425" s="832"/>
      <c r="AJ425" s="832"/>
      <c r="AK425" s="832"/>
      <c r="AL425" s="1176"/>
      <c r="AM425" s="832"/>
      <c r="AN425" s="832"/>
      <c r="AO425" s="832"/>
      <c r="AP425" s="822"/>
      <c r="AQ425" s="822"/>
      <c r="AR425" s="822"/>
      <c r="AS425" s="307"/>
      <c r="AT425" s="307"/>
      <c r="AU425" s="307"/>
      <c r="AV425" s="307"/>
      <c r="AW425" s="307"/>
      <c r="AX425" s="307"/>
      <c r="AY425" s="307"/>
      <c r="AZ425" s="307"/>
      <c r="BA425" s="307"/>
      <c r="BB425" s="196" t="s">
        <v>655</v>
      </c>
      <c r="BC425" s="196" t="s">
        <v>665</v>
      </c>
      <c r="BD425" s="212"/>
      <c r="BE425" s="212"/>
      <c r="BF425" s="212"/>
      <c r="BG425" s="212"/>
      <c r="BH425" s="212"/>
      <c r="BI425" s="212"/>
      <c r="BJ425" s="212"/>
      <c r="BK425" s="212"/>
      <c r="BL425" s="212"/>
      <c r="BM425" s="212"/>
      <c r="BN425" s="212"/>
      <c r="BO425" s="212"/>
      <c r="BP425" s="212"/>
      <c r="BQ425" s="212"/>
      <c r="BR425" s="212"/>
      <c r="BS425" s="212"/>
      <c r="BT425" s="212"/>
      <c r="BU425" s="212"/>
      <c r="BV425" s="212"/>
      <c r="BW425" s="212"/>
      <c r="BX425" s="212"/>
      <c r="BY425" s="212"/>
      <c r="BZ425" s="212"/>
      <c r="CA425" s="212"/>
      <c r="CB425" s="212"/>
      <c r="CC425" s="212"/>
      <c r="CD425" s="212"/>
      <c r="CE425" s="212"/>
    </row>
    <row r="426" spans="1:83" x14ac:dyDescent="0.2">
      <c r="A426" s="1091" t="s">
        <v>1132</v>
      </c>
      <c r="B426" s="1115" t="str">
        <f>IF(Stammblatt!$L$4=1,'Kalkulation Herstellungskosten'!BB426,'Kalkulation Herstellungskosten'!BC426)</f>
        <v>DCDM (Digital Cinema Distribution Master)</v>
      </c>
      <c r="C426" s="317"/>
      <c r="D426" s="318"/>
      <c r="E426" s="32">
        <v>0</v>
      </c>
      <c r="F426" s="1046"/>
      <c r="G426" s="1046"/>
      <c r="H426" s="1046"/>
      <c r="I426" s="1046"/>
      <c r="J426" s="1046"/>
      <c r="K426" s="1046"/>
      <c r="L426" s="1046"/>
      <c r="M426" s="1046"/>
      <c r="N426" s="1046"/>
      <c r="O426" s="1046"/>
      <c r="P426" s="1046"/>
      <c r="Q426" s="1046"/>
      <c r="R426" s="1046"/>
      <c r="S426" s="1046"/>
      <c r="T426" s="1060"/>
      <c r="U426" s="328"/>
      <c r="V426" s="328"/>
      <c r="W426" s="328"/>
      <c r="X426" s="328"/>
      <c r="Y426" s="328"/>
      <c r="Z426" s="328"/>
      <c r="AA426" s="328"/>
      <c r="AB426" s="328"/>
      <c r="AC426" s="1062"/>
      <c r="AD426" s="328"/>
      <c r="AE426" s="832"/>
      <c r="AF426" s="832"/>
      <c r="AG426" s="832"/>
      <c r="AH426" s="328"/>
      <c r="AI426" s="832"/>
      <c r="AJ426" s="832"/>
      <c r="AK426" s="832"/>
      <c r="AL426" s="328"/>
      <c r="AM426" s="832"/>
      <c r="AN426" s="832"/>
      <c r="AO426" s="832"/>
      <c r="AP426" s="822"/>
      <c r="AQ426" s="822"/>
      <c r="AR426" s="822"/>
      <c r="AS426" s="307"/>
      <c r="AT426" s="307"/>
      <c r="AU426" s="307"/>
      <c r="AV426" s="307"/>
      <c r="AW426" s="307"/>
      <c r="AX426" s="307"/>
      <c r="AY426" s="307"/>
      <c r="AZ426" s="307"/>
      <c r="BA426" s="307"/>
      <c r="BB426" s="196" t="s">
        <v>654</v>
      </c>
      <c r="BC426" s="196" t="s">
        <v>654</v>
      </c>
      <c r="BD426" s="212"/>
      <c r="BE426" s="212"/>
      <c r="BF426" s="212"/>
      <c r="BG426" s="212"/>
      <c r="BH426" s="212"/>
      <c r="BI426" s="212"/>
      <c r="BJ426" s="212"/>
      <c r="BK426" s="212"/>
      <c r="BL426" s="212"/>
      <c r="BM426" s="212"/>
      <c r="BN426" s="212"/>
      <c r="BO426" s="212"/>
      <c r="BP426" s="212"/>
      <c r="BQ426" s="212"/>
      <c r="BR426" s="212"/>
      <c r="BS426" s="212"/>
      <c r="BT426" s="212"/>
      <c r="BU426" s="212"/>
      <c r="BV426" s="212"/>
      <c r="BW426" s="212"/>
      <c r="BX426" s="212"/>
      <c r="BY426" s="212"/>
      <c r="BZ426" s="212"/>
      <c r="CA426" s="212"/>
      <c r="CB426" s="212"/>
      <c r="CC426" s="212"/>
      <c r="CD426" s="212"/>
      <c r="CE426" s="212"/>
    </row>
    <row r="427" spans="1:83" x14ac:dyDescent="0.2">
      <c r="A427" s="1091" t="s">
        <v>1133</v>
      </c>
      <c r="B427" s="1115" t="str">
        <f>IF(Stammblatt!$L$4=1,'Kalkulation Herstellungskosten'!BB427,'Kalkulation Herstellungskosten'!BC427)</f>
        <v>DCDM (Archivkopie, Filmarchiv Austria)</v>
      </c>
      <c r="C427" s="317"/>
      <c r="D427" s="318"/>
      <c r="E427" s="32">
        <v>0</v>
      </c>
      <c r="F427" s="1046"/>
      <c r="G427" s="1046"/>
      <c r="H427" s="1046"/>
      <c r="I427" s="1046"/>
      <c r="J427" s="1046"/>
      <c r="K427" s="1046"/>
      <c r="L427" s="1046"/>
      <c r="M427" s="1046"/>
      <c r="N427" s="1046"/>
      <c r="O427" s="1046"/>
      <c r="P427" s="1046"/>
      <c r="Q427" s="1046"/>
      <c r="R427" s="1046"/>
      <c r="S427" s="1046"/>
      <c r="T427" s="1071"/>
      <c r="U427" s="328"/>
      <c r="V427" s="328"/>
      <c r="W427" s="328"/>
      <c r="X427" s="328"/>
      <c r="Y427" s="328"/>
      <c r="Z427" s="328"/>
      <c r="AA427" s="328"/>
      <c r="AB427" s="328"/>
      <c r="AC427" s="1062"/>
      <c r="AD427" s="328"/>
      <c r="AE427" s="832"/>
      <c r="AF427" s="832"/>
      <c r="AG427" s="832"/>
      <c r="AH427" s="328"/>
      <c r="AI427" s="832"/>
      <c r="AJ427" s="832"/>
      <c r="AK427" s="832"/>
      <c r="AL427" s="328"/>
      <c r="AM427" s="832"/>
      <c r="AN427" s="832"/>
      <c r="AO427" s="832"/>
      <c r="AP427" s="822"/>
      <c r="AQ427" s="822"/>
      <c r="AR427" s="822"/>
      <c r="AS427" s="307"/>
      <c r="AT427" s="307"/>
      <c r="AU427" s="307"/>
      <c r="AV427" s="307"/>
      <c r="AW427" s="307"/>
      <c r="AX427" s="307"/>
      <c r="AY427" s="307"/>
      <c r="AZ427" s="307"/>
      <c r="BA427" s="307"/>
      <c r="BB427" s="196" t="s">
        <v>776</v>
      </c>
      <c r="BC427" s="196" t="s">
        <v>778</v>
      </c>
      <c r="BD427" s="212"/>
      <c r="BE427" s="212"/>
      <c r="BF427" s="212"/>
      <c r="BG427" s="212"/>
      <c r="BH427" s="212"/>
      <c r="BI427" s="212"/>
      <c r="BJ427" s="212"/>
      <c r="BK427" s="212"/>
      <c r="BL427" s="212"/>
      <c r="BM427" s="212"/>
      <c r="BN427" s="212"/>
      <c r="BO427" s="212"/>
      <c r="BP427" s="212"/>
      <c r="BQ427" s="212"/>
      <c r="BR427" s="212"/>
      <c r="BS427" s="212"/>
      <c r="BT427" s="212"/>
      <c r="BU427" s="212"/>
      <c r="BV427" s="212"/>
      <c r="BW427" s="212"/>
      <c r="BX427" s="212"/>
      <c r="BY427" s="212"/>
      <c r="BZ427" s="212"/>
      <c r="CA427" s="212"/>
      <c r="CB427" s="212"/>
      <c r="CC427" s="212"/>
      <c r="CD427" s="212"/>
      <c r="CE427" s="212"/>
    </row>
    <row r="428" spans="1:83" x14ac:dyDescent="0.2">
      <c r="A428" s="1091" t="s">
        <v>1134</v>
      </c>
      <c r="B428" s="1115" t="str">
        <f>IF(Stammblatt!$L$4=1,'Kalkulation Herstellungskosten'!BB428,'Kalkulation Herstellungskosten'!BC428)</f>
        <v>DCPs</v>
      </c>
      <c r="C428" s="317"/>
      <c r="D428" s="318"/>
      <c r="E428" s="32">
        <v>0</v>
      </c>
      <c r="F428" s="1046"/>
      <c r="G428" s="1046"/>
      <c r="H428" s="1046"/>
      <c r="I428" s="1046"/>
      <c r="J428" s="1046"/>
      <c r="K428" s="1046"/>
      <c r="L428" s="1046"/>
      <c r="M428" s="1046"/>
      <c r="N428" s="1046"/>
      <c r="O428" s="1046"/>
      <c r="P428" s="1046"/>
      <c r="Q428" s="1046"/>
      <c r="R428" s="1046"/>
      <c r="S428" s="1046"/>
      <c r="T428" s="1071"/>
      <c r="U428" s="328"/>
      <c r="V428" s="328"/>
      <c r="W428" s="328"/>
      <c r="X428" s="328"/>
      <c r="Y428" s="328"/>
      <c r="Z428" s="328"/>
      <c r="AA428" s="328"/>
      <c r="AB428" s="328"/>
      <c r="AC428" s="1062"/>
      <c r="AD428" s="328"/>
      <c r="AE428" s="832"/>
      <c r="AF428" s="832"/>
      <c r="AG428" s="832"/>
      <c r="AH428" s="328"/>
      <c r="AI428" s="832"/>
      <c r="AJ428" s="832"/>
      <c r="AK428" s="832"/>
      <c r="AL428" s="328"/>
      <c r="AM428" s="832"/>
      <c r="AN428" s="832"/>
      <c r="AO428" s="832"/>
      <c r="AP428" s="822"/>
      <c r="AQ428" s="822"/>
      <c r="AR428" s="822"/>
      <c r="AS428" s="307"/>
      <c r="AT428" s="307"/>
      <c r="AU428" s="307"/>
      <c r="AV428" s="307"/>
      <c r="AW428" s="307"/>
      <c r="AX428" s="307"/>
      <c r="AY428" s="307"/>
      <c r="AZ428" s="307"/>
      <c r="BA428" s="307"/>
      <c r="BB428" s="196" t="s">
        <v>777</v>
      </c>
      <c r="BC428" s="196" t="s">
        <v>777</v>
      </c>
      <c r="BD428" s="212"/>
      <c r="BE428" s="212"/>
      <c r="BF428" s="212"/>
      <c r="BG428" s="212"/>
      <c r="BH428" s="212"/>
      <c r="BI428" s="212"/>
      <c r="BJ428" s="212"/>
      <c r="BK428" s="212"/>
      <c r="BL428" s="212"/>
      <c r="BM428" s="212"/>
      <c r="BN428" s="212"/>
      <c r="BO428" s="212"/>
      <c r="BP428" s="212"/>
      <c r="BQ428" s="212"/>
      <c r="BR428" s="212"/>
      <c r="BS428" s="212"/>
      <c r="BT428" s="212"/>
      <c r="BU428" s="212"/>
      <c r="BV428" s="212"/>
      <c r="BW428" s="212"/>
      <c r="BX428" s="212"/>
      <c r="BY428" s="212"/>
      <c r="BZ428" s="212"/>
      <c r="CA428" s="212"/>
      <c r="CB428" s="212"/>
      <c r="CC428" s="212"/>
      <c r="CD428" s="212"/>
      <c r="CE428" s="212"/>
    </row>
    <row r="429" spans="1:83" x14ac:dyDescent="0.2">
      <c r="A429" s="1091" t="s">
        <v>1135</v>
      </c>
      <c r="B429" s="1115" t="str">
        <f>IF(Stammblatt!$L$4=1,'Kalkulation Herstellungskosten'!BB429,'Kalkulation Herstellungskosten'!BC429)</f>
        <v>Untertitelungen</v>
      </c>
      <c r="C429" s="317"/>
      <c r="D429" s="318"/>
      <c r="E429" s="32">
        <v>0</v>
      </c>
      <c r="F429" s="1046"/>
      <c r="G429" s="1046"/>
      <c r="H429" s="1046"/>
      <c r="I429" s="1046"/>
      <c r="J429" s="1046"/>
      <c r="K429" s="1046"/>
      <c r="L429" s="1046"/>
      <c r="M429" s="1046"/>
      <c r="N429" s="1046"/>
      <c r="O429" s="1046"/>
      <c r="P429" s="1046"/>
      <c r="Q429" s="1046"/>
      <c r="R429" s="1046"/>
      <c r="S429" s="1046"/>
      <c r="T429" s="1060"/>
      <c r="U429" s="328"/>
      <c r="V429" s="328"/>
      <c r="W429" s="328"/>
      <c r="X429" s="328"/>
      <c r="Y429" s="328"/>
      <c r="Z429" s="328"/>
      <c r="AA429" s="328"/>
      <c r="AB429" s="328"/>
      <c r="AC429" s="1062"/>
      <c r="AD429" s="328"/>
      <c r="AE429" s="832"/>
      <c r="AF429" s="832"/>
      <c r="AG429" s="832"/>
      <c r="AH429" s="328"/>
      <c r="AI429" s="832"/>
      <c r="AJ429" s="832"/>
      <c r="AK429" s="832"/>
      <c r="AL429" s="328"/>
      <c r="AM429" s="832"/>
      <c r="AN429" s="832"/>
      <c r="AO429" s="832"/>
      <c r="AP429" s="822"/>
      <c r="AQ429" s="822"/>
      <c r="AR429" s="822"/>
      <c r="AS429" s="307"/>
      <c r="AT429" s="307"/>
      <c r="AU429" s="307"/>
      <c r="AV429" s="307"/>
      <c r="AW429" s="307"/>
      <c r="AX429" s="307"/>
      <c r="AY429" s="307"/>
      <c r="AZ429" s="307"/>
      <c r="BA429" s="307"/>
      <c r="BB429" s="196" t="s">
        <v>1039</v>
      </c>
      <c r="BC429" s="196" t="s">
        <v>1040</v>
      </c>
      <c r="BD429" s="212"/>
      <c r="BE429" s="212"/>
      <c r="BF429" s="212"/>
      <c r="BG429" s="212"/>
      <c r="BH429" s="212"/>
      <c r="BI429" s="212"/>
      <c r="BJ429" s="212"/>
      <c r="BK429" s="212"/>
      <c r="BL429" s="212"/>
      <c r="BM429" s="212"/>
      <c r="BN429" s="212"/>
      <c r="BO429" s="212"/>
      <c r="BP429" s="212"/>
      <c r="BQ429" s="212"/>
      <c r="BR429" s="212"/>
      <c r="BS429" s="212"/>
      <c r="BT429" s="212"/>
      <c r="BU429" s="212"/>
      <c r="BV429" s="212"/>
      <c r="BW429" s="212"/>
      <c r="BX429" s="212"/>
      <c r="BY429" s="212"/>
      <c r="BZ429" s="212"/>
      <c r="CA429" s="212"/>
      <c r="CB429" s="212"/>
      <c r="CC429" s="212"/>
      <c r="CD429" s="212"/>
      <c r="CE429" s="212"/>
    </row>
    <row r="430" spans="1:83" x14ac:dyDescent="0.2">
      <c r="A430" s="1091" t="s">
        <v>1136</v>
      </c>
      <c r="B430" s="1115" t="str">
        <f>IF(Stammblatt!$L$4=1,'Kalkulation Herstellungskosten'!BB430,'Kalkulation Herstellungskosten'!BC430)</f>
        <v>Synchronfassungen</v>
      </c>
      <c r="C430" s="317"/>
      <c r="D430" s="318"/>
      <c r="E430" s="32">
        <v>0</v>
      </c>
      <c r="F430" s="1046"/>
      <c r="G430" s="1046"/>
      <c r="H430" s="1046"/>
      <c r="I430" s="1046"/>
      <c r="J430" s="1046"/>
      <c r="K430" s="1046"/>
      <c r="L430" s="1046"/>
      <c r="M430" s="1046"/>
      <c r="N430" s="1046"/>
      <c r="O430" s="1046"/>
      <c r="P430" s="1046"/>
      <c r="Q430" s="1046"/>
      <c r="R430" s="1046"/>
      <c r="S430" s="1046"/>
      <c r="T430" s="1060"/>
      <c r="U430" s="328"/>
      <c r="V430" s="328"/>
      <c r="W430" s="328"/>
      <c r="X430" s="328"/>
      <c r="Y430" s="328"/>
      <c r="Z430" s="328"/>
      <c r="AA430" s="328"/>
      <c r="AB430" s="328"/>
      <c r="AC430" s="1062"/>
      <c r="AD430" s="328"/>
      <c r="AE430" s="832"/>
      <c r="AF430" s="832"/>
      <c r="AG430" s="832"/>
      <c r="AH430" s="328"/>
      <c r="AI430" s="832"/>
      <c r="AJ430" s="832"/>
      <c r="AK430" s="832"/>
      <c r="AL430" s="328"/>
      <c r="AM430" s="832"/>
      <c r="AN430" s="832"/>
      <c r="AO430" s="832"/>
      <c r="AP430" s="822"/>
      <c r="AQ430" s="822"/>
      <c r="AR430" s="822"/>
      <c r="AS430" s="307"/>
      <c r="AT430" s="307"/>
      <c r="AU430" s="307"/>
      <c r="AV430" s="307"/>
      <c r="AW430" s="307"/>
      <c r="AX430" s="307"/>
      <c r="AY430" s="307"/>
      <c r="AZ430" s="307"/>
      <c r="BA430" s="307"/>
      <c r="BB430" s="196" t="s">
        <v>1041</v>
      </c>
      <c r="BC430" s="196" t="s">
        <v>1042</v>
      </c>
      <c r="BD430" s="212"/>
      <c r="BE430" s="212"/>
      <c r="BF430" s="212"/>
      <c r="BG430" s="212"/>
      <c r="BH430" s="212"/>
      <c r="BI430" s="212"/>
      <c r="BJ430" s="212"/>
      <c r="BK430" s="212"/>
      <c r="BL430" s="212"/>
      <c r="BM430" s="212"/>
      <c r="BN430" s="212"/>
      <c r="BO430" s="212"/>
      <c r="BP430" s="212"/>
      <c r="BQ430" s="212"/>
      <c r="BR430" s="212"/>
      <c r="BS430" s="212"/>
      <c r="BT430" s="212"/>
      <c r="BU430" s="212"/>
      <c r="BV430" s="212"/>
      <c r="BW430" s="212"/>
      <c r="BX430" s="212"/>
      <c r="BY430" s="212"/>
      <c r="BZ430" s="212"/>
      <c r="CA430" s="212"/>
      <c r="CB430" s="212"/>
      <c r="CC430" s="212"/>
      <c r="CD430" s="212"/>
      <c r="CE430" s="212"/>
    </row>
    <row r="431" spans="1:83" x14ac:dyDescent="0.2">
      <c r="A431" s="1091" t="s">
        <v>1137</v>
      </c>
      <c r="B431" s="1115" t="str">
        <f>IF(Stammblatt!$L$4=1,'Kalkulation Herstellungskosten'!BB431,'Kalkulation Herstellungskosten'!BC431)</f>
        <v>TV-Fassung</v>
      </c>
      <c r="C431" s="317"/>
      <c r="D431" s="318"/>
      <c r="E431" s="32">
        <v>0</v>
      </c>
      <c r="F431" s="1046"/>
      <c r="G431" s="1046"/>
      <c r="H431" s="1046"/>
      <c r="I431" s="1046"/>
      <c r="J431" s="1046"/>
      <c r="K431" s="1046"/>
      <c r="L431" s="1046"/>
      <c r="M431" s="1046"/>
      <c r="N431" s="1046"/>
      <c r="O431" s="1046"/>
      <c r="P431" s="1046"/>
      <c r="Q431" s="1046"/>
      <c r="R431" s="1046"/>
      <c r="S431" s="1046"/>
      <c r="T431" s="1071"/>
      <c r="U431" s="328"/>
      <c r="V431" s="328"/>
      <c r="W431" s="328"/>
      <c r="X431" s="328"/>
      <c r="Y431" s="328"/>
      <c r="Z431" s="328"/>
      <c r="AA431" s="328"/>
      <c r="AB431" s="328"/>
      <c r="AC431" s="1062"/>
      <c r="AD431" s="328"/>
      <c r="AE431" s="832"/>
      <c r="AF431" s="832"/>
      <c r="AG431" s="832"/>
      <c r="AH431" s="328"/>
      <c r="AI431" s="832"/>
      <c r="AJ431" s="832"/>
      <c r="AK431" s="832"/>
      <c r="AL431" s="328"/>
      <c r="AM431" s="832"/>
      <c r="AN431" s="832"/>
      <c r="AO431" s="832"/>
      <c r="AP431" s="822"/>
      <c r="AQ431" s="822"/>
      <c r="AR431" s="822"/>
      <c r="AS431" s="307"/>
      <c r="AT431" s="307"/>
      <c r="AU431" s="307"/>
      <c r="AV431" s="307"/>
      <c r="AW431" s="307"/>
      <c r="AX431" s="307"/>
      <c r="AY431" s="307"/>
      <c r="AZ431" s="307"/>
      <c r="BA431" s="307"/>
      <c r="BB431" s="196" t="s">
        <v>656</v>
      </c>
      <c r="BC431" s="196" t="s">
        <v>666</v>
      </c>
      <c r="BD431" s="212"/>
      <c r="BE431" s="212"/>
      <c r="BF431" s="212"/>
      <c r="BG431" s="212"/>
      <c r="BH431" s="212"/>
      <c r="BI431" s="212"/>
      <c r="BJ431" s="212"/>
      <c r="BK431" s="212"/>
      <c r="BL431" s="212"/>
      <c r="BM431" s="212"/>
      <c r="BN431" s="212"/>
      <c r="BO431" s="212"/>
      <c r="BP431" s="212"/>
      <c r="BQ431" s="212"/>
      <c r="BR431" s="212"/>
      <c r="BS431" s="212"/>
      <c r="BT431" s="212"/>
      <c r="BU431" s="212"/>
      <c r="BV431" s="212"/>
      <c r="BW431" s="212"/>
      <c r="BX431" s="212"/>
      <c r="BY431" s="212"/>
      <c r="BZ431" s="212"/>
      <c r="CA431" s="212"/>
      <c r="CB431" s="212"/>
      <c r="CC431" s="212"/>
      <c r="CD431" s="212"/>
      <c r="CE431" s="212"/>
    </row>
    <row r="432" spans="1:83" x14ac:dyDescent="0.2">
      <c r="A432" s="1091" t="s">
        <v>1138</v>
      </c>
      <c r="B432" s="1115" t="str">
        <f>IF(Stammblatt!$L$4=1,'Kalkulation Herstellungskosten'!BB432,'Kalkulation Herstellungskosten'!BC432)</f>
        <v>Sonstiges (Beleg- und Ansichtskopien, DVD, etc.)</v>
      </c>
      <c r="C432" s="317"/>
      <c r="D432" s="318"/>
      <c r="E432" s="32">
        <v>0</v>
      </c>
      <c r="F432" s="1046"/>
      <c r="G432" s="1046"/>
      <c r="H432" s="1046"/>
      <c r="I432" s="1046"/>
      <c r="J432" s="1046"/>
      <c r="K432" s="1046"/>
      <c r="L432" s="1046"/>
      <c r="M432" s="1046"/>
      <c r="N432" s="1046"/>
      <c r="O432" s="1046"/>
      <c r="P432" s="1046"/>
      <c r="Q432" s="1046"/>
      <c r="R432" s="1046"/>
      <c r="S432" s="1046"/>
      <c r="T432" s="1071"/>
      <c r="U432" s="328"/>
      <c r="V432" s="328"/>
      <c r="W432" s="328"/>
      <c r="X432" s="328"/>
      <c r="Y432" s="328"/>
      <c r="Z432" s="328"/>
      <c r="AA432" s="328"/>
      <c r="AB432" s="328"/>
      <c r="AC432" s="1062"/>
      <c r="AD432" s="1177"/>
      <c r="AE432" s="832"/>
      <c r="AF432" s="832"/>
      <c r="AG432" s="832"/>
      <c r="AH432" s="1177"/>
      <c r="AI432" s="832"/>
      <c r="AJ432" s="832"/>
      <c r="AK432" s="832"/>
      <c r="AL432" s="1177"/>
      <c r="AM432" s="832"/>
      <c r="AN432" s="832"/>
      <c r="AO432" s="832"/>
      <c r="AP432" s="822"/>
      <c r="AQ432" s="822"/>
      <c r="AR432" s="822"/>
      <c r="AS432" s="307"/>
      <c r="AT432" s="307"/>
      <c r="AU432" s="307"/>
      <c r="AV432" s="307"/>
      <c r="AW432" s="307"/>
      <c r="AX432" s="307"/>
      <c r="AY432" s="307"/>
      <c r="AZ432" s="307"/>
      <c r="BA432" s="307"/>
      <c r="BB432" s="196" t="s">
        <v>659</v>
      </c>
      <c r="BC432" s="196" t="s">
        <v>365</v>
      </c>
      <c r="BD432" s="212"/>
      <c r="BE432" s="212"/>
      <c r="BF432" s="212"/>
      <c r="BG432" s="212"/>
      <c r="BH432" s="212"/>
      <c r="BI432" s="212"/>
      <c r="BJ432" s="212"/>
      <c r="BK432" s="212"/>
      <c r="BL432" s="212"/>
      <c r="BM432" s="212"/>
      <c r="BN432" s="212"/>
      <c r="BO432" s="212"/>
      <c r="BP432" s="212"/>
      <c r="BQ432" s="212"/>
      <c r="BR432" s="212"/>
      <c r="BS432" s="212"/>
      <c r="BT432" s="212"/>
      <c r="BU432" s="212"/>
      <c r="BV432" s="212"/>
      <c r="BW432" s="212"/>
      <c r="BX432" s="212"/>
      <c r="BY432" s="212"/>
      <c r="BZ432" s="212"/>
      <c r="CA432" s="212"/>
      <c r="CB432" s="212"/>
      <c r="CC432" s="212"/>
      <c r="CD432" s="212"/>
      <c r="CE432" s="212"/>
    </row>
    <row r="433" spans="1:83" x14ac:dyDescent="0.2">
      <c r="A433" s="1091">
        <v>150</v>
      </c>
      <c r="B433" s="1082" t="str">
        <f>IF(Stammblatt!$L$4=1,'Kalkulation Herstellungskosten'!BB433,'Kalkulation Herstellungskosten'!BC433)</f>
        <v>Fotomaterial und Bearbeitung</v>
      </c>
      <c r="C433" s="317"/>
      <c r="D433" s="318"/>
      <c r="E433" s="319"/>
      <c r="F433" s="32">
        <v>0</v>
      </c>
      <c r="G433" s="320"/>
      <c r="H433" s="320"/>
      <c r="I433" s="321"/>
      <c r="J433" s="347"/>
      <c r="K433" s="348"/>
      <c r="L433" s="348"/>
      <c r="M433" s="348"/>
      <c r="N433" s="349"/>
      <c r="O433" s="512"/>
      <c r="P433" s="506"/>
      <c r="Q433" s="507"/>
      <c r="R433" s="505"/>
      <c r="S433" s="514"/>
      <c r="T433" s="517"/>
      <c r="U433" s="505"/>
      <c r="V433" s="1053">
        <f t="shared" si="326"/>
        <v>0</v>
      </c>
      <c r="W433" s="1053">
        <f>F433-V433</f>
        <v>0</v>
      </c>
      <c r="X433" s="512"/>
      <c r="Y433" s="508"/>
      <c r="Z433" s="507"/>
      <c r="AA433" s="505"/>
      <c r="AB433" s="295"/>
      <c r="AC433" s="305"/>
      <c r="AD433" s="799"/>
      <c r="AE433" s="800"/>
      <c r="AF433" s="801"/>
      <c r="AG433" s="831">
        <f t="shared" ref="AG433" si="349">SUM(AE433:AF433)</f>
        <v>0</v>
      </c>
      <c r="AH433" s="799"/>
      <c r="AI433" s="800"/>
      <c r="AJ433" s="801"/>
      <c r="AK433" s="831">
        <f t="shared" ref="AK433" si="350">SUM(AI433:AJ433)</f>
        <v>0</v>
      </c>
      <c r="AL433" s="799"/>
      <c r="AM433" s="800"/>
      <c r="AN433" s="801"/>
      <c r="AO433" s="831">
        <f t="shared" ref="AO433" si="351">SUM(AM433:AN433)</f>
        <v>0</v>
      </c>
      <c r="AP433" s="1079">
        <f t="shared" ref="AP433" si="352">SUM(F433,AD433,AH433,AL433)</f>
        <v>0</v>
      </c>
      <c r="AQ433" s="1079">
        <f t="shared" ref="AQ433" si="353">SUM(AO433,AK433,AG433,V433)</f>
        <v>0</v>
      </c>
      <c r="AR433" s="1080">
        <f t="shared" ref="AR433" si="354">AP433-AQ433</f>
        <v>0</v>
      </c>
      <c r="AS433" s="307"/>
      <c r="AT433" s="307"/>
      <c r="AU433" s="307"/>
      <c r="AV433" s="307"/>
      <c r="AW433" s="307"/>
      <c r="AX433" s="307"/>
      <c r="AY433" s="307"/>
      <c r="AZ433" s="307"/>
      <c r="BA433" s="307"/>
      <c r="BB433" s="196" t="s">
        <v>81</v>
      </c>
      <c r="BC433" s="196" t="s">
        <v>396</v>
      </c>
      <c r="BD433" s="212"/>
      <c r="BE433" s="212"/>
      <c r="BF433" s="212"/>
      <c r="BG433" s="212"/>
      <c r="BH433" s="212"/>
      <c r="BI433" s="212"/>
      <c r="BJ433" s="212"/>
      <c r="BK433" s="212"/>
      <c r="BL433" s="212"/>
      <c r="BM433" s="212"/>
      <c r="BN433" s="212"/>
      <c r="BO433" s="212"/>
      <c r="BP433" s="212"/>
      <c r="BQ433" s="212"/>
      <c r="BR433" s="212"/>
      <c r="BS433" s="212"/>
      <c r="BT433" s="212"/>
      <c r="BU433" s="212"/>
      <c r="BV433" s="212"/>
      <c r="BW433" s="212"/>
      <c r="BX433" s="212"/>
      <c r="BY433" s="212"/>
      <c r="BZ433" s="212"/>
      <c r="CA433" s="212"/>
      <c r="CB433" s="212"/>
      <c r="CC433" s="212"/>
      <c r="CD433" s="212"/>
      <c r="CE433" s="212"/>
    </row>
    <row r="434" spans="1:83" x14ac:dyDescent="0.2">
      <c r="A434" s="1091">
        <v>151</v>
      </c>
      <c r="B434" s="1082" t="str">
        <f>IF(Stammblatt!$L$4=1,'Kalkulation Herstellungskosten'!BB434,'Kalkulation Herstellungskosten'!BC434)</f>
        <v>Barrierefreie Bearbeitung (verpflichtend)</v>
      </c>
      <c r="C434" s="303"/>
      <c r="D434" s="295"/>
      <c r="E434" s="304"/>
      <c r="F434" s="935"/>
      <c r="G434" s="212"/>
      <c r="H434" s="212"/>
      <c r="I434" s="344"/>
      <c r="J434" s="345"/>
      <c r="K434" s="212"/>
      <c r="L434" s="212"/>
      <c r="M434" s="212"/>
      <c r="N434" s="346"/>
      <c r="O434" s="327"/>
      <c r="P434" s="327"/>
      <c r="Q434" s="327"/>
      <c r="R434" s="327"/>
      <c r="S434" s="514"/>
      <c r="T434" s="1060"/>
      <c r="U434" s="1041"/>
      <c r="V434" s="1041"/>
      <c r="W434" s="1041"/>
      <c r="X434" s="327"/>
      <c r="Y434" s="327"/>
      <c r="Z434" s="327"/>
      <c r="AA434" s="327"/>
      <c r="AB434" s="295"/>
      <c r="AC434" s="305"/>
      <c r="AD434" s="805"/>
      <c r="AE434" s="807"/>
      <c r="AF434" s="807"/>
      <c r="AG434" s="832"/>
      <c r="AH434" s="805"/>
      <c r="AI434" s="807"/>
      <c r="AJ434" s="807"/>
      <c r="AK434" s="832"/>
      <c r="AL434" s="805"/>
      <c r="AM434" s="807"/>
      <c r="AN434" s="807"/>
      <c r="AO434" s="832"/>
      <c r="AP434" s="822"/>
      <c r="AQ434" s="822"/>
      <c r="AR434" s="822"/>
      <c r="AS434" s="307"/>
      <c r="AT434" s="307"/>
      <c r="AU434" s="307"/>
      <c r="AV434" s="307"/>
      <c r="AW434" s="307"/>
      <c r="AX434" s="307"/>
      <c r="AY434" s="307"/>
      <c r="AZ434" s="307"/>
      <c r="BA434" s="307"/>
      <c r="BB434" s="196" t="s">
        <v>634</v>
      </c>
      <c r="BC434" s="196" t="s">
        <v>667</v>
      </c>
      <c r="BD434" s="212"/>
      <c r="BE434" s="212"/>
      <c r="BF434" s="212"/>
      <c r="BG434" s="212"/>
      <c r="BH434" s="212"/>
      <c r="BI434" s="212"/>
      <c r="BJ434" s="212"/>
      <c r="BK434" s="212"/>
      <c r="BL434" s="212"/>
      <c r="BM434" s="212"/>
      <c r="BN434" s="212"/>
      <c r="BO434" s="212"/>
      <c r="BP434" s="212"/>
      <c r="BQ434" s="212"/>
      <c r="BR434" s="212"/>
      <c r="BS434" s="212"/>
      <c r="BT434" s="212"/>
      <c r="BU434" s="212"/>
      <c r="BV434" s="212"/>
      <c r="BW434" s="212"/>
      <c r="BX434" s="212"/>
      <c r="BY434" s="212"/>
      <c r="BZ434" s="212"/>
      <c r="CA434" s="212"/>
      <c r="CB434" s="212"/>
      <c r="CC434" s="212"/>
      <c r="CD434" s="212"/>
      <c r="CE434" s="212"/>
    </row>
    <row r="435" spans="1:83" x14ac:dyDescent="0.2">
      <c r="A435" s="1116" t="s">
        <v>1139</v>
      </c>
      <c r="B435" s="1115" t="str">
        <f>IF(Stammblatt!$L$4=1,'Kalkulation Herstellungskosten'!BB435,'Kalkulation Herstellungskosten'!BC435)</f>
        <v>hörbehindertengerechte dt. Untertitelung</v>
      </c>
      <c r="C435" s="317"/>
      <c r="D435" s="318"/>
      <c r="E435" s="319"/>
      <c r="F435" s="32">
        <v>0</v>
      </c>
      <c r="G435" s="324"/>
      <c r="H435" s="324"/>
      <c r="I435" s="298"/>
      <c r="J435" s="325"/>
      <c r="K435" s="324"/>
      <c r="L435" s="324"/>
      <c r="M435" s="324"/>
      <c r="N435" s="326"/>
      <c r="O435" s="512"/>
      <c r="P435" s="506"/>
      <c r="Q435" s="507"/>
      <c r="R435" s="505"/>
      <c r="S435" s="514"/>
      <c r="T435" s="517"/>
      <c r="U435" s="505"/>
      <c r="V435" s="1053">
        <f t="shared" ref="V435:V436" si="355">SUM(T435:U435)</f>
        <v>0</v>
      </c>
      <c r="W435" s="1053">
        <f>F435-V435</f>
        <v>0</v>
      </c>
      <c r="X435" s="512"/>
      <c r="Y435" s="508"/>
      <c r="Z435" s="507"/>
      <c r="AA435" s="505"/>
      <c r="AB435" s="295"/>
      <c r="AC435" s="305"/>
      <c r="AD435" s="799"/>
      <c r="AE435" s="800"/>
      <c r="AF435" s="801"/>
      <c r="AG435" s="831">
        <f t="shared" ref="AG435:AG436" si="356">SUM(AE435:AF435)</f>
        <v>0</v>
      </c>
      <c r="AH435" s="799"/>
      <c r="AI435" s="800"/>
      <c r="AJ435" s="801"/>
      <c r="AK435" s="831">
        <f t="shared" ref="AK435:AK436" si="357">SUM(AI435:AJ435)</f>
        <v>0</v>
      </c>
      <c r="AL435" s="799"/>
      <c r="AM435" s="800"/>
      <c r="AN435" s="801"/>
      <c r="AO435" s="831">
        <f t="shared" ref="AO435:AO436" si="358">SUM(AM435:AN435)</f>
        <v>0</v>
      </c>
      <c r="AP435" s="1079">
        <f t="shared" ref="AP435:AP436" si="359">SUM(F435,AD435,AH435,AL435)</f>
        <v>0</v>
      </c>
      <c r="AQ435" s="1079">
        <f t="shared" ref="AQ435:AQ436" si="360">SUM(AO435,AK435,AG435,V435)</f>
        <v>0</v>
      </c>
      <c r="AR435" s="1080">
        <f t="shared" ref="AR435:AR436" si="361">AP435-AQ435</f>
        <v>0</v>
      </c>
      <c r="AS435" s="307"/>
      <c r="AT435" s="307"/>
      <c r="AU435" s="307"/>
      <c r="AV435" s="307"/>
      <c r="AW435" s="307"/>
      <c r="AX435" s="307"/>
      <c r="AY435" s="307"/>
      <c r="AZ435" s="307"/>
      <c r="BA435" s="307"/>
      <c r="BB435" s="196" t="s">
        <v>652</v>
      </c>
      <c r="BC435" s="196" t="s">
        <v>668</v>
      </c>
      <c r="BD435" s="212"/>
      <c r="BE435" s="212"/>
      <c r="BF435" s="212"/>
      <c r="BG435" s="212"/>
      <c r="BH435" s="212"/>
      <c r="BI435" s="212"/>
      <c r="BJ435" s="212"/>
      <c r="BK435" s="212"/>
      <c r="BL435" s="212"/>
      <c r="BM435" s="212"/>
      <c r="BN435" s="212"/>
      <c r="BO435" s="212"/>
      <c r="BP435" s="212"/>
      <c r="BQ435" s="212"/>
      <c r="BR435" s="212"/>
      <c r="BS435" s="212"/>
      <c r="BT435" s="212"/>
      <c r="BU435" s="212"/>
      <c r="BV435" s="212"/>
      <c r="BW435" s="212"/>
      <c r="BX435" s="212"/>
      <c r="BY435" s="212"/>
      <c r="BZ435" s="212"/>
      <c r="CA435" s="212"/>
      <c r="CB435" s="212"/>
      <c r="CC435" s="212"/>
      <c r="CD435" s="212"/>
      <c r="CE435" s="212"/>
    </row>
    <row r="436" spans="1:83" x14ac:dyDescent="0.2">
      <c r="A436" s="1116" t="s">
        <v>1140</v>
      </c>
      <c r="B436" s="1115" t="str">
        <f>IF(Stammblatt!$L$4=1,'Kalkulation Herstellungskosten'!BB436,'Kalkulation Herstellungskosten'!BC436)</f>
        <v>Audiodeskription</v>
      </c>
      <c r="C436" s="317"/>
      <c r="D436" s="318"/>
      <c r="E436" s="319"/>
      <c r="F436" s="32">
        <v>0</v>
      </c>
      <c r="G436" s="324"/>
      <c r="H436" s="324"/>
      <c r="I436" s="298"/>
      <c r="J436" s="325"/>
      <c r="K436" s="324"/>
      <c r="L436" s="324"/>
      <c r="M436" s="324"/>
      <c r="N436" s="326"/>
      <c r="O436" s="512"/>
      <c r="P436" s="506"/>
      <c r="Q436" s="507"/>
      <c r="R436" s="505"/>
      <c r="S436" s="514"/>
      <c r="T436" s="517"/>
      <c r="U436" s="505"/>
      <c r="V436" s="1053">
        <f t="shared" si="355"/>
        <v>0</v>
      </c>
      <c r="W436" s="1053">
        <f>F436-V436</f>
        <v>0</v>
      </c>
      <c r="X436" s="512"/>
      <c r="Y436" s="508"/>
      <c r="Z436" s="507"/>
      <c r="AA436" s="505"/>
      <c r="AB436" s="295"/>
      <c r="AC436" s="305"/>
      <c r="AD436" s="799"/>
      <c r="AE436" s="800"/>
      <c r="AF436" s="801"/>
      <c r="AG436" s="831">
        <f t="shared" si="356"/>
        <v>0</v>
      </c>
      <c r="AH436" s="799"/>
      <c r="AI436" s="800"/>
      <c r="AJ436" s="801"/>
      <c r="AK436" s="831">
        <f t="shared" si="357"/>
        <v>0</v>
      </c>
      <c r="AL436" s="799"/>
      <c r="AM436" s="800"/>
      <c r="AN436" s="801"/>
      <c r="AO436" s="831">
        <f t="shared" si="358"/>
        <v>0</v>
      </c>
      <c r="AP436" s="1079">
        <f t="shared" si="359"/>
        <v>0</v>
      </c>
      <c r="AQ436" s="1079">
        <f t="shared" si="360"/>
        <v>0</v>
      </c>
      <c r="AR436" s="1080">
        <f t="shared" si="361"/>
        <v>0</v>
      </c>
      <c r="AS436" s="307"/>
      <c r="AT436" s="307"/>
      <c r="AU436" s="307"/>
      <c r="AV436" s="307"/>
      <c r="AW436" s="307"/>
      <c r="AX436" s="307"/>
      <c r="AY436" s="307"/>
      <c r="AZ436" s="307"/>
      <c r="BA436" s="307"/>
      <c r="BB436" s="196" t="s">
        <v>653</v>
      </c>
      <c r="BC436" s="196" t="s">
        <v>669</v>
      </c>
      <c r="BD436" s="212"/>
      <c r="BE436" s="212"/>
      <c r="BF436" s="212"/>
      <c r="BG436" s="212"/>
      <c r="BH436" s="212"/>
      <c r="BI436" s="212"/>
      <c r="BJ436" s="212"/>
      <c r="BK436" s="212"/>
      <c r="BL436" s="212"/>
      <c r="BM436" s="212"/>
      <c r="BN436" s="212"/>
      <c r="BO436" s="212"/>
      <c r="BP436" s="212"/>
      <c r="BQ436" s="212"/>
      <c r="BR436" s="212"/>
      <c r="BS436" s="212"/>
      <c r="BT436" s="212"/>
      <c r="BU436" s="212"/>
      <c r="BV436" s="212"/>
      <c r="BW436" s="212"/>
      <c r="BX436" s="212"/>
      <c r="BY436" s="212"/>
      <c r="BZ436" s="212"/>
      <c r="CA436" s="212"/>
      <c r="CB436" s="212"/>
      <c r="CC436" s="212"/>
      <c r="CD436" s="212"/>
      <c r="CE436" s="212"/>
    </row>
    <row r="437" spans="1:83" x14ac:dyDescent="0.2">
      <c r="A437" s="1055" t="s">
        <v>150</v>
      </c>
      <c r="B437" s="496"/>
      <c r="C437" s="490"/>
      <c r="D437" s="328"/>
      <c r="E437" s="371"/>
      <c r="F437" s="371"/>
      <c r="G437" s="1056"/>
      <c r="H437" s="1056"/>
      <c r="I437" s="1057"/>
      <c r="J437" s="1058"/>
      <c r="K437" s="1056"/>
      <c r="L437" s="1056"/>
      <c r="M437" s="1056"/>
      <c r="N437" s="335"/>
      <c r="O437" s="1059"/>
      <c r="P437" s="1059"/>
      <c r="Q437" s="1059"/>
      <c r="R437" s="1059"/>
      <c r="S437" s="1046"/>
      <c r="T437" s="1060"/>
      <c r="U437" s="1041"/>
      <c r="V437" s="1041"/>
      <c r="W437" s="1041"/>
      <c r="X437" s="1059"/>
      <c r="Y437" s="1059"/>
      <c r="Z437" s="1059"/>
      <c r="AA437" s="1059"/>
      <c r="AB437" s="328"/>
      <c r="AC437" s="1062"/>
      <c r="AD437" s="822"/>
      <c r="AE437" s="832"/>
      <c r="AF437" s="832"/>
      <c r="AG437" s="832"/>
      <c r="AH437" s="822"/>
      <c r="AI437" s="832"/>
      <c r="AJ437" s="832"/>
      <c r="AK437" s="832"/>
      <c r="AL437" s="822"/>
      <c r="AM437" s="832"/>
      <c r="AN437" s="832"/>
      <c r="AO437" s="832"/>
      <c r="AP437" s="822"/>
      <c r="AQ437" s="822"/>
      <c r="AR437" s="822"/>
      <c r="AS437" s="307"/>
      <c r="AT437" s="307"/>
      <c r="AU437" s="307"/>
      <c r="AV437" s="307"/>
      <c r="AW437" s="307"/>
      <c r="AX437" s="307"/>
      <c r="AY437" s="307"/>
      <c r="AZ437" s="307"/>
      <c r="BA437" s="307"/>
      <c r="BB437" s="196"/>
      <c r="BC437" s="196"/>
      <c r="BD437" s="212"/>
      <c r="BE437" s="212"/>
      <c r="BF437" s="212"/>
      <c r="BG437" s="212"/>
      <c r="BH437" s="212"/>
      <c r="BI437" s="212"/>
      <c r="BJ437" s="212"/>
      <c r="BK437" s="212"/>
      <c r="BL437" s="212"/>
      <c r="BM437" s="212"/>
      <c r="BN437" s="212"/>
      <c r="BO437" s="212"/>
      <c r="BP437" s="212"/>
      <c r="BQ437" s="212"/>
      <c r="BR437" s="212"/>
      <c r="BS437" s="212"/>
      <c r="BT437" s="212"/>
      <c r="BU437" s="212"/>
      <c r="BV437" s="212"/>
      <c r="BW437" s="212"/>
      <c r="BX437" s="212"/>
      <c r="BY437" s="212"/>
      <c r="BZ437" s="212"/>
      <c r="CA437" s="212"/>
      <c r="CB437" s="212"/>
      <c r="CC437" s="212"/>
      <c r="CD437" s="212"/>
      <c r="CE437" s="212"/>
    </row>
    <row r="438" spans="1:83" x14ac:dyDescent="0.2">
      <c r="A438" s="1092"/>
      <c r="B438" s="1090" t="str">
        <f>IF(Stammblatt!$L$4=1,'Kalkulation Herstellungskosten'!BB438,'Kalkulation Herstellungskosten'!BC438)</f>
        <v>Σ-Bild- und Tonmaterial, Bearbeitung</v>
      </c>
      <c r="C438" s="1152"/>
      <c r="D438" s="1153"/>
      <c r="E438" s="1154"/>
      <c r="F438" s="1154">
        <f>SUM(F410:F437)</f>
        <v>0</v>
      </c>
      <c r="G438" s="1154"/>
      <c r="H438" s="1154"/>
      <c r="I438" s="1155"/>
      <c r="J438" s="1156"/>
      <c r="K438" s="1154"/>
      <c r="L438" s="1154"/>
      <c r="M438" s="1154"/>
      <c r="N438" s="904"/>
      <c r="O438" s="90">
        <f t="shared" ref="O438:P438" si="362">SUM(O410:O437)</f>
        <v>0</v>
      </c>
      <c r="P438" s="90">
        <f t="shared" si="362"/>
        <v>0</v>
      </c>
      <c r="Q438" s="90">
        <f t="shared" ref="Q438:R438" si="363">SUM(Q410:Q437)</f>
        <v>0</v>
      </c>
      <c r="R438" s="90">
        <f t="shared" si="363"/>
        <v>0</v>
      </c>
      <c r="S438" s="1046"/>
      <c r="T438" s="511">
        <f>SUM(T410:T437)</f>
        <v>0</v>
      </c>
      <c r="U438" s="90">
        <f>SUM(U410:U437)</f>
        <v>0</v>
      </c>
      <c r="V438" s="90">
        <f>SUM(V410:V437)</f>
        <v>0</v>
      </c>
      <c r="W438" s="90">
        <f>ZS_8_Bild_Ton_Bearbeitung-V438</f>
        <v>0</v>
      </c>
      <c r="X438" s="90">
        <f t="shared" ref="X438" si="364">SUM(X410:X437)</f>
        <v>0</v>
      </c>
      <c r="Y438" s="90">
        <f t="shared" ref="Y438:AA438" si="365">SUM(Y410:Y437)</f>
        <v>0</v>
      </c>
      <c r="Z438" s="90">
        <f t="shared" si="365"/>
        <v>0</v>
      </c>
      <c r="AA438" s="90">
        <f t="shared" si="365"/>
        <v>0</v>
      </c>
      <c r="AB438" s="328"/>
      <c r="AC438" s="1062"/>
      <c r="AD438" s="1158">
        <f t="shared" ref="AD438:AL438" si="366">SUM(AD410:AD437)</f>
        <v>0</v>
      </c>
      <c r="AE438" s="1037">
        <f t="shared" ref="AE438:AG438" si="367">SUM(AE410:AE437)</f>
        <v>0</v>
      </c>
      <c r="AF438" s="653">
        <f t="shared" si="367"/>
        <v>0</v>
      </c>
      <c r="AG438" s="653">
        <f t="shared" si="367"/>
        <v>0</v>
      </c>
      <c r="AH438" s="1158">
        <f t="shared" si="366"/>
        <v>0</v>
      </c>
      <c r="AI438" s="1037">
        <f t="shared" ref="AI438:AK438" si="368">SUM(AI410:AI437)</f>
        <v>0</v>
      </c>
      <c r="AJ438" s="653">
        <f t="shared" si="368"/>
        <v>0</v>
      </c>
      <c r="AK438" s="653">
        <f t="shared" si="368"/>
        <v>0</v>
      </c>
      <c r="AL438" s="1158">
        <f t="shared" si="366"/>
        <v>0</v>
      </c>
      <c r="AM438" s="1037">
        <f>SUM(AM410:AM437)</f>
        <v>0</v>
      </c>
      <c r="AN438" s="653">
        <f>SUM(AN410:AN437)</f>
        <v>0</v>
      </c>
      <c r="AO438" s="653">
        <f t="shared" ref="AO438" si="369">SUM(AO410:AO437)</f>
        <v>0</v>
      </c>
      <c r="AP438" s="653">
        <f>SUM(AP410:AP437)</f>
        <v>0</v>
      </c>
      <c r="AQ438" s="653">
        <f t="shared" ref="AQ438" si="370">SUM(AQ410:AQ437)</f>
        <v>0</v>
      </c>
      <c r="AR438" s="653">
        <f>AP438-AQ438</f>
        <v>0</v>
      </c>
      <c r="AS438" s="307"/>
      <c r="AT438" s="307"/>
      <c r="AU438" s="307"/>
      <c r="AV438" s="307"/>
      <c r="AW438" s="307"/>
      <c r="AX438" s="307"/>
      <c r="AY438" s="307"/>
      <c r="AZ438" s="307"/>
      <c r="BA438" s="307"/>
      <c r="BB438" s="196" t="s">
        <v>234</v>
      </c>
      <c r="BC438" s="196" t="s">
        <v>397</v>
      </c>
      <c r="BD438" s="212"/>
      <c r="BE438" s="212"/>
      <c r="BF438" s="212"/>
      <c r="BG438" s="212"/>
      <c r="BH438" s="212"/>
      <c r="BI438" s="212"/>
      <c r="BJ438" s="212"/>
      <c r="BK438" s="212"/>
      <c r="BL438" s="212"/>
      <c r="BM438" s="212"/>
      <c r="BN438" s="212"/>
      <c r="BO438" s="212"/>
      <c r="BP438" s="212"/>
      <c r="BQ438" s="212"/>
      <c r="BR438" s="212"/>
      <c r="BS438" s="212"/>
      <c r="BT438" s="212"/>
      <c r="BU438" s="212"/>
      <c r="BV438" s="212"/>
      <c r="BW438" s="212"/>
      <c r="BX438" s="212"/>
      <c r="BY438" s="212"/>
      <c r="BZ438" s="212"/>
      <c r="CA438" s="212"/>
      <c r="CB438" s="212"/>
      <c r="CC438" s="212"/>
      <c r="CD438" s="212"/>
      <c r="CE438" s="212"/>
    </row>
    <row r="439" spans="1:83" x14ac:dyDescent="0.2">
      <c r="A439" s="1055"/>
      <c r="B439" s="496"/>
      <c r="C439" s="490"/>
      <c r="D439" s="328"/>
      <c r="E439" s="371"/>
      <c r="F439" s="371"/>
      <c r="G439" s="1056"/>
      <c r="H439" s="1056"/>
      <c r="I439" s="1057"/>
      <c r="J439" s="1058"/>
      <c r="K439" s="1056"/>
      <c r="L439" s="1056"/>
      <c r="M439" s="1056"/>
      <c r="N439" s="335"/>
      <c r="O439" s="1059"/>
      <c r="P439" s="1059"/>
      <c r="Q439" s="1059"/>
      <c r="R439" s="1059"/>
      <c r="S439" s="1046"/>
      <c r="T439" s="1060"/>
      <c r="U439" s="1041"/>
      <c r="V439" s="1041"/>
      <c r="W439" s="1041"/>
      <c r="X439" s="1041"/>
      <c r="Y439" s="1059"/>
      <c r="Z439" s="1059"/>
      <c r="AA439" s="1059"/>
      <c r="AB439" s="328"/>
      <c r="AC439" s="1062"/>
      <c r="AD439" s="822"/>
      <c r="AE439" s="832"/>
      <c r="AF439" s="832"/>
      <c r="AG439" s="832"/>
      <c r="AH439" s="822"/>
      <c r="AI439" s="832"/>
      <c r="AJ439" s="832"/>
      <c r="AK439" s="832"/>
      <c r="AL439" s="822"/>
      <c r="AM439" s="832"/>
      <c r="AN439" s="832"/>
      <c r="AO439" s="832"/>
      <c r="AP439" s="822"/>
      <c r="AQ439" s="822"/>
      <c r="AR439" s="822"/>
      <c r="AS439" s="307"/>
      <c r="AT439" s="307"/>
      <c r="AU439" s="307"/>
      <c r="AV439" s="307"/>
      <c r="AW439" s="307"/>
      <c r="AX439" s="307"/>
      <c r="AY439" s="307"/>
      <c r="AZ439" s="307"/>
      <c r="BA439" s="307"/>
      <c r="BB439" s="196"/>
      <c r="BC439" s="196"/>
      <c r="BD439" s="212"/>
      <c r="BE439" s="212"/>
      <c r="BF439" s="212"/>
      <c r="BG439" s="212"/>
      <c r="BH439" s="212"/>
      <c r="BI439" s="212"/>
      <c r="BJ439" s="212"/>
      <c r="BK439" s="212"/>
      <c r="BL439" s="212"/>
      <c r="BM439" s="212"/>
      <c r="BN439" s="212"/>
      <c r="BO439" s="212"/>
      <c r="BP439" s="212"/>
      <c r="BQ439" s="212"/>
      <c r="BR439" s="212"/>
      <c r="BS439" s="212"/>
      <c r="BT439" s="212"/>
      <c r="BU439" s="212"/>
      <c r="BV439" s="212"/>
      <c r="BW439" s="212"/>
      <c r="BX439" s="212"/>
      <c r="BY439" s="212"/>
      <c r="BZ439" s="212"/>
      <c r="CA439" s="212"/>
      <c r="CB439" s="212"/>
      <c r="CC439" s="212"/>
      <c r="CD439" s="212"/>
      <c r="CE439" s="212"/>
    </row>
    <row r="440" spans="1:83" x14ac:dyDescent="0.2">
      <c r="A440" s="1055"/>
      <c r="B440" s="496"/>
      <c r="C440" s="490"/>
      <c r="D440" s="328"/>
      <c r="E440" s="371"/>
      <c r="F440" s="371"/>
      <c r="G440" s="1056"/>
      <c r="H440" s="1056"/>
      <c r="I440" s="1057"/>
      <c r="J440" s="1058"/>
      <c r="K440" s="1056"/>
      <c r="L440" s="1056"/>
      <c r="M440" s="1056"/>
      <c r="N440" s="335"/>
      <c r="O440" s="1059"/>
      <c r="P440" s="1059"/>
      <c r="Q440" s="1059"/>
      <c r="R440" s="1059"/>
      <c r="S440" s="1046"/>
      <c r="T440" s="1060"/>
      <c r="U440" s="1041"/>
      <c r="V440" s="1041"/>
      <c r="W440" s="1041"/>
      <c r="X440" s="1041"/>
      <c r="Y440" s="1059"/>
      <c r="Z440" s="1059"/>
      <c r="AA440" s="1059"/>
      <c r="AB440" s="328"/>
      <c r="AC440" s="1062"/>
      <c r="AD440" s="822"/>
      <c r="AE440" s="832"/>
      <c r="AF440" s="832"/>
      <c r="AG440" s="832"/>
      <c r="AH440" s="822"/>
      <c r="AI440" s="832"/>
      <c r="AJ440" s="832"/>
      <c r="AK440" s="832"/>
      <c r="AL440" s="822"/>
      <c r="AM440" s="832"/>
      <c r="AN440" s="832"/>
      <c r="AO440" s="832"/>
      <c r="AP440" s="822"/>
      <c r="AQ440" s="822"/>
      <c r="AR440" s="822"/>
      <c r="AS440" s="307"/>
      <c r="AT440" s="307"/>
      <c r="AU440" s="307"/>
      <c r="AV440" s="307"/>
      <c r="AW440" s="307"/>
      <c r="AX440" s="307"/>
      <c r="AY440" s="307"/>
      <c r="AZ440" s="307"/>
      <c r="BA440" s="307"/>
      <c r="BB440" s="196"/>
      <c r="BC440" s="196"/>
      <c r="BD440" s="212"/>
      <c r="BE440" s="212"/>
      <c r="BF440" s="212"/>
      <c r="BG440" s="212"/>
      <c r="BH440" s="212"/>
      <c r="BI440" s="212"/>
      <c r="BJ440" s="212"/>
      <c r="BK440" s="212"/>
      <c r="BL440" s="212"/>
      <c r="BM440" s="212"/>
      <c r="BN440" s="212"/>
      <c r="BO440" s="212"/>
      <c r="BP440" s="212"/>
      <c r="BQ440" s="212"/>
      <c r="BR440" s="212"/>
      <c r="BS440" s="212"/>
      <c r="BT440" s="212"/>
      <c r="BU440" s="212"/>
      <c r="BV440" s="212"/>
      <c r="BW440" s="212"/>
      <c r="BX440" s="212"/>
      <c r="BY440" s="212"/>
      <c r="BZ440" s="212"/>
      <c r="CA440" s="212"/>
      <c r="CB440" s="212"/>
      <c r="CC440" s="212"/>
      <c r="CD440" s="212"/>
      <c r="CE440" s="212"/>
    </row>
    <row r="441" spans="1:83" s="24" customFormat="1" x14ac:dyDescent="0.2">
      <c r="A441" s="1066"/>
      <c r="B441" s="497" t="str">
        <f>IF(Stammblatt!$L$4=1,'Kalkulation Herstellungskosten'!BB441,'Kalkulation Herstellungskosten'!BC441)</f>
        <v>9. Versicherungen</v>
      </c>
      <c r="C441" s="379"/>
      <c r="D441" s="1067"/>
      <c r="E441" s="329"/>
      <c r="F441" s="329"/>
      <c r="G441" s="1062"/>
      <c r="H441" s="1062"/>
      <c r="I441" s="1068"/>
      <c r="J441" s="1069"/>
      <c r="K441" s="1062"/>
      <c r="L441" s="1062"/>
      <c r="M441" s="1062"/>
      <c r="N441" s="1070"/>
      <c r="O441" s="1038"/>
      <c r="P441" s="1038"/>
      <c r="Q441" s="1038"/>
      <c r="R441" s="1038"/>
      <c r="S441" s="1046"/>
      <c r="T441" s="1071"/>
      <c r="U441" s="1040"/>
      <c r="V441" s="1040"/>
      <c r="W441" s="1040"/>
      <c r="X441" s="1040"/>
      <c r="Y441" s="1038"/>
      <c r="Z441" s="1038"/>
      <c r="AA441" s="1038"/>
      <c r="AB441" s="328"/>
      <c r="AC441" s="1062"/>
      <c r="AD441" s="1135"/>
      <c r="AE441" s="1138"/>
      <c r="AF441" s="1138"/>
      <c r="AG441" s="1138"/>
      <c r="AH441" s="1135"/>
      <c r="AI441" s="1138"/>
      <c r="AJ441" s="1138"/>
      <c r="AK441" s="1138"/>
      <c r="AL441" s="1135"/>
      <c r="AM441" s="1138"/>
      <c r="AN441" s="1138"/>
      <c r="AO441" s="1138"/>
      <c r="AP441" s="1135"/>
      <c r="AQ441" s="1135"/>
      <c r="AR441" s="1135"/>
      <c r="AS441" s="307"/>
      <c r="AT441" s="307"/>
      <c r="AU441" s="307"/>
      <c r="AV441" s="307"/>
      <c r="AW441" s="307"/>
      <c r="AX441" s="307"/>
      <c r="AY441" s="307"/>
      <c r="AZ441" s="307"/>
      <c r="BA441" s="307"/>
      <c r="BB441" s="196" t="s">
        <v>82</v>
      </c>
      <c r="BC441" s="196" t="s">
        <v>398</v>
      </c>
      <c r="BD441" s="308"/>
      <c r="BE441" s="308"/>
      <c r="BF441" s="308"/>
      <c r="BG441" s="308"/>
      <c r="BH441" s="308"/>
      <c r="BI441" s="308"/>
      <c r="BJ441" s="308"/>
      <c r="BK441" s="308"/>
      <c r="BL441" s="308"/>
      <c r="BM441" s="308"/>
      <c r="BN441" s="308"/>
      <c r="BO441" s="308"/>
      <c r="BP441" s="308"/>
      <c r="BQ441" s="308"/>
      <c r="BR441" s="308"/>
      <c r="BS441" s="308"/>
      <c r="BT441" s="308"/>
      <c r="BU441" s="308"/>
      <c r="BV441" s="308"/>
      <c r="BW441" s="308"/>
      <c r="BX441" s="308"/>
      <c r="BY441" s="308"/>
      <c r="BZ441" s="308"/>
      <c r="CA441" s="308"/>
      <c r="CB441" s="308"/>
      <c r="CC441" s="308"/>
      <c r="CD441" s="308"/>
      <c r="CE441" s="308"/>
    </row>
    <row r="442" spans="1:83" x14ac:dyDescent="0.2">
      <c r="A442" s="1091">
        <v>152</v>
      </c>
      <c r="B442" s="1082" t="str">
        <f>IF(Stammblatt!$L$4=1,'Kalkulation Herstellungskosten'!BB442,'Kalkulation Herstellungskosten'!BC442)</f>
        <v>Filmbündelversicherung</v>
      </c>
      <c r="C442" s="317"/>
      <c r="D442" s="318"/>
      <c r="E442" s="319"/>
      <c r="F442" s="32">
        <v>0</v>
      </c>
      <c r="G442" s="320"/>
      <c r="H442" s="320"/>
      <c r="I442" s="321"/>
      <c r="J442" s="322"/>
      <c r="K442" s="320"/>
      <c r="L442" s="320"/>
      <c r="M442" s="320"/>
      <c r="N442" s="323"/>
      <c r="O442" s="512"/>
      <c r="P442" s="506"/>
      <c r="Q442" s="507"/>
      <c r="R442" s="505"/>
      <c r="S442" s="514"/>
      <c r="T442" s="517"/>
      <c r="U442" s="505"/>
      <c r="V442" s="1053">
        <f t="shared" ref="V442:V449" si="371">SUM(T442:U442)</f>
        <v>0</v>
      </c>
      <c r="W442" s="1053">
        <f t="shared" ref="W442:W449" si="372">F442-V442</f>
        <v>0</v>
      </c>
      <c r="X442" s="512"/>
      <c r="Y442" s="508"/>
      <c r="Z442" s="507"/>
      <c r="AA442" s="505"/>
      <c r="AB442" s="295"/>
      <c r="AC442" s="305"/>
      <c r="AD442" s="799"/>
      <c r="AE442" s="800"/>
      <c r="AF442" s="801"/>
      <c r="AG442" s="831">
        <f t="shared" ref="AG442:AG449" si="373">SUM(AE442:AF442)</f>
        <v>0</v>
      </c>
      <c r="AH442" s="799"/>
      <c r="AI442" s="800"/>
      <c r="AJ442" s="801"/>
      <c r="AK442" s="831">
        <f t="shared" ref="AK442:AK449" si="374">SUM(AI442:AJ442)</f>
        <v>0</v>
      </c>
      <c r="AL442" s="799"/>
      <c r="AM442" s="800"/>
      <c r="AN442" s="801"/>
      <c r="AO442" s="831">
        <f t="shared" ref="AO442:AO449" si="375">SUM(AM442:AN442)</f>
        <v>0</v>
      </c>
      <c r="AP442" s="1079">
        <f t="shared" ref="AP442" si="376">SUM(F442,AD442,AH442,AL442)</f>
        <v>0</v>
      </c>
      <c r="AQ442" s="1079">
        <f t="shared" ref="AQ442" si="377">SUM(AO442,AK442,AG442,V442)</f>
        <v>0</v>
      </c>
      <c r="AR442" s="1080">
        <f t="shared" ref="AR442" si="378">AP442-AQ442</f>
        <v>0</v>
      </c>
      <c r="AS442" s="307"/>
      <c r="AT442" s="307"/>
      <c r="AU442" s="307"/>
      <c r="AV442" s="307"/>
      <c r="AW442" s="307"/>
      <c r="AX442" s="307"/>
      <c r="AY442" s="307"/>
      <c r="AZ442" s="307"/>
      <c r="BA442" s="307"/>
      <c r="BB442" s="196" t="s">
        <v>632</v>
      </c>
      <c r="BC442" s="196" t="s">
        <v>633</v>
      </c>
      <c r="BD442" s="212"/>
      <c r="BE442" s="212"/>
      <c r="BF442" s="212"/>
      <c r="BG442" s="212"/>
      <c r="BH442" s="212"/>
      <c r="BI442" s="212"/>
      <c r="BJ442" s="212"/>
      <c r="BK442" s="212"/>
      <c r="BL442" s="212"/>
      <c r="BM442" s="212"/>
      <c r="BN442" s="212"/>
      <c r="BO442" s="212"/>
      <c r="BP442" s="212"/>
      <c r="BQ442" s="212"/>
      <c r="BR442" s="212"/>
      <c r="BS442" s="212"/>
      <c r="BT442" s="212"/>
      <c r="BU442" s="212"/>
      <c r="BV442" s="212"/>
      <c r="BW442" s="212"/>
      <c r="BX442" s="212"/>
      <c r="BY442" s="212"/>
      <c r="BZ442" s="212"/>
      <c r="CA442" s="212"/>
      <c r="CB442" s="212"/>
      <c r="CC442" s="212"/>
      <c r="CD442" s="212"/>
      <c r="CE442" s="212"/>
    </row>
    <row r="443" spans="1:83" x14ac:dyDescent="0.2">
      <c r="A443" s="1091">
        <v>153</v>
      </c>
      <c r="B443" s="1082" t="str">
        <f>IF(Stammblatt!$L$4=1,'Kalkulation Herstellungskosten'!BB443,'Kalkulation Herstellungskosten'!BC443)</f>
        <v>Ausfallversicherung</v>
      </c>
      <c r="C443" s="317"/>
      <c r="D443" s="318"/>
      <c r="E443" s="319"/>
      <c r="F443" s="32">
        <v>0</v>
      </c>
      <c r="G443" s="320"/>
      <c r="H443" s="320"/>
      <c r="I443" s="321"/>
      <c r="J443" s="347"/>
      <c r="K443" s="348"/>
      <c r="L443" s="348"/>
      <c r="M443" s="348"/>
      <c r="N443" s="349"/>
      <c r="O443" s="512"/>
      <c r="P443" s="506"/>
      <c r="Q443" s="507"/>
      <c r="R443" s="505"/>
      <c r="S443" s="514"/>
      <c r="T443" s="517"/>
      <c r="U443" s="505"/>
      <c r="V443" s="1053">
        <f t="shared" ref="V443" si="379">SUM(T443:U443)</f>
        <v>0</v>
      </c>
      <c r="W443" s="1053">
        <f t="shared" si="372"/>
        <v>0</v>
      </c>
      <c r="X443" s="512"/>
      <c r="Y443" s="508"/>
      <c r="Z443" s="507"/>
      <c r="AA443" s="505"/>
      <c r="AB443" s="295"/>
      <c r="AC443" s="305"/>
      <c r="AD443" s="799"/>
      <c r="AE443" s="800"/>
      <c r="AF443" s="801"/>
      <c r="AG443" s="831">
        <f t="shared" si="373"/>
        <v>0</v>
      </c>
      <c r="AH443" s="799"/>
      <c r="AI443" s="800"/>
      <c r="AJ443" s="801"/>
      <c r="AK443" s="831">
        <f t="shared" si="374"/>
        <v>0</v>
      </c>
      <c r="AL443" s="799"/>
      <c r="AM443" s="800"/>
      <c r="AN443" s="801"/>
      <c r="AO443" s="831">
        <f t="shared" si="375"/>
        <v>0</v>
      </c>
      <c r="AP443" s="1079">
        <f t="shared" ref="AP443:AP449" si="380">SUM(F443,AD443,AH443,AL443)</f>
        <v>0</v>
      </c>
      <c r="AQ443" s="1079">
        <f t="shared" ref="AQ443:AQ449" si="381">SUM(AO443,AK443,AG443,V443)</f>
        <v>0</v>
      </c>
      <c r="AR443" s="1080">
        <f t="shared" ref="AR443:AR449" si="382">AP443-AQ443</f>
        <v>0</v>
      </c>
      <c r="AS443" s="307"/>
      <c r="AT443" s="307"/>
      <c r="AU443" s="307"/>
      <c r="AV443" s="307"/>
      <c r="AW443" s="307"/>
      <c r="AX443" s="307"/>
      <c r="AY443" s="307"/>
      <c r="AZ443" s="307"/>
      <c r="BA443" s="307"/>
      <c r="BB443" s="196" t="s">
        <v>83</v>
      </c>
      <c r="BC443" s="196" t="s">
        <v>486</v>
      </c>
      <c r="BD443" s="212"/>
      <c r="BE443" s="212"/>
      <c r="BF443" s="212"/>
      <c r="BG443" s="212"/>
      <c r="BH443" s="212"/>
      <c r="BI443" s="212"/>
      <c r="BJ443" s="212"/>
      <c r="BK443" s="212"/>
      <c r="BL443" s="212"/>
      <c r="BM443" s="212"/>
      <c r="BN443" s="212"/>
      <c r="BO443" s="212"/>
      <c r="BP443" s="212"/>
      <c r="BQ443" s="212"/>
      <c r="BR443" s="212"/>
      <c r="BS443" s="212"/>
      <c r="BT443" s="212"/>
      <c r="BU443" s="212"/>
      <c r="BV443" s="212"/>
      <c r="BW443" s="212"/>
      <c r="BX443" s="212"/>
      <c r="BY443" s="212"/>
      <c r="BZ443" s="212"/>
      <c r="CA443" s="212"/>
      <c r="CB443" s="212"/>
      <c r="CC443" s="212"/>
      <c r="CD443" s="212"/>
      <c r="CE443" s="212"/>
    </row>
    <row r="444" spans="1:83" x14ac:dyDescent="0.2">
      <c r="A444" s="1091">
        <v>154</v>
      </c>
      <c r="B444" s="1082" t="str">
        <f>IF(Stammblatt!$L$4=1,'Kalkulation Herstellungskosten'!BB444,'Kalkulation Herstellungskosten'!BC444)</f>
        <v>Negativversicherung</v>
      </c>
      <c r="C444" s="317"/>
      <c r="D444" s="318"/>
      <c r="E444" s="319"/>
      <c r="F444" s="32">
        <v>0</v>
      </c>
      <c r="G444" s="320"/>
      <c r="H444" s="320"/>
      <c r="I444" s="321"/>
      <c r="J444" s="347"/>
      <c r="K444" s="348"/>
      <c r="L444" s="348"/>
      <c r="M444" s="348"/>
      <c r="N444" s="349"/>
      <c r="O444" s="512"/>
      <c r="P444" s="506"/>
      <c r="Q444" s="507"/>
      <c r="R444" s="505"/>
      <c r="S444" s="514"/>
      <c r="T444" s="517"/>
      <c r="U444" s="505"/>
      <c r="V444" s="1053">
        <f t="shared" si="371"/>
        <v>0</v>
      </c>
      <c r="W444" s="1053">
        <f t="shared" si="372"/>
        <v>0</v>
      </c>
      <c r="X444" s="512"/>
      <c r="Y444" s="508"/>
      <c r="Z444" s="507"/>
      <c r="AA444" s="505"/>
      <c r="AB444" s="295"/>
      <c r="AC444" s="305"/>
      <c r="AD444" s="799"/>
      <c r="AE444" s="800"/>
      <c r="AF444" s="801"/>
      <c r="AG444" s="831">
        <f t="shared" si="373"/>
        <v>0</v>
      </c>
      <c r="AH444" s="799"/>
      <c r="AI444" s="800"/>
      <c r="AJ444" s="801"/>
      <c r="AK444" s="831">
        <f t="shared" si="374"/>
        <v>0</v>
      </c>
      <c r="AL444" s="799"/>
      <c r="AM444" s="800"/>
      <c r="AN444" s="801"/>
      <c r="AO444" s="831">
        <f t="shared" si="375"/>
        <v>0</v>
      </c>
      <c r="AP444" s="1079">
        <f t="shared" si="380"/>
        <v>0</v>
      </c>
      <c r="AQ444" s="1079">
        <f t="shared" si="381"/>
        <v>0</v>
      </c>
      <c r="AR444" s="1080">
        <f t="shared" si="382"/>
        <v>0</v>
      </c>
      <c r="AS444" s="307"/>
      <c r="AT444" s="307"/>
      <c r="AU444" s="307"/>
      <c r="AV444" s="307"/>
      <c r="AW444" s="307"/>
      <c r="AX444" s="307"/>
      <c r="AY444" s="307"/>
      <c r="AZ444" s="307"/>
      <c r="BA444" s="307"/>
      <c r="BB444" s="196" t="s">
        <v>84</v>
      </c>
      <c r="BC444" s="196" t="s">
        <v>399</v>
      </c>
      <c r="BD444" s="212"/>
      <c r="BE444" s="212"/>
      <c r="BF444" s="212"/>
      <c r="BG444" s="212"/>
      <c r="BH444" s="212"/>
      <c r="BI444" s="212"/>
      <c r="BJ444" s="212"/>
      <c r="BK444" s="212"/>
      <c r="BL444" s="212"/>
      <c r="BM444" s="212"/>
      <c r="BN444" s="212"/>
      <c r="BO444" s="212"/>
      <c r="BP444" s="212"/>
      <c r="BQ444" s="212"/>
      <c r="BR444" s="212"/>
      <c r="BS444" s="212"/>
      <c r="BT444" s="212"/>
      <c r="BU444" s="212"/>
      <c r="BV444" s="212"/>
      <c r="BW444" s="212"/>
      <c r="BX444" s="212"/>
      <c r="BY444" s="212"/>
      <c r="BZ444" s="212"/>
      <c r="CA444" s="212"/>
      <c r="CB444" s="212"/>
      <c r="CC444" s="212"/>
      <c r="CD444" s="212"/>
      <c r="CE444" s="212"/>
    </row>
    <row r="445" spans="1:83" x14ac:dyDescent="0.2">
      <c r="A445" s="1091">
        <v>155</v>
      </c>
      <c r="B445" s="1082" t="str">
        <f>IF(Stammblatt!$L$4=1,'Kalkulation Herstellungskosten'!BB445,'Kalkulation Herstellungskosten'!BC445)</f>
        <v>Geräteversicherung</v>
      </c>
      <c r="C445" s="317"/>
      <c r="D445" s="318"/>
      <c r="E445" s="319"/>
      <c r="F445" s="32">
        <v>0</v>
      </c>
      <c r="G445" s="320"/>
      <c r="H445" s="320"/>
      <c r="I445" s="321"/>
      <c r="J445" s="347"/>
      <c r="K445" s="348"/>
      <c r="L445" s="348"/>
      <c r="M445" s="348"/>
      <c r="N445" s="349"/>
      <c r="O445" s="512"/>
      <c r="P445" s="506"/>
      <c r="Q445" s="507"/>
      <c r="R445" s="505"/>
      <c r="S445" s="514"/>
      <c r="T445" s="517"/>
      <c r="U445" s="505"/>
      <c r="V445" s="1053">
        <f t="shared" si="371"/>
        <v>0</v>
      </c>
      <c r="W445" s="1053">
        <f t="shared" si="372"/>
        <v>0</v>
      </c>
      <c r="X445" s="512"/>
      <c r="Y445" s="508"/>
      <c r="Z445" s="507"/>
      <c r="AA445" s="505"/>
      <c r="AB445" s="295"/>
      <c r="AC445" s="305"/>
      <c r="AD445" s="799"/>
      <c r="AE445" s="800"/>
      <c r="AF445" s="801"/>
      <c r="AG445" s="831">
        <f t="shared" si="373"/>
        <v>0</v>
      </c>
      <c r="AH445" s="799"/>
      <c r="AI445" s="800"/>
      <c r="AJ445" s="801"/>
      <c r="AK445" s="831">
        <f t="shared" si="374"/>
        <v>0</v>
      </c>
      <c r="AL445" s="799"/>
      <c r="AM445" s="800"/>
      <c r="AN445" s="801"/>
      <c r="AO445" s="831">
        <f t="shared" si="375"/>
        <v>0</v>
      </c>
      <c r="AP445" s="1079">
        <f t="shared" si="380"/>
        <v>0</v>
      </c>
      <c r="AQ445" s="1079">
        <f t="shared" si="381"/>
        <v>0</v>
      </c>
      <c r="AR445" s="1080">
        <f t="shared" si="382"/>
        <v>0</v>
      </c>
      <c r="AS445" s="307"/>
      <c r="AT445" s="307"/>
      <c r="AU445" s="307"/>
      <c r="AV445" s="307"/>
      <c r="AW445" s="307"/>
      <c r="AX445" s="307"/>
      <c r="AY445" s="307"/>
      <c r="AZ445" s="307"/>
      <c r="BA445" s="307"/>
      <c r="BB445" s="196" t="s">
        <v>85</v>
      </c>
      <c r="BC445" s="196" t="s">
        <v>400</v>
      </c>
      <c r="BD445" s="212"/>
      <c r="BE445" s="212"/>
      <c r="BF445" s="212"/>
      <c r="BG445" s="212"/>
      <c r="BH445" s="212"/>
      <c r="BI445" s="212"/>
      <c r="BJ445" s="212"/>
      <c r="BK445" s="212"/>
      <c r="BL445" s="212"/>
      <c r="BM445" s="212"/>
      <c r="BN445" s="212"/>
      <c r="BO445" s="212"/>
      <c r="BP445" s="212"/>
      <c r="BQ445" s="212"/>
      <c r="BR445" s="212"/>
      <c r="BS445" s="212"/>
      <c r="BT445" s="212"/>
      <c r="BU445" s="212"/>
      <c r="BV445" s="212"/>
      <c r="BW445" s="212"/>
      <c r="BX445" s="212"/>
      <c r="BY445" s="212"/>
      <c r="BZ445" s="212"/>
      <c r="CA445" s="212"/>
      <c r="CB445" s="212"/>
      <c r="CC445" s="212"/>
      <c r="CD445" s="212"/>
      <c r="CE445" s="212"/>
    </row>
    <row r="446" spans="1:83" x14ac:dyDescent="0.2">
      <c r="A446" s="1091">
        <v>156</v>
      </c>
      <c r="B446" s="1082" t="str">
        <f>IF(Stammblatt!$L$4=1,'Kalkulation Herstellungskosten'!BB446,'Kalkulation Herstellungskosten'!BC446)</f>
        <v>Haftpflichtversicherung</v>
      </c>
      <c r="C446" s="317"/>
      <c r="D446" s="318"/>
      <c r="E446" s="319"/>
      <c r="F446" s="32">
        <v>0</v>
      </c>
      <c r="G446" s="320"/>
      <c r="H446" s="320"/>
      <c r="I446" s="321"/>
      <c r="J446" s="347"/>
      <c r="K446" s="348"/>
      <c r="L446" s="348"/>
      <c r="M446" s="348"/>
      <c r="N446" s="349"/>
      <c r="O446" s="512"/>
      <c r="P446" s="506"/>
      <c r="Q446" s="507"/>
      <c r="R446" s="505"/>
      <c r="S446" s="514"/>
      <c r="T446" s="517"/>
      <c r="U446" s="505"/>
      <c r="V446" s="1053">
        <f t="shared" si="371"/>
        <v>0</v>
      </c>
      <c r="W446" s="1053">
        <f t="shared" si="372"/>
        <v>0</v>
      </c>
      <c r="X446" s="512"/>
      <c r="Y446" s="508"/>
      <c r="Z446" s="507"/>
      <c r="AA446" s="505"/>
      <c r="AB446" s="295"/>
      <c r="AC446" s="305"/>
      <c r="AD446" s="799"/>
      <c r="AE446" s="800"/>
      <c r="AF446" s="801"/>
      <c r="AG446" s="831">
        <f t="shared" si="373"/>
        <v>0</v>
      </c>
      <c r="AH446" s="799"/>
      <c r="AI446" s="800"/>
      <c r="AJ446" s="801"/>
      <c r="AK446" s="831">
        <f t="shared" si="374"/>
        <v>0</v>
      </c>
      <c r="AL446" s="799"/>
      <c r="AM446" s="800"/>
      <c r="AN446" s="801"/>
      <c r="AO446" s="831">
        <f t="shared" si="375"/>
        <v>0</v>
      </c>
      <c r="AP446" s="1079">
        <f t="shared" si="380"/>
        <v>0</v>
      </c>
      <c r="AQ446" s="1079">
        <f t="shared" si="381"/>
        <v>0</v>
      </c>
      <c r="AR446" s="1080">
        <f t="shared" si="382"/>
        <v>0</v>
      </c>
      <c r="AS446" s="307"/>
      <c r="AT446" s="307"/>
      <c r="AU446" s="307"/>
      <c r="AV446" s="307"/>
      <c r="AW446" s="307"/>
      <c r="AX446" s="307"/>
      <c r="AY446" s="307"/>
      <c r="AZ446" s="307"/>
      <c r="BA446" s="307"/>
      <c r="BB446" s="196" t="s">
        <v>86</v>
      </c>
      <c r="BC446" s="196" t="s">
        <v>401</v>
      </c>
      <c r="BD446" s="212"/>
      <c r="BE446" s="212"/>
      <c r="BF446" s="212"/>
      <c r="BG446" s="212"/>
      <c r="BH446" s="212"/>
      <c r="BI446" s="212"/>
      <c r="BJ446" s="212"/>
      <c r="BK446" s="212"/>
      <c r="BL446" s="212"/>
      <c r="BM446" s="212"/>
      <c r="BN446" s="212"/>
      <c r="BO446" s="212"/>
      <c r="BP446" s="212"/>
      <c r="BQ446" s="212"/>
      <c r="BR446" s="212"/>
      <c r="BS446" s="212"/>
      <c r="BT446" s="212"/>
      <c r="BU446" s="212"/>
      <c r="BV446" s="212"/>
      <c r="BW446" s="212"/>
      <c r="BX446" s="212"/>
      <c r="BY446" s="212"/>
      <c r="BZ446" s="212"/>
      <c r="CA446" s="212"/>
      <c r="CB446" s="212"/>
      <c r="CC446" s="212"/>
      <c r="CD446" s="212"/>
      <c r="CE446" s="212"/>
    </row>
    <row r="447" spans="1:83" x14ac:dyDescent="0.2">
      <c r="A447" s="1091">
        <v>157</v>
      </c>
      <c r="B447" s="1082" t="str">
        <f>IF(Stammblatt!$L$4=1,'Kalkulation Herstellungskosten'!BB447,'Kalkulation Herstellungskosten'!BC447)</f>
        <v>Reisegepäckversicherung</v>
      </c>
      <c r="C447" s="317"/>
      <c r="D447" s="318"/>
      <c r="E447" s="319"/>
      <c r="F447" s="32">
        <v>0</v>
      </c>
      <c r="G447" s="320"/>
      <c r="H447" s="320"/>
      <c r="I447" s="321"/>
      <c r="J447" s="347"/>
      <c r="K447" s="348"/>
      <c r="L447" s="348"/>
      <c r="M447" s="348"/>
      <c r="N447" s="349"/>
      <c r="O447" s="512"/>
      <c r="P447" s="506"/>
      <c r="Q447" s="507"/>
      <c r="R447" s="505"/>
      <c r="S447" s="514"/>
      <c r="T447" s="517"/>
      <c r="U447" s="505"/>
      <c r="V447" s="1053">
        <f t="shared" si="371"/>
        <v>0</v>
      </c>
      <c r="W447" s="1053">
        <f t="shared" si="372"/>
        <v>0</v>
      </c>
      <c r="X447" s="512"/>
      <c r="Y447" s="508"/>
      <c r="Z447" s="507"/>
      <c r="AA447" s="505"/>
      <c r="AB447" s="295"/>
      <c r="AC447" s="305"/>
      <c r="AD447" s="799"/>
      <c r="AE447" s="800"/>
      <c r="AF447" s="801"/>
      <c r="AG447" s="831">
        <f t="shared" si="373"/>
        <v>0</v>
      </c>
      <c r="AH447" s="799"/>
      <c r="AI447" s="800"/>
      <c r="AJ447" s="801"/>
      <c r="AK447" s="831">
        <f t="shared" si="374"/>
        <v>0</v>
      </c>
      <c r="AL447" s="799"/>
      <c r="AM447" s="800"/>
      <c r="AN447" s="801"/>
      <c r="AO447" s="831">
        <f t="shared" si="375"/>
        <v>0</v>
      </c>
      <c r="AP447" s="1079">
        <f t="shared" si="380"/>
        <v>0</v>
      </c>
      <c r="AQ447" s="1079">
        <f t="shared" si="381"/>
        <v>0</v>
      </c>
      <c r="AR447" s="1080">
        <f t="shared" si="382"/>
        <v>0</v>
      </c>
      <c r="AS447" s="307"/>
      <c r="AT447" s="307"/>
      <c r="AU447" s="307"/>
      <c r="AV447" s="307"/>
      <c r="AW447" s="307"/>
      <c r="AX447" s="307"/>
      <c r="AY447" s="307"/>
      <c r="AZ447" s="307"/>
      <c r="BA447" s="307"/>
      <c r="BB447" s="196" t="s">
        <v>87</v>
      </c>
      <c r="BC447" s="196" t="s">
        <v>487</v>
      </c>
      <c r="BD447" s="212"/>
      <c r="BE447" s="212"/>
      <c r="BF447" s="212"/>
      <c r="BG447" s="212"/>
      <c r="BH447" s="212"/>
      <c r="BI447" s="212"/>
      <c r="BJ447" s="212"/>
      <c r="BK447" s="212"/>
      <c r="BL447" s="212"/>
      <c r="BM447" s="212"/>
      <c r="BN447" s="212"/>
      <c r="BO447" s="212"/>
      <c r="BP447" s="212"/>
      <c r="BQ447" s="212"/>
      <c r="BR447" s="212"/>
      <c r="BS447" s="212"/>
      <c r="BT447" s="212"/>
      <c r="BU447" s="212"/>
      <c r="BV447" s="212"/>
      <c r="BW447" s="212"/>
      <c r="BX447" s="212"/>
      <c r="BY447" s="212"/>
      <c r="BZ447" s="212"/>
      <c r="CA447" s="212"/>
      <c r="CB447" s="212"/>
      <c r="CC447" s="212"/>
      <c r="CD447" s="212"/>
      <c r="CE447" s="212"/>
    </row>
    <row r="448" spans="1:83" x14ac:dyDescent="0.2">
      <c r="A448" s="1091">
        <v>158</v>
      </c>
      <c r="B448" s="1082" t="str">
        <f>IF(Stammblatt!$L$4=1,'Kalkulation Herstellungskosten'!BB448,'Kalkulation Herstellungskosten'!BC448)</f>
        <v>Unfallversicherung</v>
      </c>
      <c r="C448" s="317"/>
      <c r="D448" s="318"/>
      <c r="E448" s="319"/>
      <c r="F448" s="32">
        <v>0</v>
      </c>
      <c r="G448" s="320"/>
      <c r="H448" s="320"/>
      <c r="I448" s="321"/>
      <c r="J448" s="347"/>
      <c r="K448" s="348"/>
      <c r="L448" s="348"/>
      <c r="M448" s="348"/>
      <c r="N448" s="349"/>
      <c r="O448" s="512"/>
      <c r="P448" s="506"/>
      <c r="Q448" s="507"/>
      <c r="R448" s="505"/>
      <c r="S448" s="514"/>
      <c r="T448" s="517"/>
      <c r="U448" s="505"/>
      <c r="V448" s="1053">
        <f t="shared" si="371"/>
        <v>0</v>
      </c>
      <c r="W448" s="1053">
        <f t="shared" si="372"/>
        <v>0</v>
      </c>
      <c r="X448" s="512"/>
      <c r="Y448" s="508"/>
      <c r="Z448" s="507"/>
      <c r="AA448" s="505"/>
      <c r="AB448" s="295"/>
      <c r="AC448" s="305"/>
      <c r="AD448" s="799"/>
      <c r="AE448" s="800"/>
      <c r="AF448" s="801"/>
      <c r="AG448" s="831">
        <f t="shared" si="373"/>
        <v>0</v>
      </c>
      <c r="AH448" s="799"/>
      <c r="AI448" s="800"/>
      <c r="AJ448" s="801"/>
      <c r="AK448" s="831">
        <f t="shared" si="374"/>
        <v>0</v>
      </c>
      <c r="AL448" s="799"/>
      <c r="AM448" s="800"/>
      <c r="AN448" s="801"/>
      <c r="AO448" s="831">
        <f t="shared" si="375"/>
        <v>0</v>
      </c>
      <c r="AP448" s="1079">
        <f t="shared" si="380"/>
        <v>0</v>
      </c>
      <c r="AQ448" s="1079">
        <f t="shared" si="381"/>
        <v>0</v>
      </c>
      <c r="AR448" s="1080">
        <f t="shared" si="382"/>
        <v>0</v>
      </c>
      <c r="AS448" s="307"/>
      <c r="AT448" s="307"/>
      <c r="AU448" s="307"/>
      <c r="AV448" s="307"/>
      <c r="AW448" s="307"/>
      <c r="AX448" s="307"/>
      <c r="AY448" s="307"/>
      <c r="AZ448" s="307"/>
      <c r="BA448" s="307"/>
      <c r="BB448" s="196" t="s">
        <v>88</v>
      </c>
      <c r="BC448" s="196" t="s">
        <v>402</v>
      </c>
      <c r="BD448" s="212"/>
      <c r="BE448" s="212"/>
      <c r="BF448" s="212"/>
      <c r="BG448" s="212"/>
      <c r="BH448" s="212"/>
      <c r="BI448" s="212"/>
      <c r="BJ448" s="212"/>
      <c r="BK448" s="212"/>
      <c r="BL448" s="212"/>
      <c r="BM448" s="212"/>
      <c r="BN448" s="212"/>
      <c r="BO448" s="212"/>
      <c r="BP448" s="212"/>
      <c r="BQ448" s="212"/>
      <c r="BR448" s="212"/>
      <c r="BS448" s="212"/>
      <c r="BT448" s="212"/>
      <c r="BU448" s="212"/>
      <c r="BV448" s="212"/>
      <c r="BW448" s="212"/>
      <c r="BX448" s="212"/>
      <c r="BY448" s="212"/>
      <c r="BZ448" s="212"/>
      <c r="CA448" s="212"/>
      <c r="CB448" s="212"/>
      <c r="CC448" s="212"/>
      <c r="CD448" s="212"/>
      <c r="CE448" s="212"/>
    </row>
    <row r="449" spans="1:83" x14ac:dyDescent="0.2">
      <c r="A449" s="1091">
        <v>159</v>
      </c>
      <c r="B449" s="1082" t="str">
        <f>IF(Stammblatt!$L$4=1,'Kalkulation Herstellungskosten'!BB449,'Kalkulation Herstellungskosten'!BC449)</f>
        <v>Sonstiges *)</v>
      </c>
      <c r="C449" s="317"/>
      <c r="D449" s="318"/>
      <c r="E449" s="319"/>
      <c r="F449" s="32">
        <v>0</v>
      </c>
      <c r="G449" s="320"/>
      <c r="H449" s="320"/>
      <c r="I449" s="321"/>
      <c r="J449" s="347"/>
      <c r="K449" s="348"/>
      <c r="L449" s="348"/>
      <c r="M449" s="348"/>
      <c r="N449" s="349"/>
      <c r="O449" s="512"/>
      <c r="P449" s="506"/>
      <c r="Q449" s="507"/>
      <c r="R449" s="505"/>
      <c r="S449" s="514"/>
      <c r="T449" s="517"/>
      <c r="U449" s="505"/>
      <c r="V449" s="1053">
        <f t="shared" si="371"/>
        <v>0</v>
      </c>
      <c r="W449" s="1053">
        <f t="shared" si="372"/>
        <v>0</v>
      </c>
      <c r="X449" s="512"/>
      <c r="Y449" s="508"/>
      <c r="Z449" s="507"/>
      <c r="AA449" s="505"/>
      <c r="AB449" s="295"/>
      <c r="AC449" s="305"/>
      <c r="AD449" s="799"/>
      <c r="AE449" s="800"/>
      <c r="AF449" s="801"/>
      <c r="AG449" s="831">
        <f t="shared" si="373"/>
        <v>0</v>
      </c>
      <c r="AH449" s="799"/>
      <c r="AI449" s="800"/>
      <c r="AJ449" s="801"/>
      <c r="AK449" s="831">
        <f t="shared" si="374"/>
        <v>0</v>
      </c>
      <c r="AL449" s="799"/>
      <c r="AM449" s="800"/>
      <c r="AN449" s="801"/>
      <c r="AO449" s="831">
        <f t="shared" si="375"/>
        <v>0</v>
      </c>
      <c r="AP449" s="1079">
        <f t="shared" si="380"/>
        <v>0</v>
      </c>
      <c r="AQ449" s="1079">
        <f t="shared" si="381"/>
        <v>0</v>
      </c>
      <c r="AR449" s="1080">
        <f t="shared" si="382"/>
        <v>0</v>
      </c>
      <c r="AS449" s="307"/>
      <c r="AT449" s="307"/>
      <c r="AU449" s="307"/>
      <c r="AV449" s="307"/>
      <c r="AW449" s="307"/>
      <c r="AX449" s="307"/>
      <c r="AY449" s="307"/>
      <c r="AZ449" s="307"/>
      <c r="BA449" s="307"/>
      <c r="BB449" s="196" t="s">
        <v>41</v>
      </c>
      <c r="BC449" s="196" t="s">
        <v>365</v>
      </c>
      <c r="BD449" s="212"/>
      <c r="BE449" s="212"/>
      <c r="BF449" s="212"/>
      <c r="BG449" s="212"/>
      <c r="BH449" s="212"/>
      <c r="BI449" s="212"/>
      <c r="BJ449" s="212"/>
      <c r="BK449" s="212"/>
      <c r="BL449" s="212"/>
      <c r="BM449" s="212"/>
      <c r="BN449" s="212"/>
      <c r="BO449" s="212"/>
      <c r="BP449" s="212"/>
      <c r="BQ449" s="212"/>
      <c r="BR449" s="212"/>
      <c r="BS449" s="212"/>
      <c r="BT449" s="212"/>
      <c r="BU449" s="212"/>
      <c r="BV449" s="212"/>
      <c r="BW449" s="212"/>
      <c r="BX449" s="212"/>
      <c r="BY449" s="212"/>
      <c r="BZ449" s="212"/>
      <c r="CA449" s="212"/>
      <c r="CB449" s="212"/>
      <c r="CC449" s="212"/>
      <c r="CD449" s="212"/>
      <c r="CE449" s="212"/>
    </row>
    <row r="450" spans="1:83" x14ac:dyDescent="0.2">
      <c r="A450" s="1055"/>
      <c r="B450" s="496"/>
      <c r="C450" s="490"/>
      <c r="D450" s="328"/>
      <c r="E450" s="371"/>
      <c r="F450" s="371"/>
      <c r="G450" s="1056"/>
      <c r="H450" s="1056"/>
      <c r="I450" s="1057"/>
      <c r="J450" s="1058"/>
      <c r="K450" s="1056"/>
      <c r="L450" s="1056"/>
      <c r="M450" s="1056"/>
      <c r="N450" s="335"/>
      <c r="O450" s="1059"/>
      <c r="P450" s="1059"/>
      <c r="Q450" s="1059"/>
      <c r="R450" s="1059"/>
      <c r="S450" s="1046"/>
      <c r="T450" s="1060"/>
      <c r="U450" s="1041"/>
      <c r="V450" s="1041"/>
      <c r="W450" s="1041"/>
      <c r="X450" s="1059"/>
      <c r="Y450" s="1059"/>
      <c r="Z450" s="1059"/>
      <c r="AA450" s="1059"/>
      <c r="AB450" s="328"/>
      <c r="AC450" s="1062"/>
      <c r="AD450" s="822"/>
      <c r="AE450" s="832"/>
      <c r="AF450" s="832"/>
      <c r="AG450" s="832"/>
      <c r="AH450" s="822"/>
      <c r="AI450" s="832"/>
      <c r="AJ450" s="832"/>
      <c r="AK450" s="832"/>
      <c r="AL450" s="822"/>
      <c r="AM450" s="832"/>
      <c r="AN450" s="832"/>
      <c r="AO450" s="832"/>
      <c r="AP450" s="822"/>
      <c r="AQ450" s="822"/>
      <c r="AR450" s="822"/>
      <c r="AS450" s="307"/>
      <c r="AT450" s="307"/>
      <c r="AU450" s="307"/>
      <c r="AV450" s="307"/>
      <c r="AW450" s="307"/>
      <c r="AX450" s="307"/>
      <c r="AY450" s="307"/>
      <c r="AZ450" s="307"/>
      <c r="BA450" s="307"/>
      <c r="BB450" s="196"/>
      <c r="BC450" s="196"/>
      <c r="BD450" s="212"/>
      <c r="BE450" s="212"/>
      <c r="BF450" s="212"/>
      <c r="BG450" s="212"/>
      <c r="BH450" s="212"/>
      <c r="BI450" s="212"/>
      <c r="BJ450" s="212"/>
      <c r="BK450" s="212"/>
      <c r="BL450" s="212"/>
      <c r="BM450" s="212"/>
      <c r="BN450" s="212"/>
      <c r="BO450" s="212"/>
      <c r="BP450" s="212"/>
      <c r="BQ450" s="212"/>
      <c r="BR450" s="212"/>
      <c r="BS450" s="212"/>
      <c r="BT450" s="212"/>
      <c r="BU450" s="212"/>
      <c r="BV450" s="212"/>
      <c r="BW450" s="212"/>
      <c r="BX450" s="212"/>
      <c r="BY450" s="212"/>
      <c r="BZ450" s="212"/>
      <c r="CA450" s="212"/>
      <c r="CB450" s="212"/>
      <c r="CC450" s="212"/>
      <c r="CD450" s="212"/>
      <c r="CE450" s="212"/>
    </row>
    <row r="451" spans="1:83" x14ac:dyDescent="0.2">
      <c r="A451" s="1092"/>
      <c r="B451" s="1090" t="str">
        <f>IF(Stammblatt!$L$4=1,'Kalkulation Herstellungskosten'!BB451,'Kalkulation Herstellungskosten'!BC451)</f>
        <v>Σ-Versicherungen</v>
      </c>
      <c r="C451" s="1152"/>
      <c r="D451" s="1153"/>
      <c r="E451" s="1154"/>
      <c r="F451" s="1154">
        <f>SUM(F442:F450)</f>
        <v>0</v>
      </c>
      <c r="G451" s="1154"/>
      <c r="H451" s="1154"/>
      <c r="I451" s="1155"/>
      <c r="J451" s="1156"/>
      <c r="K451" s="1154"/>
      <c r="L451" s="1154"/>
      <c r="M451" s="1154"/>
      <c r="N451" s="904"/>
      <c r="O451" s="90">
        <f t="shared" ref="O451:P451" si="383">SUM(O442:O450)</f>
        <v>0</v>
      </c>
      <c r="P451" s="90">
        <f t="shared" si="383"/>
        <v>0</v>
      </c>
      <c r="Q451" s="90">
        <f t="shared" ref="Q451:R451" si="384">SUM(Q442:Q450)</f>
        <v>0</v>
      </c>
      <c r="R451" s="90">
        <f t="shared" si="384"/>
        <v>0</v>
      </c>
      <c r="S451" s="1046"/>
      <c r="T451" s="511">
        <f>SUM(T442:T450)</f>
        <v>0</v>
      </c>
      <c r="U451" s="90">
        <f>SUM(U442:U450)</f>
        <v>0</v>
      </c>
      <c r="V451" s="90">
        <f>SUM(V442:V450)</f>
        <v>0</v>
      </c>
      <c r="W451" s="90">
        <f>ZS_9_Versicherungen-V451</f>
        <v>0</v>
      </c>
      <c r="X451" s="90">
        <f t="shared" ref="X451" si="385">SUM(X442:X450)</f>
        <v>0</v>
      </c>
      <c r="Y451" s="90">
        <f t="shared" ref="Y451:AA451" si="386">SUM(Y442:Y450)</f>
        <v>0</v>
      </c>
      <c r="Z451" s="90">
        <f t="shared" si="386"/>
        <v>0</v>
      </c>
      <c r="AA451" s="90">
        <f t="shared" si="386"/>
        <v>0</v>
      </c>
      <c r="AB451" s="328"/>
      <c r="AC451" s="1062"/>
      <c r="AD451" s="1158">
        <f t="shared" ref="AD451:AL451" si="387">SUM(AD442:AD450)</f>
        <v>0</v>
      </c>
      <c r="AE451" s="1037">
        <f t="shared" ref="AE451:AG451" si="388">SUM(AE442:AE450)</f>
        <v>0</v>
      </c>
      <c r="AF451" s="653">
        <f t="shared" si="388"/>
        <v>0</v>
      </c>
      <c r="AG451" s="653">
        <f t="shared" si="388"/>
        <v>0</v>
      </c>
      <c r="AH451" s="1158">
        <f t="shared" si="387"/>
        <v>0</v>
      </c>
      <c r="AI451" s="1037">
        <f t="shared" ref="AI451:AK451" si="389">SUM(AI442:AI450)</f>
        <v>0</v>
      </c>
      <c r="AJ451" s="653">
        <f t="shared" si="389"/>
        <v>0</v>
      </c>
      <c r="AK451" s="653">
        <f t="shared" si="389"/>
        <v>0</v>
      </c>
      <c r="AL451" s="1158">
        <f t="shared" si="387"/>
        <v>0</v>
      </c>
      <c r="AM451" s="1037">
        <f t="shared" ref="AM451:AO451" si="390">SUM(AM442:AM450)</f>
        <v>0</v>
      </c>
      <c r="AN451" s="653">
        <f t="shared" si="390"/>
        <v>0</v>
      </c>
      <c r="AO451" s="653">
        <f t="shared" si="390"/>
        <v>0</v>
      </c>
      <c r="AP451" s="653">
        <f>SUM(AP442:AP450)</f>
        <v>0</v>
      </c>
      <c r="AQ451" s="653">
        <f>SUM(AQ442:AQ450)</f>
        <v>0</v>
      </c>
      <c r="AR451" s="653">
        <f>AP451-AQ451</f>
        <v>0</v>
      </c>
      <c r="AS451" s="307"/>
      <c r="AT451" s="307"/>
      <c r="AU451" s="307"/>
      <c r="AV451" s="307"/>
      <c r="AW451" s="307"/>
      <c r="AX451" s="307"/>
      <c r="AY451" s="307"/>
      <c r="AZ451" s="307"/>
      <c r="BA451" s="307"/>
      <c r="BB451" s="196" t="s">
        <v>235</v>
      </c>
      <c r="BC451" s="196" t="s">
        <v>403</v>
      </c>
      <c r="BD451" s="212"/>
      <c r="BE451" s="212"/>
      <c r="BF451" s="212"/>
      <c r="BG451" s="212"/>
      <c r="BH451" s="212"/>
      <c r="BI451" s="212"/>
      <c r="BJ451" s="212"/>
      <c r="BK451" s="212"/>
      <c r="BL451" s="212"/>
      <c r="BM451" s="212"/>
      <c r="BN451" s="212"/>
      <c r="BO451" s="212"/>
      <c r="BP451" s="212"/>
      <c r="BQ451" s="212"/>
      <c r="BR451" s="212"/>
      <c r="BS451" s="212"/>
      <c r="BT451" s="212"/>
      <c r="BU451" s="212"/>
      <c r="BV451" s="212"/>
      <c r="BW451" s="212"/>
      <c r="BX451" s="212"/>
      <c r="BY451" s="212"/>
      <c r="BZ451" s="212"/>
      <c r="CA451" s="212"/>
      <c r="CB451" s="212"/>
      <c r="CC451" s="212"/>
      <c r="CD451" s="212"/>
      <c r="CE451" s="212"/>
    </row>
    <row r="452" spans="1:83" x14ac:dyDescent="0.2">
      <c r="A452" s="1055"/>
      <c r="B452" s="496"/>
      <c r="C452" s="490"/>
      <c r="D452" s="328"/>
      <c r="E452" s="371"/>
      <c r="F452" s="371"/>
      <c r="G452" s="1056"/>
      <c r="H452" s="1056"/>
      <c r="I452" s="1057"/>
      <c r="J452" s="1058"/>
      <c r="K452" s="1056"/>
      <c r="L452" s="1056"/>
      <c r="M452" s="1056"/>
      <c r="N452" s="335"/>
      <c r="O452" s="1059"/>
      <c r="P452" s="1059"/>
      <c r="Q452" s="1059"/>
      <c r="R452" s="1059"/>
      <c r="S452" s="1046"/>
      <c r="T452" s="1060"/>
      <c r="U452" s="1041"/>
      <c r="V452" s="1041"/>
      <c r="W452" s="1041"/>
      <c r="X452" s="1041"/>
      <c r="Y452" s="1059"/>
      <c r="Z452" s="1059"/>
      <c r="AA452" s="1059"/>
      <c r="AB452" s="328"/>
      <c r="AC452" s="1062"/>
      <c r="AD452" s="822"/>
      <c r="AE452" s="832"/>
      <c r="AF452" s="832"/>
      <c r="AG452" s="832"/>
      <c r="AH452" s="822"/>
      <c r="AI452" s="832"/>
      <c r="AJ452" s="832"/>
      <c r="AK452" s="832"/>
      <c r="AL452" s="822"/>
      <c r="AM452" s="832"/>
      <c r="AN452" s="832"/>
      <c r="AO452" s="832"/>
      <c r="AP452" s="822"/>
      <c r="AQ452" s="822"/>
      <c r="AR452" s="822"/>
      <c r="AS452" s="307"/>
      <c r="AT452" s="307"/>
      <c r="AU452" s="307"/>
      <c r="AV452" s="307"/>
      <c r="AW452" s="307"/>
      <c r="AX452" s="307"/>
      <c r="AY452" s="307"/>
      <c r="AZ452" s="307"/>
      <c r="BA452" s="307"/>
      <c r="BB452" s="196"/>
      <c r="BC452" s="196"/>
      <c r="BD452" s="212"/>
      <c r="BE452" s="212"/>
      <c r="BF452" s="212"/>
      <c r="BG452" s="212"/>
      <c r="BH452" s="212"/>
      <c r="BI452" s="212"/>
      <c r="BJ452" s="212"/>
      <c r="BK452" s="212"/>
      <c r="BL452" s="212"/>
      <c r="BM452" s="212"/>
      <c r="BN452" s="212"/>
      <c r="BO452" s="212"/>
      <c r="BP452" s="212"/>
      <c r="BQ452" s="212"/>
      <c r="BR452" s="212"/>
      <c r="BS452" s="212"/>
      <c r="BT452" s="212"/>
      <c r="BU452" s="212"/>
      <c r="BV452" s="212"/>
      <c r="BW452" s="212"/>
      <c r="BX452" s="212"/>
      <c r="BY452" s="212"/>
      <c r="BZ452" s="212"/>
      <c r="CA452" s="212"/>
      <c r="CB452" s="212"/>
      <c r="CC452" s="212"/>
      <c r="CD452" s="212"/>
      <c r="CE452" s="212"/>
    </row>
    <row r="453" spans="1:83" x14ac:dyDescent="0.2">
      <c r="A453" s="1055"/>
      <c r="B453" s="496"/>
      <c r="C453" s="490"/>
      <c r="D453" s="328"/>
      <c r="E453" s="371"/>
      <c r="F453" s="371"/>
      <c r="G453" s="1056"/>
      <c r="H453" s="1056"/>
      <c r="I453" s="1057"/>
      <c r="J453" s="1058"/>
      <c r="K453" s="1056"/>
      <c r="L453" s="1056"/>
      <c r="M453" s="1056"/>
      <c r="N453" s="335"/>
      <c r="O453" s="1059"/>
      <c r="P453" s="1059"/>
      <c r="Q453" s="1059"/>
      <c r="R453" s="1059"/>
      <c r="S453" s="1046"/>
      <c r="T453" s="1060"/>
      <c r="U453" s="1041"/>
      <c r="V453" s="1041"/>
      <c r="W453" s="1041"/>
      <c r="X453" s="1041"/>
      <c r="Y453" s="1059"/>
      <c r="Z453" s="1059"/>
      <c r="AA453" s="1059"/>
      <c r="AB453" s="328"/>
      <c r="AC453" s="1062"/>
      <c r="AD453" s="822"/>
      <c r="AE453" s="832"/>
      <c r="AF453" s="832"/>
      <c r="AG453" s="832"/>
      <c r="AH453" s="822"/>
      <c r="AI453" s="832"/>
      <c r="AJ453" s="832"/>
      <c r="AK453" s="832"/>
      <c r="AL453" s="822"/>
      <c r="AM453" s="832"/>
      <c r="AN453" s="832"/>
      <c r="AO453" s="832"/>
      <c r="AP453" s="822"/>
      <c r="AQ453" s="822"/>
      <c r="AR453" s="822"/>
      <c r="AS453" s="307"/>
      <c r="AT453" s="307"/>
      <c r="AU453" s="307"/>
      <c r="AV453" s="307"/>
      <c r="AW453" s="307"/>
      <c r="AX453" s="307"/>
      <c r="AY453" s="307"/>
      <c r="AZ453" s="307"/>
      <c r="BA453" s="307"/>
      <c r="BB453" s="196"/>
      <c r="BC453" s="196"/>
      <c r="BD453" s="212"/>
      <c r="BE453" s="212"/>
      <c r="BF453" s="212"/>
      <c r="BG453" s="212"/>
      <c r="BH453" s="212"/>
      <c r="BI453" s="212"/>
      <c r="BJ453" s="212"/>
      <c r="BK453" s="212"/>
      <c r="BL453" s="212"/>
      <c r="BM453" s="212"/>
      <c r="BN453" s="212"/>
      <c r="BO453" s="212"/>
      <c r="BP453" s="212"/>
      <c r="BQ453" s="212"/>
      <c r="BR453" s="212"/>
      <c r="BS453" s="212"/>
      <c r="BT453" s="212"/>
      <c r="BU453" s="212"/>
      <c r="BV453" s="212"/>
      <c r="BW453" s="212"/>
      <c r="BX453" s="212"/>
      <c r="BY453" s="212"/>
      <c r="BZ453" s="212"/>
      <c r="CA453" s="212"/>
      <c r="CB453" s="212"/>
      <c r="CC453" s="212"/>
      <c r="CD453" s="212"/>
      <c r="CE453" s="212"/>
    </row>
    <row r="454" spans="1:83" x14ac:dyDescent="0.2">
      <c r="A454" s="1055"/>
      <c r="B454" s="497" t="str">
        <f>IF(Stammblatt!$L$4=1,'Kalkulation Herstellungskosten'!BB454,'Kalkulation Herstellungskosten'!BC454)</f>
        <v>10. Reise-, Beförderungs- und Transportkosten  *)</v>
      </c>
      <c r="C454" s="490"/>
      <c r="D454" s="328"/>
      <c r="E454" s="371"/>
      <c r="F454" s="371"/>
      <c r="G454" s="1056"/>
      <c r="H454" s="1056"/>
      <c r="I454" s="1057"/>
      <c r="J454" s="1058"/>
      <c r="K454" s="1056"/>
      <c r="L454" s="1056"/>
      <c r="M454" s="1056"/>
      <c r="N454" s="335"/>
      <c r="O454" s="1059"/>
      <c r="P454" s="1059"/>
      <c r="Q454" s="1059"/>
      <c r="R454" s="1059"/>
      <c r="S454" s="1046"/>
      <c r="T454" s="1060"/>
      <c r="U454" s="1041"/>
      <c r="V454" s="1041"/>
      <c r="W454" s="1041"/>
      <c r="X454" s="1041"/>
      <c r="Y454" s="1059"/>
      <c r="Z454" s="1059"/>
      <c r="AA454" s="1059"/>
      <c r="AB454" s="328"/>
      <c r="AC454" s="1062"/>
      <c r="AD454" s="822"/>
      <c r="AE454" s="832"/>
      <c r="AF454" s="832"/>
      <c r="AG454" s="832"/>
      <c r="AH454" s="822"/>
      <c r="AI454" s="832"/>
      <c r="AJ454" s="832"/>
      <c r="AK454" s="832"/>
      <c r="AL454" s="822"/>
      <c r="AM454" s="832"/>
      <c r="AN454" s="832"/>
      <c r="AO454" s="832"/>
      <c r="AP454" s="822"/>
      <c r="AQ454" s="822"/>
      <c r="AR454" s="822"/>
      <c r="AS454" s="307"/>
      <c r="AT454" s="307"/>
      <c r="AU454" s="307"/>
      <c r="AV454" s="307"/>
      <c r="AW454" s="307"/>
      <c r="AX454" s="307"/>
      <c r="AY454" s="307"/>
      <c r="AZ454" s="307"/>
      <c r="BA454" s="307"/>
      <c r="BB454" s="196" t="s">
        <v>90</v>
      </c>
      <c r="BC454" s="196" t="s">
        <v>432</v>
      </c>
      <c r="BD454" s="212"/>
      <c r="BE454" s="212"/>
      <c r="BF454" s="212"/>
      <c r="BG454" s="212"/>
      <c r="BH454" s="212"/>
      <c r="BI454" s="212"/>
      <c r="BJ454" s="212"/>
      <c r="BK454" s="212"/>
      <c r="BL454" s="212"/>
      <c r="BM454" s="212"/>
      <c r="BN454" s="212"/>
      <c r="BO454" s="212"/>
      <c r="BP454" s="212"/>
      <c r="BQ454" s="212"/>
      <c r="BR454" s="212"/>
      <c r="BS454" s="212"/>
      <c r="BT454" s="212"/>
      <c r="BU454" s="212"/>
      <c r="BV454" s="212"/>
      <c r="BW454" s="212"/>
      <c r="BX454" s="212"/>
      <c r="BY454" s="212"/>
      <c r="BZ454" s="212"/>
      <c r="CA454" s="212"/>
      <c r="CB454" s="212"/>
      <c r="CC454" s="212"/>
      <c r="CD454" s="212"/>
      <c r="CE454" s="212"/>
    </row>
    <row r="455" spans="1:83" x14ac:dyDescent="0.2">
      <c r="A455" s="1091">
        <v>160</v>
      </c>
      <c r="B455" s="1082" t="str">
        <f>IF(Stammblatt!$L$4=1,'Kalkulation Herstellungskosten'!BB455,'Kalkulation Herstellungskosten'!BC455)</f>
        <v>Fahrtkosten</v>
      </c>
      <c r="C455" s="317"/>
      <c r="D455" s="318"/>
      <c r="E455" s="319"/>
      <c r="F455" s="319">
        <f>'Zu 10 (Reise-, Transportkosten)'!I23</f>
        <v>0</v>
      </c>
      <c r="G455" s="320"/>
      <c r="H455" s="320"/>
      <c r="I455" s="321"/>
      <c r="J455" s="322"/>
      <c r="K455" s="320"/>
      <c r="L455" s="320"/>
      <c r="M455" s="320"/>
      <c r="N455" s="323"/>
      <c r="O455" s="512"/>
      <c r="P455" s="506"/>
      <c r="Q455" s="507"/>
      <c r="R455" s="505"/>
      <c r="S455" s="514"/>
      <c r="T455" s="517"/>
      <c r="U455" s="505"/>
      <c r="V455" s="1053">
        <f>SUM(T455:U455)</f>
        <v>0</v>
      </c>
      <c r="W455" s="1053">
        <f>F455-V455</f>
        <v>0</v>
      </c>
      <c r="X455" s="512"/>
      <c r="Y455" s="508"/>
      <c r="Z455" s="507"/>
      <c r="AA455" s="505"/>
      <c r="AB455" s="295"/>
      <c r="AC455" s="305"/>
      <c r="AD455" s="1075">
        <f>'Zu 10 (Reise-, Transportkosten)'!K23</f>
        <v>0</v>
      </c>
      <c r="AE455" s="800"/>
      <c r="AF455" s="801"/>
      <c r="AG455" s="831">
        <f>SUM(AE455:AF455)</f>
        <v>0</v>
      </c>
      <c r="AH455" s="1075">
        <f>'Zu 10 (Reise-, Transportkosten)'!L23</f>
        <v>0</v>
      </c>
      <c r="AI455" s="800"/>
      <c r="AJ455" s="801"/>
      <c r="AK455" s="831">
        <f>SUM(AI455:AJ455)</f>
        <v>0</v>
      </c>
      <c r="AL455" s="1075">
        <f>'Zu 10 (Reise-, Transportkosten)'!M23</f>
        <v>0</v>
      </c>
      <c r="AM455" s="800"/>
      <c r="AN455" s="801"/>
      <c r="AO455" s="831">
        <f>SUM(AM455:AN455)</f>
        <v>0</v>
      </c>
      <c r="AP455" s="1079">
        <f t="shared" ref="AP455" si="391">SUM(F455,AD455,AH455,AL455)</f>
        <v>0</v>
      </c>
      <c r="AQ455" s="1079">
        <f t="shared" ref="AQ455" si="392">SUM(AO455,AK455,AG455,V455)</f>
        <v>0</v>
      </c>
      <c r="AR455" s="1080">
        <f t="shared" ref="AR455" si="393">AP455-AQ455</f>
        <v>0</v>
      </c>
      <c r="AS455" s="307"/>
      <c r="AT455" s="307"/>
      <c r="AU455" s="307"/>
      <c r="AV455" s="307"/>
      <c r="AW455" s="307"/>
      <c r="AX455" s="307"/>
      <c r="AY455" s="307"/>
      <c r="AZ455" s="307"/>
      <c r="BA455" s="307"/>
      <c r="BB455" s="196" t="s">
        <v>91</v>
      </c>
      <c r="BC455" s="196" t="s">
        <v>404</v>
      </c>
      <c r="BD455" s="212"/>
      <c r="BE455" s="212"/>
      <c r="BF455" s="212"/>
      <c r="BG455" s="212"/>
      <c r="BH455" s="212"/>
      <c r="BI455" s="212"/>
      <c r="BJ455" s="212"/>
      <c r="BK455" s="212"/>
      <c r="BL455" s="212"/>
      <c r="BM455" s="212"/>
      <c r="BN455" s="212"/>
      <c r="BO455" s="212"/>
      <c r="BP455" s="212"/>
      <c r="BQ455" s="212"/>
      <c r="BR455" s="212"/>
      <c r="BS455" s="212"/>
      <c r="BT455" s="212"/>
      <c r="BU455" s="212"/>
      <c r="BV455" s="212"/>
      <c r="BW455" s="212"/>
      <c r="BX455" s="212"/>
      <c r="BY455" s="212"/>
      <c r="BZ455" s="212"/>
      <c r="CA455" s="212"/>
      <c r="CB455" s="212"/>
      <c r="CC455" s="212"/>
      <c r="CD455" s="212"/>
      <c r="CE455" s="212"/>
    </row>
    <row r="456" spans="1:83" x14ac:dyDescent="0.2">
      <c r="A456" s="1091">
        <v>161</v>
      </c>
      <c r="B456" s="1082" t="str">
        <f>IF(Stammblatt!$L$4=1,'Kalkulation Herstellungskosten'!BB456,'Kalkulation Herstellungskosten'!BC456)</f>
        <v>Tag-u. Übernachtungsgelder</v>
      </c>
      <c r="C456" s="317"/>
      <c r="D456" s="318"/>
      <c r="E456" s="319"/>
      <c r="F456" s="319">
        <f>'Zu 10 (Reise-, Transportkosten)'!I44</f>
        <v>0</v>
      </c>
      <c r="G456" s="320"/>
      <c r="H456" s="320"/>
      <c r="I456" s="321"/>
      <c r="J456" s="347"/>
      <c r="K456" s="348"/>
      <c r="L456" s="348"/>
      <c r="M456" s="348"/>
      <c r="N456" s="349"/>
      <c r="O456" s="512"/>
      <c r="P456" s="506"/>
      <c r="Q456" s="507"/>
      <c r="R456" s="505"/>
      <c r="S456" s="514"/>
      <c r="T456" s="517"/>
      <c r="U456" s="505"/>
      <c r="V456" s="1053">
        <f>SUM(T456:U456)</f>
        <v>0</v>
      </c>
      <c r="W456" s="1053">
        <f>F456-V456</f>
        <v>0</v>
      </c>
      <c r="X456" s="512"/>
      <c r="Y456" s="508"/>
      <c r="Z456" s="507"/>
      <c r="AA456" s="505"/>
      <c r="AB456" s="295"/>
      <c r="AC456" s="305"/>
      <c r="AD456" s="1075">
        <f>'Zu 10 (Reise-, Transportkosten)'!K44</f>
        <v>0</v>
      </c>
      <c r="AE456" s="800"/>
      <c r="AF456" s="801"/>
      <c r="AG456" s="831">
        <f>SUM(AE456:AF456)</f>
        <v>0</v>
      </c>
      <c r="AH456" s="1075">
        <f>'Zu 10 (Reise-, Transportkosten)'!L44</f>
        <v>0</v>
      </c>
      <c r="AI456" s="800"/>
      <c r="AJ456" s="801"/>
      <c r="AK456" s="831">
        <f>SUM(AI456:AJ456)</f>
        <v>0</v>
      </c>
      <c r="AL456" s="1075">
        <f>'Zu 10 (Reise-, Transportkosten)'!M44</f>
        <v>0</v>
      </c>
      <c r="AM456" s="800"/>
      <c r="AN456" s="801"/>
      <c r="AO456" s="831">
        <f>SUM(AM456:AN456)</f>
        <v>0</v>
      </c>
      <c r="AP456" s="1079">
        <f t="shared" ref="AP456:AP457" si="394">SUM(F456,AD456,AH456,AL456)</f>
        <v>0</v>
      </c>
      <c r="AQ456" s="1079">
        <f t="shared" ref="AQ456:AQ457" si="395">SUM(AO456,AK456,AG456,V456)</f>
        <v>0</v>
      </c>
      <c r="AR456" s="1080">
        <f t="shared" ref="AR456:AR457" si="396">AP456-AQ456</f>
        <v>0</v>
      </c>
      <c r="AS456" s="307"/>
      <c r="AT456" s="307"/>
      <c r="AU456" s="307"/>
      <c r="AV456" s="307"/>
      <c r="AW456" s="307"/>
      <c r="AX456" s="307"/>
      <c r="AY456" s="307"/>
      <c r="AZ456" s="307"/>
      <c r="BA456" s="307"/>
      <c r="BB456" s="196" t="s">
        <v>92</v>
      </c>
      <c r="BC456" s="196" t="s">
        <v>405</v>
      </c>
      <c r="BD456" s="212"/>
      <c r="BE456" s="212"/>
      <c r="BF456" s="212"/>
      <c r="BG456" s="212"/>
      <c r="BH456" s="212"/>
      <c r="BI456" s="212"/>
      <c r="BJ456" s="212"/>
      <c r="BK456" s="212"/>
      <c r="BL456" s="212"/>
      <c r="BM456" s="212"/>
      <c r="BN456" s="212"/>
      <c r="BO456" s="212"/>
      <c r="BP456" s="212"/>
      <c r="BQ456" s="212"/>
      <c r="BR456" s="212"/>
      <c r="BS456" s="212"/>
      <c r="BT456" s="212"/>
      <c r="BU456" s="212"/>
      <c r="BV456" s="212"/>
      <c r="BW456" s="212"/>
      <c r="BX456" s="212"/>
      <c r="BY456" s="212"/>
      <c r="BZ456" s="212"/>
      <c r="CA456" s="212"/>
      <c r="CB456" s="212"/>
      <c r="CC456" s="212"/>
      <c r="CD456" s="212"/>
      <c r="CE456" s="212"/>
    </row>
    <row r="457" spans="1:83" x14ac:dyDescent="0.2">
      <c r="A457" s="1091">
        <v>162</v>
      </c>
      <c r="B457" s="1082" t="str">
        <f>IF(Stammblatt!$L$4=1,'Kalkulation Herstellungskosten'!BB457,'Kalkulation Herstellungskosten'!BC457)</f>
        <v>Beförderungs- und Transportkosten, Frachten, Rollgelder und Taxis</v>
      </c>
      <c r="C457" s="317"/>
      <c r="D457" s="318"/>
      <c r="E457" s="319"/>
      <c r="F457" s="319">
        <f>'Zu 10 (Reise-, Transportkosten)'!I69</f>
        <v>0</v>
      </c>
      <c r="G457" s="320"/>
      <c r="H457" s="320"/>
      <c r="I457" s="321"/>
      <c r="J457" s="347"/>
      <c r="K457" s="348"/>
      <c r="L457" s="348"/>
      <c r="M457" s="348"/>
      <c r="N457" s="349"/>
      <c r="O457" s="512"/>
      <c r="P457" s="506"/>
      <c r="Q457" s="507"/>
      <c r="R457" s="505"/>
      <c r="S457" s="514"/>
      <c r="T457" s="517"/>
      <c r="U457" s="505"/>
      <c r="V457" s="1053">
        <f>SUM(T457:U457)</f>
        <v>0</v>
      </c>
      <c r="W457" s="1053">
        <f>F457-V457</f>
        <v>0</v>
      </c>
      <c r="X457" s="512"/>
      <c r="Y457" s="508"/>
      <c r="Z457" s="507"/>
      <c r="AA457" s="505"/>
      <c r="AB457" s="295"/>
      <c r="AC457" s="305"/>
      <c r="AD457" s="1075">
        <f>'Zu 10 (Reise-, Transportkosten)'!K69</f>
        <v>0</v>
      </c>
      <c r="AE457" s="800"/>
      <c r="AF457" s="801"/>
      <c r="AG457" s="831">
        <f>SUM(AE457:AF457)</f>
        <v>0</v>
      </c>
      <c r="AH457" s="1075">
        <f>'Zu 10 (Reise-, Transportkosten)'!L69</f>
        <v>0</v>
      </c>
      <c r="AI457" s="800"/>
      <c r="AJ457" s="801"/>
      <c r="AK457" s="831">
        <f>SUM(AI457:AJ457)</f>
        <v>0</v>
      </c>
      <c r="AL457" s="1075">
        <f>'Zu 10 (Reise-, Transportkosten)'!M69</f>
        <v>0</v>
      </c>
      <c r="AM457" s="800"/>
      <c r="AN457" s="801"/>
      <c r="AO457" s="831">
        <f>SUM(AM457:AN457)</f>
        <v>0</v>
      </c>
      <c r="AP457" s="1079">
        <f t="shared" si="394"/>
        <v>0</v>
      </c>
      <c r="AQ457" s="1079">
        <f t="shared" si="395"/>
        <v>0</v>
      </c>
      <c r="AR457" s="1080">
        <f t="shared" si="396"/>
        <v>0</v>
      </c>
      <c r="AS457" s="307"/>
      <c r="AT457" s="307"/>
      <c r="AU457" s="307"/>
      <c r="AV457" s="307"/>
      <c r="AW457" s="307"/>
      <c r="AX457" s="307"/>
      <c r="AY457" s="307"/>
      <c r="AZ457" s="307"/>
      <c r="BA457" s="307"/>
      <c r="BB457" s="196" t="s">
        <v>93</v>
      </c>
      <c r="BC457" s="196" t="s">
        <v>406</v>
      </c>
      <c r="BD457" s="212"/>
      <c r="BE457" s="212"/>
      <c r="BF457" s="212"/>
      <c r="BG457" s="212"/>
      <c r="BH457" s="212"/>
      <c r="BI457" s="212"/>
      <c r="BJ457" s="212"/>
      <c r="BK457" s="212"/>
      <c r="BL457" s="212"/>
      <c r="BM457" s="212"/>
      <c r="BN457" s="212"/>
      <c r="BO457" s="212"/>
      <c r="BP457" s="212"/>
      <c r="BQ457" s="212"/>
      <c r="BR457" s="212"/>
      <c r="BS457" s="212"/>
      <c r="BT457" s="212"/>
      <c r="BU457" s="212"/>
      <c r="BV457" s="212"/>
      <c r="BW457" s="212"/>
      <c r="BX457" s="212"/>
      <c r="BY457" s="212"/>
      <c r="BZ457" s="212"/>
      <c r="CA457" s="212"/>
      <c r="CB457" s="212"/>
      <c r="CC457" s="212"/>
      <c r="CD457" s="212"/>
      <c r="CE457" s="212"/>
    </row>
    <row r="458" spans="1:83" x14ac:dyDescent="0.2">
      <c r="A458" s="1055"/>
      <c r="B458" s="496"/>
      <c r="C458" s="490"/>
      <c r="D458" s="328"/>
      <c r="E458" s="371"/>
      <c r="F458" s="371"/>
      <c r="G458" s="1056"/>
      <c r="H458" s="1056"/>
      <c r="I458" s="1057"/>
      <c r="J458" s="1058"/>
      <c r="K458" s="1056"/>
      <c r="L458" s="1056"/>
      <c r="M458" s="1056"/>
      <c r="N458" s="335"/>
      <c r="O458" s="1059"/>
      <c r="P458" s="1059"/>
      <c r="Q458" s="1059"/>
      <c r="R458" s="1059"/>
      <c r="S458" s="1046"/>
      <c r="T458" s="1060"/>
      <c r="U458" s="1041"/>
      <c r="V458" s="1041"/>
      <c r="W458" s="1041"/>
      <c r="X458" s="1059"/>
      <c r="Y458" s="1059"/>
      <c r="Z458" s="1059"/>
      <c r="AA458" s="1059"/>
      <c r="AB458" s="328"/>
      <c r="AC458" s="1062"/>
      <c r="AD458" s="822"/>
      <c r="AE458" s="832"/>
      <c r="AF458" s="832"/>
      <c r="AG458" s="832"/>
      <c r="AH458" s="822"/>
      <c r="AI458" s="832"/>
      <c r="AJ458" s="832"/>
      <c r="AK458" s="832"/>
      <c r="AL458" s="822"/>
      <c r="AM458" s="832"/>
      <c r="AN458" s="832"/>
      <c r="AO458" s="832"/>
      <c r="AP458" s="822"/>
      <c r="AQ458" s="822"/>
      <c r="AR458" s="822"/>
      <c r="AS458" s="307"/>
      <c r="AT458" s="307"/>
      <c r="AU458" s="307"/>
      <c r="AV458" s="307"/>
      <c r="AW458" s="307"/>
      <c r="AX458" s="307"/>
      <c r="AY458" s="307"/>
      <c r="AZ458" s="307"/>
      <c r="BA458" s="307"/>
      <c r="BB458" s="196"/>
      <c r="BC458" s="196"/>
      <c r="BD458" s="212"/>
      <c r="BE458" s="212"/>
      <c r="BF458" s="212"/>
      <c r="BG458" s="212"/>
      <c r="BH458" s="212"/>
      <c r="BI458" s="212"/>
      <c r="BJ458" s="212"/>
      <c r="BK458" s="212"/>
      <c r="BL458" s="212"/>
      <c r="BM458" s="212"/>
      <c r="BN458" s="212"/>
      <c r="BO458" s="212"/>
      <c r="BP458" s="212"/>
      <c r="BQ458" s="212"/>
      <c r="BR458" s="212"/>
      <c r="BS458" s="212"/>
      <c r="BT458" s="212"/>
      <c r="BU458" s="212"/>
      <c r="BV458" s="212"/>
      <c r="BW458" s="212"/>
      <c r="BX458" s="212"/>
      <c r="BY458" s="212"/>
      <c r="BZ458" s="212"/>
      <c r="CA458" s="212"/>
      <c r="CB458" s="212"/>
      <c r="CC458" s="212"/>
      <c r="CD458" s="212"/>
      <c r="CE458" s="212"/>
    </row>
    <row r="459" spans="1:83" x14ac:dyDescent="0.2">
      <c r="A459" s="1092"/>
      <c r="B459" s="1090" t="str">
        <f>IF(Stammblatt!$L$4=1,'Kalkulation Herstellungskosten'!BB459,'Kalkulation Herstellungskosten'!BC459)</f>
        <v>Σ-Reise-, Beförderungs- und Transportkosten</v>
      </c>
      <c r="C459" s="1152"/>
      <c r="D459" s="1153"/>
      <c r="E459" s="1154"/>
      <c r="F459" s="1154">
        <f>SUM(F455:F458)</f>
        <v>0</v>
      </c>
      <c r="G459" s="1154"/>
      <c r="H459" s="1154"/>
      <c r="I459" s="1155"/>
      <c r="J459" s="1156"/>
      <c r="K459" s="1154"/>
      <c r="L459" s="1154"/>
      <c r="M459" s="1154"/>
      <c r="N459" s="904"/>
      <c r="O459" s="90">
        <f t="shared" ref="O459:P459" si="397">SUM(O455:O458)</f>
        <v>0</v>
      </c>
      <c r="P459" s="90">
        <f t="shared" si="397"/>
        <v>0</v>
      </c>
      <c r="Q459" s="90">
        <f t="shared" ref="Q459:R459" si="398">SUM(Q455:Q458)</f>
        <v>0</v>
      </c>
      <c r="R459" s="90">
        <f t="shared" si="398"/>
        <v>0</v>
      </c>
      <c r="S459" s="1046"/>
      <c r="T459" s="511">
        <f>SUM(T455:T458)</f>
        <v>0</v>
      </c>
      <c r="U459" s="90">
        <f>SUM(U455:U458)</f>
        <v>0</v>
      </c>
      <c r="V459" s="90">
        <f>SUM(V455:V458)</f>
        <v>0</v>
      </c>
      <c r="W459" s="90">
        <f>ZS_10_Reisekosten-V459</f>
        <v>0</v>
      </c>
      <c r="X459" s="90">
        <f t="shared" ref="X459" si="399">SUM(X455:X458)</f>
        <v>0</v>
      </c>
      <c r="Y459" s="90">
        <f t="shared" ref="Y459:AA459" si="400">SUM(Y455:Y458)</f>
        <v>0</v>
      </c>
      <c r="Z459" s="90">
        <f t="shared" si="400"/>
        <v>0</v>
      </c>
      <c r="AA459" s="90">
        <f t="shared" si="400"/>
        <v>0</v>
      </c>
      <c r="AB459" s="328"/>
      <c r="AC459" s="1062"/>
      <c r="AD459" s="1158">
        <f t="shared" ref="AD459:AL459" si="401">SUM(AD455:AD458)</f>
        <v>0</v>
      </c>
      <c r="AE459" s="1037">
        <f t="shared" ref="AE459:AG459" si="402">SUM(AE455:AE458)</f>
        <v>0</v>
      </c>
      <c r="AF459" s="653">
        <f t="shared" si="402"/>
        <v>0</v>
      </c>
      <c r="AG459" s="653">
        <f t="shared" si="402"/>
        <v>0</v>
      </c>
      <c r="AH459" s="1158">
        <f t="shared" si="401"/>
        <v>0</v>
      </c>
      <c r="AI459" s="1037">
        <f t="shared" ref="AI459:AK459" si="403">SUM(AI455:AI458)</f>
        <v>0</v>
      </c>
      <c r="AJ459" s="653">
        <f t="shared" si="403"/>
        <v>0</v>
      </c>
      <c r="AK459" s="653">
        <f t="shared" si="403"/>
        <v>0</v>
      </c>
      <c r="AL459" s="1158">
        <f t="shared" si="401"/>
        <v>0</v>
      </c>
      <c r="AM459" s="1037">
        <f t="shared" ref="AM459:AO459" si="404">SUM(AM455:AM458)</f>
        <v>0</v>
      </c>
      <c r="AN459" s="653">
        <f t="shared" si="404"/>
        <v>0</v>
      </c>
      <c r="AO459" s="653">
        <f t="shared" si="404"/>
        <v>0</v>
      </c>
      <c r="AP459" s="653">
        <f>SUM(AP455:AP458)</f>
        <v>0</v>
      </c>
      <c r="AQ459" s="653">
        <f>SUM(AQ455:AQ458)</f>
        <v>0</v>
      </c>
      <c r="AR459" s="653">
        <f>AP459-AQ459</f>
        <v>0</v>
      </c>
      <c r="AS459" s="307"/>
      <c r="AT459" s="307"/>
      <c r="AU459" s="307"/>
      <c r="AV459" s="307"/>
      <c r="AW459" s="307"/>
      <c r="AX459" s="307"/>
      <c r="AY459" s="307"/>
      <c r="AZ459" s="307"/>
      <c r="BA459" s="307"/>
      <c r="BB459" s="196" t="s">
        <v>236</v>
      </c>
      <c r="BC459" s="196" t="s">
        <v>433</v>
      </c>
      <c r="BD459" s="212"/>
      <c r="BE459" s="212"/>
      <c r="BF459" s="212"/>
      <c r="BG459" s="212"/>
      <c r="BH459" s="212"/>
      <c r="BI459" s="212"/>
      <c r="BJ459" s="212"/>
      <c r="BK459" s="212"/>
      <c r="BL459" s="212"/>
      <c r="BM459" s="212"/>
      <c r="BN459" s="212"/>
      <c r="BO459" s="212"/>
      <c r="BP459" s="212"/>
      <c r="BQ459" s="212"/>
      <c r="BR459" s="212"/>
      <c r="BS459" s="212"/>
      <c r="BT459" s="212"/>
      <c r="BU459" s="212"/>
      <c r="BV459" s="212"/>
      <c r="BW459" s="212"/>
      <c r="BX459" s="212"/>
      <c r="BY459" s="212"/>
      <c r="BZ459" s="212"/>
      <c r="CA459" s="212"/>
      <c r="CB459" s="212"/>
      <c r="CC459" s="212"/>
      <c r="CD459" s="212"/>
      <c r="CE459" s="212"/>
    </row>
    <row r="460" spans="1:83" x14ac:dyDescent="0.2">
      <c r="A460" s="1055"/>
      <c r="B460" s="496"/>
      <c r="C460" s="490"/>
      <c r="D460" s="328"/>
      <c r="E460" s="371"/>
      <c r="F460" s="371"/>
      <c r="G460" s="1056"/>
      <c r="H460" s="1056"/>
      <c r="I460" s="1057"/>
      <c r="J460" s="1058"/>
      <c r="K460" s="1056"/>
      <c r="L460" s="1056"/>
      <c r="M460" s="1056"/>
      <c r="N460" s="335"/>
      <c r="O460" s="1059"/>
      <c r="P460" s="1059"/>
      <c r="Q460" s="1059"/>
      <c r="R460" s="1059"/>
      <c r="S460" s="1046"/>
      <c r="T460" s="1060"/>
      <c r="U460" s="1041"/>
      <c r="V460" s="1041"/>
      <c r="W460" s="1041"/>
      <c r="X460" s="1041"/>
      <c r="Y460" s="1059"/>
      <c r="Z460" s="1059"/>
      <c r="AA460" s="1059"/>
      <c r="AB460" s="328"/>
      <c r="AC460" s="1062"/>
      <c r="AD460" s="822"/>
      <c r="AE460" s="832"/>
      <c r="AF460" s="832"/>
      <c r="AG460" s="832"/>
      <c r="AH460" s="822"/>
      <c r="AI460" s="832"/>
      <c r="AJ460" s="832"/>
      <c r="AK460" s="832"/>
      <c r="AL460" s="822"/>
      <c r="AM460" s="832"/>
      <c r="AN460" s="832"/>
      <c r="AO460" s="832"/>
      <c r="AP460" s="822"/>
      <c r="AQ460" s="822"/>
      <c r="AR460" s="822"/>
      <c r="AS460" s="307"/>
      <c r="AT460" s="307"/>
      <c r="AU460" s="307"/>
      <c r="AV460" s="307"/>
      <c r="AW460" s="307"/>
      <c r="AX460" s="307"/>
      <c r="AY460" s="307"/>
      <c r="AZ460" s="307"/>
      <c r="BA460" s="307"/>
      <c r="BB460" s="196"/>
      <c r="BC460" s="196"/>
      <c r="BD460" s="212"/>
      <c r="BE460" s="212"/>
      <c r="BF460" s="212"/>
      <c r="BG460" s="212"/>
      <c r="BH460" s="212"/>
      <c r="BI460" s="212"/>
      <c r="BJ460" s="212"/>
      <c r="BK460" s="212"/>
      <c r="BL460" s="212"/>
      <c r="BM460" s="212"/>
      <c r="BN460" s="212"/>
      <c r="BO460" s="212"/>
      <c r="BP460" s="212"/>
      <c r="BQ460" s="212"/>
      <c r="BR460" s="212"/>
      <c r="BS460" s="212"/>
      <c r="BT460" s="212"/>
      <c r="BU460" s="212"/>
      <c r="BV460" s="212"/>
      <c r="BW460" s="212"/>
      <c r="BX460" s="212"/>
      <c r="BY460" s="212"/>
      <c r="BZ460" s="212"/>
      <c r="CA460" s="212"/>
      <c r="CB460" s="212"/>
      <c r="CC460" s="212"/>
      <c r="CD460" s="212"/>
      <c r="CE460" s="212"/>
    </row>
    <row r="461" spans="1:83" x14ac:dyDescent="0.2">
      <c r="A461" s="1055"/>
      <c r="B461" s="496"/>
      <c r="C461" s="490"/>
      <c r="D461" s="328"/>
      <c r="E461" s="371"/>
      <c r="F461" s="371"/>
      <c r="G461" s="1056"/>
      <c r="H461" s="1056"/>
      <c r="I461" s="1057"/>
      <c r="J461" s="1058"/>
      <c r="K461" s="1056"/>
      <c r="L461" s="1056"/>
      <c r="M461" s="1056"/>
      <c r="N461" s="335"/>
      <c r="O461" s="1059"/>
      <c r="P461" s="1059"/>
      <c r="Q461" s="1059"/>
      <c r="R461" s="1059"/>
      <c r="S461" s="1046"/>
      <c r="T461" s="1060"/>
      <c r="U461" s="1041"/>
      <c r="V461" s="1041"/>
      <c r="W461" s="1041"/>
      <c r="X461" s="1041"/>
      <c r="Y461" s="1059"/>
      <c r="Z461" s="1059"/>
      <c r="AA461" s="1059"/>
      <c r="AB461" s="328"/>
      <c r="AC461" s="1062"/>
      <c r="AD461" s="822"/>
      <c r="AE461" s="832"/>
      <c r="AF461" s="832"/>
      <c r="AG461" s="832"/>
      <c r="AH461" s="822"/>
      <c r="AI461" s="832"/>
      <c r="AJ461" s="832"/>
      <c r="AK461" s="832"/>
      <c r="AL461" s="822"/>
      <c r="AM461" s="832"/>
      <c r="AN461" s="832"/>
      <c r="AO461" s="832"/>
      <c r="AP461" s="822"/>
      <c r="AQ461" s="822"/>
      <c r="AR461" s="822"/>
      <c r="AS461" s="307"/>
      <c r="AT461" s="307"/>
      <c r="AU461" s="307"/>
      <c r="AV461" s="307"/>
      <c r="AW461" s="307"/>
      <c r="AX461" s="307"/>
      <c r="AY461" s="307"/>
      <c r="AZ461" s="307"/>
      <c r="BA461" s="307"/>
      <c r="BB461" s="196"/>
      <c r="BC461" s="196"/>
      <c r="BD461" s="212"/>
      <c r="BE461" s="212"/>
      <c r="BF461" s="212"/>
      <c r="BG461" s="212"/>
      <c r="BH461" s="212"/>
      <c r="BI461" s="212"/>
      <c r="BJ461" s="212"/>
      <c r="BK461" s="212"/>
      <c r="BL461" s="212"/>
      <c r="BM461" s="212"/>
      <c r="BN461" s="212"/>
      <c r="BO461" s="212"/>
      <c r="BP461" s="212"/>
      <c r="BQ461" s="212"/>
      <c r="BR461" s="212"/>
      <c r="BS461" s="212"/>
      <c r="BT461" s="212"/>
      <c r="BU461" s="212"/>
      <c r="BV461" s="212"/>
      <c r="BW461" s="212"/>
      <c r="BX461" s="212"/>
      <c r="BY461" s="212"/>
      <c r="BZ461" s="212"/>
      <c r="CA461" s="212"/>
      <c r="CB461" s="212"/>
      <c r="CC461" s="212"/>
      <c r="CD461" s="212"/>
      <c r="CE461" s="212"/>
    </row>
    <row r="462" spans="1:83" s="24" customFormat="1" x14ac:dyDescent="0.2">
      <c r="A462" s="1066"/>
      <c r="B462" s="497" t="str">
        <f>IF(Stammblatt!$L$4=1,'Kalkulation Herstellungskosten'!BB462,'Kalkulation Herstellungskosten'!BC462)</f>
        <v>11. Allgemeine Kosten</v>
      </c>
      <c r="C462" s="379"/>
      <c r="D462" s="1067"/>
      <c r="E462" s="329"/>
      <c r="F462" s="329"/>
      <c r="G462" s="1062"/>
      <c r="H462" s="1062"/>
      <c r="I462" s="1068"/>
      <c r="J462" s="1069"/>
      <c r="K462" s="1062"/>
      <c r="L462" s="1062"/>
      <c r="M462" s="1062"/>
      <c r="N462" s="1070"/>
      <c r="O462" s="1038"/>
      <c r="P462" s="1038"/>
      <c r="Q462" s="1038"/>
      <c r="R462" s="1038"/>
      <c r="S462" s="1046"/>
      <c r="T462" s="1071"/>
      <c r="U462" s="1040"/>
      <c r="V462" s="1040"/>
      <c r="W462" s="1040"/>
      <c r="X462" s="1040"/>
      <c r="Y462" s="1038"/>
      <c r="Z462" s="1038"/>
      <c r="AA462" s="1038"/>
      <c r="AB462" s="328"/>
      <c r="AC462" s="1062"/>
      <c r="AD462" s="1135"/>
      <c r="AE462" s="1138"/>
      <c r="AF462" s="1138"/>
      <c r="AG462" s="1138"/>
      <c r="AH462" s="1135"/>
      <c r="AI462" s="1138"/>
      <c r="AJ462" s="1138"/>
      <c r="AK462" s="1138"/>
      <c r="AL462" s="1135"/>
      <c r="AM462" s="1138"/>
      <c r="AN462" s="1138"/>
      <c r="AO462" s="1138"/>
      <c r="AP462" s="1135"/>
      <c r="AQ462" s="1135"/>
      <c r="AR462" s="1135"/>
      <c r="AS462" s="307"/>
      <c r="AT462" s="307"/>
      <c r="AU462" s="307"/>
      <c r="AV462" s="307"/>
      <c r="AW462" s="307"/>
      <c r="AX462" s="307"/>
      <c r="AY462" s="307"/>
      <c r="AZ462" s="307"/>
      <c r="BA462" s="307"/>
      <c r="BB462" s="196" t="s">
        <v>94</v>
      </c>
      <c r="BC462" s="196" t="s">
        <v>435</v>
      </c>
      <c r="BD462" s="308"/>
      <c r="BE462" s="308"/>
      <c r="BF462" s="308"/>
      <c r="BG462" s="308"/>
      <c r="BH462" s="308"/>
      <c r="BI462" s="308"/>
      <c r="BJ462" s="308"/>
      <c r="BK462" s="308"/>
      <c r="BL462" s="308"/>
      <c r="BM462" s="308"/>
      <c r="BN462" s="308"/>
      <c r="BO462" s="308"/>
      <c r="BP462" s="308"/>
      <c r="BQ462" s="308"/>
      <c r="BR462" s="308"/>
      <c r="BS462" s="308"/>
      <c r="BT462" s="308"/>
      <c r="BU462" s="308"/>
      <c r="BV462" s="308"/>
      <c r="BW462" s="308"/>
      <c r="BX462" s="308"/>
      <c r="BY462" s="308"/>
      <c r="BZ462" s="308"/>
      <c r="CA462" s="308"/>
      <c r="CB462" s="308"/>
      <c r="CC462" s="308"/>
      <c r="CD462" s="308"/>
      <c r="CE462" s="308"/>
    </row>
    <row r="463" spans="1:83" x14ac:dyDescent="0.2">
      <c r="A463" s="1091">
        <v>163</v>
      </c>
      <c r="B463" s="1082" t="str">
        <f>IF(Stammblatt!$L$4=1,'Kalkulation Herstellungskosten'!BB463,'Kalkulation Herstellungskosten'!BC463)</f>
        <v>Büromaterial/Porti</v>
      </c>
      <c r="C463" s="317"/>
      <c r="D463" s="318"/>
      <c r="E463" s="319"/>
      <c r="F463" s="32">
        <v>0</v>
      </c>
      <c r="G463" s="320"/>
      <c r="H463" s="320"/>
      <c r="I463" s="321"/>
      <c r="J463" s="322"/>
      <c r="K463" s="320"/>
      <c r="L463" s="320"/>
      <c r="M463" s="320"/>
      <c r="N463" s="323"/>
      <c r="O463" s="512"/>
      <c r="P463" s="506"/>
      <c r="Q463" s="507"/>
      <c r="R463" s="505"/>
      <c r="S463" s="514"/>
      <c r="T463" s="517"/>
      <c r="U463" s="505"/>
      <c r="V463" s="1053">
        <f>SUM(T463:U463)</f>
        <v>0</v>
      </c>
      <c r="W463" s="1053">
        <f>F463-V463</f>
        <v>0</v>
      </c>
      <c r="X463" s="512"/>
      <c r="Y463" s="508"/>
      <c r="Z463" s="507"/>
      <c r="AA463" s="505"/>
      <c r="AB463" s="295"/>
      <c r="AC463" s="305"/>
      <c r="AD463" s="799"/>
      <c r="AE463" s="800"/>
      <c r="AF463" s="801"/>
      <c r="AG463" s="831">
        <f>SUM(AE463:AF463)</f>
        <v>0</v>
      </c>
      <c r="AH463" s="799"/>
      <c r="AI463" s="800"/>
      <c r="AJ463" s="801"/>
      <c r="AK463" s="831">
        <f>SUM(AI463:AJ463)</f>
        <v>0</v>
      </c>
      <c r="AL463" s="799"/>
      <c r="AM463" s="800"/>
      <c r="AN463" s="801"/>
      <c r="AO463" s="831">
        <f>SUM(AM463:AN463)</f>
        <v>0</v>
      </c>
      <c r="AP463" s="1079">
        <f t="shared" ref="AP463" si="405">SUM(F463,AD463,AH463,AL463)</f>
        <v>0</v>
      </c>
      <c r="AQ463" s="1079">
        <f t="shared" ref="AQ463" si="406">SUM(AO463,AK463,AG463,V463)</f>
        <v>0</v>
      </c>
      <c r="AR463" s="1080">
        <f t="shared" ref="AR463" si="407">AP463-AQ463</f>
        <v>0</v>
      </c>
      <c r="AS463" s="307"/>
      <c r="AT463" s="307"/>
      <c r="AU463" s="307"/>
      <c r="AV463" s="307"/>
      <c r="AW463" s="307"/>
      <c r="AX463" s="307"/>
      <c r="AY463" s="307"/>
      <c r="AZ463" s="307"/>
      <c r="BA463" s="307"/>
      <c r="BB463" s="196" t="s">
        <v>95</v>
      </c>
      <c r="BC463" s="196" t="s">
        <v>407</v>
      </c>
      <c r="BD463" s="212"/>
      <c r="BE463" s="212"/>
      <c r="BF463" s="212"/>
      <c r="BG463" s="212"/>
      <c r="BH463" s="212"/>
      <c r="BI463" s="212"/>
      <c r="BJ463" s="212"/>
      <c r="BK463" s="212"/>
      <c r="BL463" s="212"/>
      <c r="BM463" s="212"/>
      <c r="BN463" s="212"/>
      <c r="BO463" s="212"/>
      <c r="BP463" s="212"/>
      <c r="BQ463" s="212"/>
      <c r="BR463" s="212"/>
      <c r="BS463" s="212"/>
      <c r="BT463" s="212"/>
      <c r="BU463" s="212"/>
      <c r="BV463" s="212"/>
      <c r="BW463" s="212"/>
      <c r="BX463" s="212"/>
      <c r="BY463" s="212"/>
      <c r="BZ463" s="212"/>
      <c r="CA463" s="212"/>
      <c r="CB463" s="212"/>
      <c r="CC463" s="212"/>
      <c r="CD463" s="212"/>
      <c r="CE463" s="212"/>
    </row>
    <row r="464" spans="1:83" x14ac:dyDescent="0.2">
      <c r="A464" s="1055"/>
      <c r="B464" s="496" t="str">
        <f>IF(Stammblatt!$L$4=1,'Kalkulation Herstellungskosten'!BB464,'Kalkulation Herstellungskosten'!BC464)</f>
        <v>Kommunikation</v>
      </c>
      <c r="C464" s="490"/>
      <c r="D464" s="328"/>
      <c r="E464" s="371"/>
      <c r="F464" s="935"/>
      <c r="G464" s="935"/>
      <c r="H464" s="935"/>
      <c r="I464" s="1178"/>
      <c r="J464" s="1179"/>
      <c r="K464" s="935"/>
      <c r="L464" s="935"/>
      <c r="M464" s="935"/>
      <c r="N464" s="1180"/>
      <c r="O464" s="1041"/>
      <c r="P464" s="1041"/>
      <c r="Q464" s="1041"/>
      <c r="R464" s="1041"/>
      <c r="S464" s="1046"/>
      <c r="T464" s="1060"/>
      <c r="U464" s="1041"/>
      <c r="V464" s="1041"/>
      <c r="W464" s="1041"/>
      <c r="X464" s="1041"/>
      <c r="Y464" s="1041"/>
      <c r="Z464" s="1041"/>
      <c r="AA464" s="1041"/>
      <c r="AB464" s="328"/>
      <c r="AC464" s="1062"/>
      <c r="AD464" s="822"/>
      <c r="AE464" s="832"/>
      <c r="AF464" s="832"/>
      <c r="AG464" s="832"/>
      <c r="AH464" s="822"/>
      <c r="AI464" s="832"/>
      <c r="AJ464" s="832"/>
      <c r="AK464" s="832"/>
      <c r="AL464" s="822"/>
      <c r="AM464" s="832"/>
      <c r="AN464" s="832"/>
      <c r="AO464" s="832"/>
      <c r="AP464" s="822"/>
      <c r="AQ464" s="822"/>
      <c r="AR464" s="822"/>
      <c r="AS464" s="307"/>
      <c r="AT464" s="307"/>
      <c r="AU464" s="307"/>
      <c r="AV464" s="307"/>
      <c r="AW464" s="307"/>
      <c r="AX464" s="307"/>
      <c r="AY464" s="307"/>
      <c r="AZ464" s="307"/>
      <c r="BA464" s="307"/>
      <c r="BB464" s="196" t="s">
        <v>423</v>
      </c>
      <c r="BC464" s="196" t="s">
        <v>424</v>
      </c>
      <c r="BD464" s="212"/>
      <c r="BE464" s="212"/>
      <c r="BF464" s="212"/>
      <c r="BG464" s="212"/>
      <c r="BH464" s="212"/>
      <c r="BI464" s="212"/>
      <c r="BJ464" s="212"/>
      <c r="BK464" s="212"/>
      <c r="BL464" s="212"/>
      <c r="BM464" s="212"/>
      <c r="BN464" s="212"/>
      <c r="BO464" s="212"/>
      <c r="BP464" s="212"/>
      <c r="BQ464" s="212"/>
      <c r="BR464" s="212"/>
      <c r="BS464" s="212"/>
      <c r="BT464" s="212"/>
      <c r="BU464" s="212"/>
      <c r="BV464" s="212"/>
      <c r="BW464" s="212"/>
      <c r="BX464" s="212"/>
      <c r="BY464" s="212"/>
      <c r="BZ464" s="212"/>
      <c r="CA464" s="212"/>
      <c r="CB464" s="212"/>
      <c r="CC464" s="212"/>
      <c r="CD464" s="212"/>
      <c r="CE464" s="212"/>
    </row>
    <row r="465" spans="1:83" x14ac:dyDescent="0.2">
      <c r="A465" s="1091">
        <v>164</v>
      </c>
      <c r="B465" s="1082" t="str">
        <f>IF(Stammblatt!$L$4=1,'Kalkulation Herstellungskosten'!BB465,'Kalkulation Herstellungskosten'!BC465)</f>
        <v>Telefon/Fax</v>
      </c>
      <c r="C465" s="317"/>
      <c r="D465" s="318"/>
      <c r="E465" s="319"/>
      <c r="F465" s="32">
        <v>0</v>
      </c>
      <c r="G465" s="320"/>
      <c r="H465" s="320"/>
      <c r="I465" s="321"/>
      <c r="J465" s="322"/>
      <c r="K465" s="320"/>
      <c r="L465" s="320"/>
      <c r="M465" s="320"/>
      <c r="N465" s="323"/>
      <c r="O465" s="512"/>
      <c r="P465" s="506"/>
      <c r="Q465" s="507"/>
      <c r="R465" s="505"/>
      <c r="S465" s="514"/>
      <c r="T465" s="517"/>
      <c r="U465" s="505"/>
      <c r="V465" s="1053">
        <f>SUM(T465:U465)</f>
        <v>0</v>
      </c>
      <c r="W465" s="1053">
        <f>F465-V465</f>
        <v>0</v>
      </c>
      <c r="X465" s="512"/>
      <c r="Y465" s="508"/>
      <c r="Z465" s="507"/>
      <c r="AA465" s="505"/>
      <c r="AB465" s="295"/>
      <c r="AC465" s="305"/>
      <c r="AD465" s="799"/>
      <c r="AE465" s="800"/>
      <c r="AF465" s="801"/>
      <c r="AG465" s="831">
        <f>SUM(AE465:AF465)</f>
        <v>0</v>
      </c>
      <c r="AH465" s="799"/>
      <c r="AI465" s="800"/>
      <c r="AJ465" s="801"/>
      <c r="AK465" s="831">
        <f>SUM(AI465:AJ465)</f>
        <v>0</v>
      </c>
      <c r="AL465" s="799"/>
      <c r="AM465" s="800"/>
      <c r="AN465" s="801"/>
      <c r="AO465" s="831">
        <f>SUM(AM465:AN465)</f>
        <v>0</v>
      </c>
      <c r="AP465" s="1079">
        <f t="shared" ref="AP465" si="408">SUM(F465,AD465,AH465,AL465)</f>
        <v>0</v>
      </c>
      <c r="AQ465" s="1079">
        <f t="shared" ref="AQ465" si="409">SUM(AO465,AK465,AG465,V465)</f>
        <v>0</v>
      </c>
      <c r="AR465" s="1080">
        <f t="shared" ref="AR465" si="410">AP465-AQ465</f>
        <v>0</v>
      </c>
      <c r="AS465" s="307"/>
      <c r="AT465" s="307"/>
      <c r="AU465" s="307"/>
      <c r="AV465" s="307"/>
      <c r="AW465" s="307"/>
      <c r="AX465" s="307"/>
      <c r="AY465" s="307"/>
      <c r="AZ465" s="307"/>
      <c r="BA465" s="307"/>
      <c r="BB465" s="196" t="s">
        <v>96</v>
      </c>
      <c r="BC465" s="196" t="s">
        <v>408</v>
      </c>
      <c r="BD465" s="212"/>
      <c r="BE465" s="212"/>
      <c r="BF465" s="212"/>
      <c r="BG465" s="212"/>
      <c r="BH465" s="212"/>
      <c r="BI465" s="212"/>
      <c r="BJ465" s="212"/>
      <c r="BK465" s="212"/>
      <c r="BL465" s="212"/>
      <c r="BM465" s="212"/>
      <c r="BN465" s="212"/>
      <c r="BO465" s="212"/>
      <c r="BP465" s="212"/>
      <c r="BQ465" s="212"/>
      <c r="BR465" s="212"/>
      <c r="BS465" s="212"/>
      <c r="BT465" s="212"/>
      <c r="BU465" s="212"/>
      <c r="BV465" s="212"/>
      <c r="BW465" s="212"/>
      <c r="BX465" s="212"/>
      <c r="BY465" s="212"/>
      <c r="BZ465" s="212"/>
      <c r="CA465" s="212"/>
      <c r="CB465" s="212"/>
      <c r="CC465" s="212"/>
      <c r="CD465" s="212"/>
      <c r="CE465" s="212"/>
    </row>
    <row r="466" spans="1:83" x14ac:dyDescent="0.2">
      <c r="A466" s="1091">
        <v>165</v>
      </c>
      <c r="B466" s="1082" t="str">
        <f>IF(Stammblatt!$L$4=1,'Kalkulation Herstellungskosten'!BB466,'Kalkulation Herstellungskosten'!BC466)</f>
        <v>Mobiltelefone</v>
      </c>
      <c r="C466" s="317"/>
      <c r="D466" s="318"/>
      <c r="E466" s="319"/>
      <c r="F466" s="32">
        <v>0</v>
      </c>
      <c r="G466" s="320"/>
      <c r="H466" s="320"/>
      <c r="I466" s="321"/>
      <c r="J466" s="347"/>
      <c r="K466" s="348"/>
      <c r="L466" s="348"/>
      <c r="M466" s="348"/>
      <c r="N466" s="349"/>
      <c r="O466" s="512"/>
      <c r="P466" s="506"/>
      <c r="Q466" s="507"/>
      <c r="R466" s="505"/>
      <c r="S466" s="514"/>
      <c r="T466" s="517"/>
      <c r="U466" s="505"/>
      <c r="V466" s="1053">
        <f>SUM(T466:U466)</f>
        <v>0</v>
      </c>
      <c r="W466" s="1053">
        <f>F466-V466</f>
        <v>0</v>
      </c>
      <c r="X466" s="512"/>
      <c r="Y466" s="508"/>
      <c r="Z466" s="507"/>
      <c r="AA466" s="505"/>
      <c r="AB466" s="295"/>
      <c r="AC466" s="305"/>
      <c r="AD466" s="799"/>
      <c r="AE466" s="800"/>
      <c r="AF466" s="801"/>
      <c r="AG466" s="831">
        <f>SUM(AE466:AF466)</f>
        <v>0</v>
      </c>
      <c r="AH466" s="799"/>
      <c r="AI466" s="800"/>
      <c r="AJ466" s="801"/>
      <c r="AK466" s="831">
        <f>SUM(AI466:AJ466)</f>
        <v>0</v>
      </c>
      <c r="AL466" s="799"/>
      <c r="AM466" s="800"/>
      <c r="AN466" s="801"/>
      <c r="AO466" s="831">
        <f>SUM(AM466:AN466)</f>
        <v>0</v>
      </c>
      <c r="AP466" s="1079">
        <f t="shared" ref="AP466:AP468" si="411">SUM(F466,AD466,AH466,AL466)</f>
        <v>0</v>
      </c>
      <c r="AQ466" s="1079">
        <f t="shared" ref="AQ466:AQ468" si="412">SUM(AO466,AK466,AG466,V466)</f>
        <v>0</v>
      </c>
      <c r="AR466" s="1080">
        <f t="shared" ref="AR466:AR468" si="413">AP466-AQ466</f>
        <v>0</v>
      </c>
      <c r="AS466" s="307"/>
      <c r="AT466" s="307"/>
      <c r="AU466" s="307"/>
      <c r="AV466" s="307"/>
      <c r="AW466" s="307"/>
      <c r="AX466" s="307"/>
      <c r="AY466" s="307"/>
      <c r="AZ466" s="307"/>
      <c r="BA466" s="307"/>
      <c r="BB466" s="196" t="s">
        <v>97</v>
      </c>
      <c r="BC466" s="196" t="s">
        <v>409</v>
      </c>
      <c r="BD466" s="212"/>
      <c r="BE466" s="212"/>
      <c r="BF466" s="212"/>
      <c r="BG466" s="212"/>
      <c r="BH466" s="212"/>
      <c r="BI466" s="212"/>
      <c r="BJ466" s="212"/>
      <c r="BK466" s="212"/>
      <c r="BL466" s="212"/>
      <c r="BM466" s="212"/>
      <c r="BN466" s="212"/>
      <c r="BO466" s="212"/>
      <c r="BP466" s="212"/>
      <c r="BQ466" s="212"/>
      <c r="BR466" s="212"/>
      <c r="BS466" s="212"/>
      <c r="BT466" s="212"/>
      <c r="BU466" s="212"/>
      <c r="BV466" s="212"/>
      <c r="BW466" s="212"/>
      <c r="BX466" s="212"/>
      <c r="BY466" s="212"/>
      <c r="BZ466" s="212"/>
      <c r="CA466" s="212"/>
      <c r="CB466" s="212"/>
      <c r="CC466" s="212"/>
      <c r="CD466" s="212"/>
      <c r="CE466" s="212"/>
    </row>
    <row r="467" spans="1:83" x14ac:dyDescent="0.2">
      <c r="A467" s="1091">
        <v>166</v>
      </c>
      <c r="B467" s="1082" t="str">
        <f>IF(Stammblatt!$L$4=1,'Kalkulation Herstellungskosten'!BB467,'Kalkulation Herstellungskosten'!BC467)</f>
        <v xml:space="preserve">Außerhalb der Pauschalen </v>
      </c>
      <c r="C467" s="317"/>
      <c r="D467" s="318"/>
      <c r="E467" s="319"/>
      <c r="F467" s="32">
        <v>0</v>
      </c>
      <c r="G467" s="320"/>
      <c r="H467" s="320"/>
      <c r="I467" s="321"/>
      <c r="J467" s="347"/>
      <c r="K467" s="348"/>
      <c r="L467" s="348"/>
      <c r="M467" s="348"/>
      <c r="N467" s="349"/>
      <c r="O467" s="512"/>
      <c r="P467" s="506"/>
      <c r="Q467" s="507"/>
      <c r="R467" s="505"/>
      <c r="S467" s="514"/>
      <c r="T467" s="517"/>
      <c r="U467" s="505"/>
      <c r="V467" s="1053">
        <f>SUM(T467:U467)</f>
        <v>0</v>
      </c>
      <c r="W467" s="1053">
        <f>F467-V467</f>
        <v>0</v>
      </c>
      <c r="X467" s="512"/>
      <c r="Y467" s="508"/>
      <c r="Z467" s="507"/>
      <c r="AA467" s="505"/>
      <c r="AB467" s="295"/>
      <c r="AC467" s="305"/>
      <c r="AD467" s="799"/>
      <c r="AE467" s="800"/>
      <c r="AF467" s="801"/>
      <c r="AG467" s="831">
        <f>SUM(AE467:AF467)</f>
        <v>0</v>
      </c>
      <c r="AH467" s="799"/>
      <c r="AI467" s="800"/>
      <c r="AJ467" s="801"/>
      <c r="AK467" s="831">
        <f>SUM(AI467:AJ467)</f>
        <v>0</v>
      </c>
      <c r="AL467" s="799"/>
      <c r="AM467" s="800"/>
      <c r="AN467" s="801"/>
      <c r="AO467" s="831">
        <f>SUM(AM467:AN467)</f>
        <v>0</v>
      </c>
      <c r="AP467" s="1079">
        <f t="shared" si="411"/>
        <v>0</v>
      </c>
      <c r="AQ467" s="1079">
        <f t="shared" si="412"/>
        <v>0</v>
      </c>
      <c r="AR467" s="1080">
        <f t="shared" si="413"/>
        <v>0</v>
      </c>
      <c r="AS467" s="307"/>
      <c r="AT467" s="307"/>
      <c r="AU467" s="307"/>
      <c r="AV467" s="307"/>
      <c r="AW467" s="307"/>
      <c r="AX467" s="307"/>
      <c r="AY467" s="307"/>
      <c r="AZ467" s="307"/>
      <c r="BA467" s="307"/>
      <c r="BB467" s="196" t="s">
        <v>98</v>
      </c>
      <c r="BC467" s="196" t="s">
        <v>410</v>
      </c>
      <c r="BD467" s="212"/>
      <c r="BE467" s="212"/>
      <c r="BF467" s="212"/>
      <c r="BG467" s="212"/>
      <c r="BH467" s="212"/>
      <c r="BI467" s="212"/>
      <c r="BJ467" s="212"/>
      <c r="BK467" s="212"/>
      <c r="BL467" s="212"/>
      <c r="BM467" s="212"/>
      <c r="BN467" s="212"/>
      <c r="BO467" s="212"/>
      <c r="BP467" s="212"/>
      <c r="BQ467" s="212"/>
      <c r="BR467" s="212"/>
      <c r="BS467" s="212"/>
      <c r="BT467" s="212"/>
      <c r="BU467" s="212"/>
      <c r="BV467" s="212"/>
      <c r="BW467" s="212"/>
      <c r="BX467" s="212"/>
      <c r="BY467" s="212"/>
      <c r="BZ467" s="212"/>
      <c r="CA467" s="212"/>
      <c r="CB467" s="212"/>
      <c r="CC467" s="212"/>
      <c r="CD467" s="212"/>
      <c r="CE467" s="212"/>
    </row>
    <row r="468" spans="1:83" x14ac:dyDescent="0.2">
      <c r="A468" s="1091">
        <v>167</v>
      </c>
      <c r="B468" s="1082" t="str">
        <f>IF(Stammblatt!$L$4=1,'Kalkulation Herstellungskosten'!BB468,'Kalkulation Herstellungskosten'!BC468)</f>
        <v>Außenaufnahmen</v>
      </c>
      <c r="C468" s="317"/>
      <c r="D468" s="318"/>
      <c r="E468" s="319"/>
      <c r="F468" s="32">
        <v>0</v>
      </c>
      <c r="G468" s="320"/>
      <c r="H468" s="320"/>
      <c r="I468" s="321"/>
      <c r="J468" s="347"/>
      <c r="K468" s="348"/>
      <c r="L468" s="348"/>
      <c r="M468" s="348"/>
      <c r="N468" s="349"/>
      <c r="O468" s="512"/>
      <c r="P468" s="506"/>
      <c r="Q468" s="507"/>
      <c r="R468" s="505"/>
      <c r="S468" s="514"/>
      <c r="T468" s="517"/>
      <c r="U468" s="505"/>
      <c r="V468" s="1053">
        <f>SUM(T468:U468)</f>
        <v>0</v>
      </c>
      <c r="W468" s="1053">
        <f>F468-V468</f>
        <v>0</v>
      </c>
      <c r="X468" s="512"/>
      <c r="Y468" s="508"/>
      <c r="Z468" s="507"/>
      <c r="AA468" s="505"/>
      <c r="AB468" s="295"/>
      <c r="AC468" s="305"/>
      <c r="AD468" s="799"/>
      <c r="AE468" s="800"/>
      <c r="AF468" s="801"/>
      <c r="AG468" s="831">
        <f>SUM(AE468:AF468)</f>
        <v>0</v>
      </c>
      <c r="AH468" s="799"/>
      <c r="AI468" s="800"/>
      <c r="AJ468" s="801"/>
      <c r="AK468" s="831">
        <f>SUM(AI468:AJ468)</f>
        <v>0</v>
      </c>
      <c r="AL468" s="799"/>
      <c r="AM468" s="800"/>
      <c r="AN468" s="801"/>
      <c r="AO468" s="831">
        <f>SUM(AM468:AN468)</f>
        <v>0</v>
      </c>
      <c r="AP468" s="1079">
        <f t="shared" si="411"/>
        <v>0</v>
      </c>
      <c r="AQ468" s="1079">
        <f t="shared" si="412"/>
        <v>0</v>
      </c>
      <c r="AR468" s="1080">
        <f t="shared" si="413"/>
        <v>0</v>
      </c>
      <c r="AS468" s="307"/>
      <c r="AT468" s="307"/>
      <c r="AU468" s="307"/>
      <c r="AV468" s="307"/>
      <c r="AW468" s="307"/>
      <c r="AX468" s="307"/>
      <c r="AY468" s="307"/>
      <c r="AZ468" s="307"/>
      <c r="BA468" s="307"/>
      <c r="BB468" s="196" t="s">
        <v>99</v>
      </c>
      <c r="BC468" s="196" t="s">
        <v>488</v>
      </c>
      <c r="BD468" s="212"/>
      <c r="BE468" s="212"/>
      <c r="BF468" s="212"/>
      <c r="BG468" s="212"/>
      <c r="BH468" s="212"/>
      <c r="BI468" s="212"/>
      <c r="BJ468" s="212"/>
      <c r="BK468" s="212"/>
      <c r="BL468" s="212"/>
      <c r="BM468" s="212"/>
      <c r="BN468" s="212"/>
      <c r="BO468" s="212"/>
      <c r="BP468" s="212"/>
      <c r="BQ468" s="212"/>
      <c r="BR468" s="212"/>
      <c r="BS468" s="212"/>
      <c r="BT468" s="212"/>
      <c r="BU468" s="212"/>
      <c r="BV468" s="212"/>
      <c r="BW468" s="212"/>
      <c r="BX468" s="212"/>
      <c r="BY468" s="212"/>
      <c r="BZ468" s="212"/>
      <c r="CA468" s="212"/>
      <c r="CB468" s="212"/>
      <c r="CC468" s="212"/>
      <c r="CD468" s="212"/>
      <c r="CE468" s="212"/>
    </row>
    <row r="469" spans="1:83" x14ac:dyDescent="0.2">
      <c r="A469" s="1055"/>
      <c r="B469" s="496" t="str">
        <f>IF(Stammblatt!$L$4=1,'Kalkulation Herstellungskosten'!BB469,'Kalkulation Herstellungskosten'!BC469)</f>
        <v>Schreiben, Vervielfältigungen:</v>
      </c>
      <c r="C469" s="490"/>
      <c r="D469" s="328"/>
      <c r="E469" s="371"/>
      <c r="F469" s="371"/>
      <c r="G469" s="1056"/>
      <c r="H469" s="1056"/>
      <c r="I469" s="1057"/>
      <c r="J469" s="1058"/>
      <c r="K469" s="1056"/>
      <c r="L469" s="1056"/>
      <c r="M469" s="1056"/>
      <c r="N469" s="335"/>
      <c r="O469" s="1059"/>
      <c r="P469" s="1059"/>
      <c r="Q469" s="1059"/>
      <c r="R469" s="1059"/>
      <c r="S469" s="1046"/>
      <c r="T469" s="1060"/>
      <c r="U469" s="1041"/>
      <c r="V469" s="1041"/>
      <c r="W469" s="1041"/>
      <c r="X469" s="1059"/>
      <c r="Y469" s="1059"/>
      <c r="Z469" s="1059"/>
      <c r="AA469" s="1059"/>
      <c r="AB469" s="328"/>
      <c r="AC469" s="1062"/>
      <c r="AD469" s="822"/>
      <c r="AE469" s="832"/>
      <c r="AF469" s="832"/>
      <c r="AG469" s="832"/>
      <c r="AH469" s="822"/>
      <c r="AI469" s="832"/>
      <c r="AJ469" s="832"/>
      <c r="AK469" s="832"/>
      <c r="AL469" s="822"/>
      <c r="AM469" s="832"/>
      <c r="AN469" s="832"/>
      <c r="AO469" s="832"/>
      <c r="AP469" s="822"/>
      <c r="AQ469" s="822"/>
      <c r="AR469" s="822"/>
      <c r="AS469" s="307"/>
      <c r="AT469" s="307"/>
      <c r="AU469" s="307"/>
      <c r="AV469" s="307"/>
      <c r="AW469" s="307"/>
      <c r="AX469" s="307"/>
      <c r="AY469" s="307"/>
      <c r="AZ469" s="307"/>
      <c r="BA469" s="307"/>
      <c r="BB469" s="196" t="s">
        <v>100</v>
      </c>
      <c r="BC469" s="196" t="s">
        <v>411</v>
      </c>
      <c r="BD469" s="212"/>
      <c r="BE469" s="212"/>
      <c r="BF469" s="212"/>
      <c r="BG469" s="212"/>
      <c r="BH469" s="212"/>
      <c r="BI469" s="212"/>
      <c r="BJ469" s="212"/>
      <c r="BK469" s="212"/>
      <c r="BL469" s="212"/>
      <c r="BM469" s="212"/>
      <c r="BN469" s="212"/>
      <c r="BO469" s="212"/>
      <c r="BP469" s="212"/>
      <c r="BQ469" s="212"/>
      <c r="BR469" s="212"/>
      <c r="BS469" s="212"/>
      <c r="BT469" s="212"/>
      <c r="BU469" s="212"/>
      <c r="BV469" s="212"/>
      <c r="BW469" s="212"/>
      <c r="BX469" s="212"/>
      <c r="BY469" s="212"/>
      <c r="BZ469" s="212"/>
      <c r="CA469" s="212"/>
      <c r="CB469" s="212"/>
      <c r="CC469" s="212"/>
      <c r="CD469" s="212"/>
      <c r="CE469" s="212"/>
    </row>
    <row r="470" spans="1:83" x14ac:dyDescent="0.2">
      <c r="A470" s="1091">
        <v>168</v>
      </c>
      <c r="B470" s="1082" t="str">
        <f>IF(Stammblatt!$L$4=1,'Kalkulation Herstellungskosten'!BB470,'Kalkulation Herstellungskosten'!BC470)</f>
        <v>Treatment</v>
      </c>
      <c r="C470" s="317"/>
      <c r="D470" s="318"/>
      <c r="E470" s="319"/>
      <c r="F470" s="32">
        <v>0</v>
      </c>
      <c r="G470" s="320"/>
      <c r="H470" s="320"/>
      <c r="I470" s="321"/>
      <c r="J470" s="322"/>
      <c r="K470" s="320"/>
      <c r="L470" s="320"/>
      <c r="M470" s="320"/>
      <c r="N470" s="323"/>
      <c r="O470" s="512"/>
      <c r="P470" s="506"/>
      <c r="Q470" s="507"/>
      <c r="R470" s="505"/>
      <c r="S470" s="514"/>
      <c r="T470" s="517"/>
      <c r="U470" s="505"/>
      <c r="V470" s="1053">
        <f>SUM(T470:U470)</f>
        <v>0</v>
      </c>
      <c r="W470" s="1053">
        <f>F470-V470</f>
        <v>0</v>
      </c>
      <c r="X470" s="512"/>
      <c r="Y470" s="508"/>
      <c r="Z470" s="507"/>
      <c r="AA470" s="505"/>
      <c r="AB470" s="295"/>
      <c r="AC470" s="305"/>
      <c r="AD470" s="799"/>
      <c r="AE470" s="800"/>
      <c r="AF470" s="801"/>
      <c r="AG470" s="831">
        <f>SUM(AE470:AF470)</f>
        <v>0</v>
      </c>
      <c r="AH470" s="799"/>
      <c r="AI470" s="800"/>
      <c r="AJ470" s="801"/>
      <c r="AK470" s="831">
        <f>SUM(AI470:AJ470)</f>
        <v>0</v>
      </c>
      <c r="AL470" s="799"/>
      <c r="AM470" s="801"/>
      <c r="AN470" s="801"/>
      <c r="AO470" s="831">
        <f>SUM(AM470:AN470)</f>
        <v>0</v>
      </c>
      <c r="AP470" s="1079">
        <f t="shared" ref="AP470" si="414">SUM(F470,AD470,AH470,AL470)</f>
        <v>0</v>
      </c>
      <c r="AQ470" s="1079">
        <f t="shared" ref="AQ470" si="415">SUM(AO470,AK470,AG470,V470)</f>
        <v>0</v>
      </c>
      <c r="AR470" s="1080">
        <f t="shared" ref="AR470" si="416">AP470-AQ470</f>
        <v>0</v>
      </c>
      <c r="AS470" s="307"/>
      <c r="AT470" s="307"/>
      <c r="AU470" s="307"/>
      <c r="AV470" s="307"/>
      <c r="AW470" s="307"/>
      <c r="AX470" s="307"/>
      <c r="AY470" s="307"/>
      <c r="AZ470" s="307"/>
      <c r="BA470" s="307"/>
      <c r="BB470" s="196" t="s">
        <v>34</v>
      </c>
      <c r="BC470" s="196" t="s">
        <v>34</v>
      </c>
      <c r="BD470" s="212"/>
      <c r="BE470" s="212"/>
      <c r="BF470" s="212"/>
      <c r="BG470" s="212"/>
      <c r="BH470" s="212"/>
      <c r="BI470" s="212"/>
      <c r="BJ470" s="212"/>
      <c r="BK470" s="212"/>
      <c r="BL470" s="212"/>
      <c r="BM470" s="212"/>
      <c r="BN470" s="212"/>
      <c r="BO470" s="212"/>
      <c r="BP470" s="212"/>
      <c r="BQ470" s="212"/>
      <c r="BR470" s="212"/>
      <c r="BS470" s="212"/>
      <c r="BT470" s="212"/>
      <c r="BU470" s="212"/>
      <c r="BV470" s="212"/>
      <c r="BW470" s="212"/>
      <c r="BX470" s="212"/>
      <c r="BY470" s="212"/>
      <c r="BZ470" s="212"/>
      <c r="CA470" s="212"/>
      <c r="CB470" s="212"/>
      <c r="CC470" s="212"/>
      <c r="CD470" s="212"/>
      <c r="CE470" s="212"/>
    </row>
    <row r="471" spans="1:83" x14ac:dyDescent="0.2">
      <c r="A471" s="1091">
        <v>169</v>
      </c>
      <c r="B471" s="1082" t="str">
        <f>IF(Stammblatt!$L$4=1,'Kalkulation Herstellungskosten'!BB471,'Kalkulation Herstellungskosten'!BC471)</f>
        <v>Drehbuch (einschließlich Kopien)</v>
      </c>
      <c r="C471" s="317"/>
      <c r="D471" s="318"/>
      <c r="E471" s="319"/>
      <c r="F471" s="32">
        <v>0</v>
      </c>
      <c r="G471" s="320"/>
      <c r="H471" s="320"/>
      <c r="I471" s="321"/>
      <c r="J471" s="347"/>
      <c r="K471" s="348"/>
      <c r="L471" s="348"/>
      <c r="M471" s="348"/>
      <c r="N471" s="349"/>
      <c r="O471" s="512"/>
      <c r="P471" s="506"/>
      <c r="Q471" s="507"/>
      <c r="R471" s="505"/>
      <c r="S471" s="514"/>
      <c r="T471" s="517"/>
      <c r="U471" s="505"/>
      <c r="V471" s="1053">
        <f>SUM(T471:U471)</f>
        <v>0</v>
      </c>
      <c r="W471" s="1053">
        <f>F471-V471</f>
        <v>0</v>
      </c>
      <c r="X471" s="512"/>
      <c r="Y471" s="508"/>
      <c r="Z471" s="507"/>
      <c r="AA471" s="505"/>
      <c r="AB471" s="295"/>
      <c r="AC471" s="305"/>
      <c r="AD471" s="799"/>
      <c r="AE471" s="800"/>
      <c r="AF471" s="801"/>
      <c r="AG471" s="831">
        <f>SUM(AE471:AF471)</f>
        <v>0</v>
      </c>
      <c r="AH471" s="799"/>
      <c r="AI471" s="800"/>
      <c r="AJ471" s="801"/>
      <c r="AK471" s="831">
        <f>SUM(AI471:AJ471)</f>
        <v>0</v>
      </c>
      <c r="AL471" s="799"/>
      <c r="AM471" s="801"/>
      <c r="AN471" s="801"/>
      <c r="AO471" s="831">
        <f>SUM(AM471:AN471)</f>
        <v>0</v>
      </c>
      <c r="AP471" s="1079">
        <f t="shared" ref="AP471:AP474" si="417">SUM(F471,AD471,AH471,AL471)</f>
        <v>0</v>
      </c>
      <c r="AQ471" s="1079">
        <f t="shared" ref="AQ471:AQ474" si="418">SUM(AO471,AK471,AG471,V471)</f>
        <v>0</v>
      </c>
      <c r="AR471" s="1080">
        <f t="shared" ref="AR471:AR474" si="419">AP471-AQ471</f>
        <v>0</v>
      </c>
      <c r="AS471" s="307"/>
      <c r="AT471" s="307"/>
      <c r="AU471" s="307"/>
      <c r="AV471" s="307"/>
      <c r="AW471" s="307"/>
      <c r="AX471" s="307"/>
      <c r="AY471" s="307"/>
      <c r="AZ471" s="307"/>
      <c r="BA471" s="307"/>
      <c r="BB471" s="196" t="s">
        <v>101</v>
      </c>
      <c r="BC471" s="196" t="s">
        <v>412</v>
      </c>
      <c r="BD471" s="212"/>
      <c r="BE471" s="212"/>
      <c r="BF471" s="212"/>
      <c r="BG471" s="212"/>
      <c r="BH471" s="212"/>
      <c r="BI471" s="212"/>
      <c r="BJ471" s="212"/>
      <c r="BK471" s="212"/>
      <c r="BL471" s="212"/>
      <c r="BM471" s="212"/>
      <c r="BN471" s="212"/>
      <c r="BO471" s="212"/>
      <c r="BP471" s="212"/>
      <c r="BQ471" s="212"/>
      <c r="BR471" s="212"/>
      <c r="BS471" s="212"/>
      <c r="BT471" s="212"/>
      <c r="BU471" s="212"/>
      <c r="BV471" s="212"/>
      <c r="BW471" s="212"/>
      <c r="BX471" s="212"/>
      <c r="BY471" s="212"/>
      <c r="BZ471" s="212"/>
      <c r="CA471" s="212"/>
      <c r="CB471" s="212"/>
      <c r="CC471" s="212"/>
      <c r="CD471" s="212"/>
      <c r="CE471" s="212"/>
    </row>
    <row r="472" spans="1:83" x14ac:dyDescent="0.2">
      <c r="A472" s="1091">
        <v>170</v>
      </c>
      <c r="B472" s="1082" t="str">
        <f>IF(Stammblatt!$L$4=1,'Kalkulation Herstellungskosten'!BB472,'Kalkulation Herstellungskosten'!BC472)</f>
        <v>Dispos/Tagesberichte</v>
      </c>
      <c r="C472" s="317"/>
      <c r="D472" s="318"/>
      <c r="E472" s="319"/>
      <c r="F472" s="32">
        <v>0</v>
      </c>
      <c r="G472" s="320"/>
      <c r="H472" s="320"/>
      <c r="I472" s="321"/>
      <c r="J472" s="347"/>
      <c r="K472" s="348"/>
      <c r="L472" s="348"/>
      <c r="M472" s="348"/>
      <c r="N472" s="349"/>
      <c r="O472" s="512"/>
      <c r="P472" s="506"/>
      <c r="Q472" s="507"/>
      <c r="R472" s="505"/>
      <c r="S472" s="514"/>
      <c r="T472" s="517"/>
      <c r="U472" s="505"/>
      <c r="V472" s="1053">
        <f>SUM(T472:U472)</f>
        <v>0</v>
      </c>
      <c r="W472" s="1053">
        <f>F472-V472</f>
        <v>0</v>
      </c>
      <c r="X472" s="512"/>
      <c r="Y472" s="508"/>
      <c r="Z472" s="507"/>
      <c r="AA472" s="505"/>
      <c r="AB472" s="295"/>
      <c r="AC472" s="305"/>
      <c r="AD472" s="799"/>
      <c r="AE472" s="800"/>
      <c r="AF472" s="801"/>
      <c r="AG472" s="831">
        <f>SUM(AE472:AF472)</f>
        <v>0</v>
      </c>
      <c r="AH472" s="799"/>
      <c r="AI472" s="800"/>
      <c r="AJ472" s="801"/>
      <c r="AK472" s="831">
        <f>SUM(AI472:AJ472)</f>
        <v>0</v>
      </c>
      <c r="AL472" s="799"/>
      <c r="AM472" s="801"/>
      <c r="AN472" s="801"/>
      <c r="AO472" s="831">
        <f>SUM(AM472:AN472)</f>
        <v>0</v>
      </c>
      <c r="AP472" s="1079">
        <f t="shared" si="417"/>
        <v>0</v>
      </c>
      <c r="AQ472" s="1079">
        <f t="shared" si="418"/>
        <v>0</v>
      </c>
      <c r="AR472" s="1080">
        <f t="shared" si="419"/>
        <v>0</v>
      </c>
      <c r="AS472" s="307"/>
      <c r="AT472" s="307"/>
      <c r="AU472" s="307"/>
      <c r="AV472" s="307"/>
      <c r="AW472" s="307"/>
      <c r="AX472" s="307"/>
      <c r="AY472" s="307"/>
      <c r="AZ472" s="307"/>
      <c r="BA472" s="307"/>
      <c r="BB472" s="196" t="s">
        <v>102</v>
      </c>
      <c r="BC472" s="196" t="s">
        <v>413</v>
      </c>
      <c r="BD472" s="212"/>
      <c r="BE472" s="212"/>
      <c r="BF472" s="212"/>
      <c r="BG472" s="212"/>
      <c r="BH472" s="212"/>
      <c r="BI472" s="212"/>
      <c r="BJ472" s="212"/>
      <c r="BK472" s="212"/>
      <c r="BL472" s="212"/>
      <c r="BM472" s="212"/>
      <c r="BN472" s="212"/>
      <c r="BO472" s="212"/>
      <c r="BP472" s="212"/>
      <c r="BQ472" s="212"/>
      <c r="BR472" s="212"/>
      <c r="BS472" s="212"/>
      <c r="BT472" s="212"/>
      <c r="BU472" s="212"/>
      <c r="BV472" s="212"/>
      <c r="BW472" s="212"/>
      <c r="BX472" s="212"/>
      <c r="BY472" s="212"/>
      <c r="BZ472" s="212"/>
      <c r="CA472" s="212"/>
      <c r="CB472" s="212"/>
      <c r="CC472" s="212"/>
      <c r="CD472" s="212"/>
      <c r="CE472" s="212"/>
    </row>
    <row r="473" spans="1:83" x14ac:dyDescent="0.2">
      <c r="A473" s="1091">
        <v>171</v>
      </c>
      <c r="B473" s="1082" t="str">
        <f>IF(Stammblatt!$L$4=1,'Kalkulation Herstellungskosten'!BB473,'Kalkulation Herstellungskosten'!BC473)</f>
        <v>Übersetzungen</v>
      </c>
      <c r="C473" s="317"/>
      <c r="D473" s="318"/>
      <c r="E473" s="319"/>
      <c r="F473" s="32">
        <v>0</v>
      </c>
      <c r="G473" s="320"/>
      <c r="H473" s="320"/>
      <c r="I473" s="321"/>
      <c r="J473" s="347"/>
      <c r="K473" s="348"/>
      <c r="L473" s="348"/>
      <c r="M473" s="348"/>
      <c r="N473" s="349"/>
      <c r="O473" s="512"/>
      <c r="P473" s="506"/>
      <c r="Q473" s="507"/>
      <c r="R473" s="505"/>
      <c r="S473" s="514"/>
      <c r="T473" s="517"/>
      <c r="U473" s="505"/>
      <c r="V473" s="1053">
        <f>SUM(T473:U473)</f>
        <v>0</v>
      </c>
      <c r="W473" s="1053">
        <f>F473-V473</f>
        <v>0</v>
      </c>
      <c r="X473" s="512"/>
      <c r="Y473" s="508"/>
      <c r="Z473" s="507"/>
      <c r="AA473" s="505"/>
      <c r="AB473" s="295"/>
      <c r="AC473" s="305"/>
      <c r="AD473" s="799"/>
      <c r="AE473" s="800"/>
      <c r="AF473" s="801"/>
      <c r="AG473" s="831">
        <f>SUM(AE473:AF473)</f>
        <v>0</v>
      </c>
      <c r="AH473" s="799"/>
      <c r="AI473" s="800"/>
      <c r="AJ473" s="801"/>
      <c r="AK473" s="831">
        <f>SUM(AI473:AJ473)</f>
        <v>0</v>
      </c>
      <c r="AL473" s="799"/>
      <c r="AM473" s="801"/>
      <c r="AN473" s="801"/>
      <c r="AO473" s="831">
        <f>SUM(AM473:AN473)</f>
        <v>0</v>
      </c>
      <c r="AP473" s="1079">
        <f t="shared" si="417"/>
        <v>0</v>
      </c>
      <c r="AQ473" s="1079">
        <f t="shared" si="418"/>
        <v>0</v>
      </c>
      <c r="AR473" s="1080">
        <f t="shared" si="419"/>
        <v>0</v>
      </c>
      <c r="AS473" s="307"/>
      <c r="AT473" s="307"/>
      <c r="AU473" s="307"/>
      <c r="AV473" s="307"/>
      <c r="AW473" s="307"/>
      <c r="AX473" s="307"/>
      <c r="AY473" s="307"/>
      <c r="AZ473" s="307"/>
      <c r="BA473" s="307"/>
      <c r="BB473" s="196" t="s">
        <v>103</v>
      </c>
      <c r="BC473" s="196" t="s">
        <v>414</v>
      </c>
      <c r="BD473" s="212"/>
      <c r="BE473" s="212"/>
      <c r="BF473" s="212"/>
      <c r="BG473" s="212"/>
      <c r="BH473" s="212"/>
      <c r="BI473" s="212"/>
      <c r="BJ473" s="212"/>
      <c r="BK473" s="212"/>
      <c r="BL473" s="212"/>
      <c r="BM473" s="212"/>
      <c r="BN473" s="212"/>
      <c r="BO473" s="212"/>
      <c r="BP473" s="212"/>
      <c r="BQ473" s="212"/>
      <c r="BR473" s="212"/>
      <c r="BS473" s="212"/>
      <c r="BT473" s="212"/>
      <c r="BU473" s="212"/>
      <c r="BV473" s="212"/>
      <c r="BW473" s="212"/>
      <c r="BX473" s="212"/>
      <c r="BY473" s="212"/>
      <c r="BZ473" s="212"/>
      <c r="CA473" s="212"/>
      <c r="CB473" s="212"/>
      <c r="CC473" s="212"/>
      <c r="CD473" s="212"/>
      <c r="CE473" s="212"/>
    </row>
    <row r="474" spans="1:83" x14ac:dyDescent="0.2">
      <c r="A474" s="1091">
        <v>172</v>
      </c>
      <c r="B474" s="1082" t="str">
        <f>IF(Stammblatt!$L$4=1,'Kalkulation Herstellungskosten'!BB474,'Kalkulation Herstellungskosten'!BC474)</f>
        <v>Sonstige (z.B. ISAN - Kennzeichnung)  *)</v>
      </c>
      <c r="C474" s="317"/>
      <c r="D474" s="318"/>
      <c r="E474" s="319"/>
      <c r="F474" s="32">
        <v>0</v>
      </c>
      <c r="G474" s="320"/>
      <c r="H474" s="320"/>
      <c r="I474" s="321"/>
      <c r="J474" s="347"/>
      <c r="K474" s="348"/>
      <c r="L474" s="348"/>
      <c r="M474" s="348"/>
      <c r="N474" s="349"/>
      <c r="O474" s="512"/>
      <c r="P474" s="506"/>
      <c r="Q474" s="507"/>
      <c r="R474" s="505"/>
      <c r="S474" s="514"/>
      <c r="T474" s="517"/>
      <c r="U474" s="505"/>
      <c r="V474" s="1053">
        <f>SUM(T474:U474)</f>
        <v>0</v>
      </c>
      <c r="W474" s="1053">
        <f>F474-V474</f>
        <v>0</v>
      </c>
      <c r="X474" s="512"/>
      <c r="Y474" s="508"/>
      <c r="Z474" s="507"/>
      <c r="AA474" s="505"/>
      <c r="AB474" s="295"/>
      <c r="AC474" s="305"/>
      <c r="AD474" s="799"/>
      <c r="AE474" s="800"/>
      <c r="AF474" s="801"/>
      <c r="AG474" s="831">
        <f>SUM(AE474:AF474)</f>
        <v>0</v>
      </c>
      <c r="AH474" s="799"/>
      <c r="AI474" s="800"/>
      <c r="AJ474" s="801"/>
      <c r="AK474" s="831">
        <f>SUM(AI474:AJ474)</f>
        <v>0</v>
      </c>
      <c r="AL474" s="799"/>
      <c r="AM474" s="801"/>
      <c r="AN474" s="801"/>
      <c r="AO474" s="831">
        <f>SUM(AM474:AN474)</f>
        <v>0</v>
      </c>
      <c r="AP474" s="1079">
        <f t="shared" si="417"/>
        <v>0</v>
      </c>
      <c r="AQ474" s="1079">
        <f t="shared" si="418"/>
        <v>0</v>
      </c>
      <c r="AR474" s="1080">
        <f t="shared" si="419"/>
        <v>0</v>
      </c>
      <c r="AS474" s="307"/>
      <c r="AT474" s="307"/>
      <c r="AU474" s="307"/>
      <c r="AV474" s="307"/>
      <c r="AW474" s="307"/>
      <c r="AX474" s="307"/>
      <c r="AY474" s="307"/>
      <c r="AZ474" s="307"/>
      <c r="BA474" s="307"/>
      <c r="BB474" s="196" t="s">
        <v>530</v>
      </c>
      <c r="BC474" s="196" t="s">
        <v>1054</v>
      </c>
      <c r="BD474" s="212"/>
      <c r="BE474" s="212"/>
      <c r="BF474" s="212"/>
      <c r="BG474" s="212"/>
      <c r="BH474" s="212"/>
      <c r="BI474" s="212"/>
      <c r="BJ474" s="212"/>
      <c r="BK474" s="212"/>
      <c r="BL474" s="212"/>
      <c r="BM474" s="212"/>
      <c r="BN474" s="212"/>
      <c r="BO474" s="212"/>
      <c r="BP474" s="212"/>
      <c r="BQ474" s="212"/>
      <c r="BR474" s="212"/>
      <c r="BS474" s="212"/>
      <c r="BT474" s="212"/>
      <c r="BU474" s="212"/>
      <c r="BV474" s="212"/>
      <c r="BW474" s="212"/>
      <c r="BX474" s="212"/>
      <c r="BY474" s="212"/>
      <c r="BZ474" s="212"/>
      <c r="CA474" s="212"/>
      <c r="CB474" s="212"/>
      <c r="CC474" s="212"/>
      <c r="CD474" s="212"/>
      <c r="CE474" s="212"/>
    </row>
    <row r="475" spans="1:83" x14ac:dyDescent="0.2">
      <c r="A475" s="1055"/>
      <c r="B475" s="496"/>
      <c r="C475" s="490"/>
      <c r="D475" s="328"/>
      <c r="E475" s="371"/>
      <c r="F475" s="371"/>
      <c r="G475" s="1056"/>
      <c r="H475" s="1056"/>
      <c r="I475" s="1057"/>
      <c r="J475" s="1058"/>
      <c r="K475" s="1056"/>
      <c r="L475" s="1056"/>
      <c r="M475" s="1056"/>
      <c r="N475" s="335"/>
      <c r="O475" s="1059"/>
      <c r="P475" s="1059"/>
      <c r="Q475" s="1059"/>
      <c r="R475" s="1059"/>
      <c r="S475" s="1046"/>
      <c r="T475" s="1060"/>
      <c r="U475" s="1041"/>
      <c r="V475" s="1041"/>
      <c r="W475" s="1041"/>
      <c r="X475" s="1059"/>
      <c r="Y475" s="1059"/>
      <c r="Z475" s="1059"/>
      <c r="AA475" s="1059"/>
      <c r="AB475" s="328"/>
      <c r="AC475" s="1062"/>
      <c r="AD475" s="822"/>
      <c r="AE475" s="832"/>
      <c r="AF475" s="832"/>
      <c r="AG475" s="832"/>
      <c r="AH475" s="822"/>
      <c r="AI475" s="832"/>
      <c r="AJ475" s="832"/>
      <c r="AK475" s="832"/>
      <c r="AL475" s="822"/>
      <c r="AM475" s="832"/>
      <c r="AN475" s="832"/>
      <c r="AO475" s="832"/>
      <c r="AP475" s="822"/>
      <c r="AQ475" s="822"/>
      <c r="AR475" s="822"/>
      <c r="AS475" s="307"/>
      <c r="AT475" s="307"/>
      <c r="AU475" s="307"/>
      <c r="AV475" s="307"/>
      <c r="AW475" s="307"/>
      <c r="AX475" s="307"/>
      <c r="AY475" s="307"/>
      <c r="AZ475" s="307"/>
      <c r="BA475" s="307"/>
      <c r="BB475" s="196"/>
      <c r="BC475" s="196"/>
      <c r="BD475" s="212"/>
      <c r="BE475" s="212"/>
      <c r="BF475" s="212"/>
      <c r="BG475" s="212"/>
      <c r="BH475" s="212"/>
      <c r="BI475" s="212"/>
      <c r="BJ475" s="212"/>
      <c r="BK475" s="212"/>
      <c r="BL475" s="212"/>
      <c r="BM475" s="212"/>
      <c r="BN475" s="212"/>
      <c r="BO475" s="212"/>
      <c r="BP475" s="212"/>
      <c r="BQ475" s="212"/>
      <c r="BR475" s="212"/>
      <c r="BS475" s="212"/>
      <c r="BT475" s="212"/>
      <c r="BU475" s="212"/>
      <c r="BV475" s="212"/>
      <c r="BW475" s="212"/>
      <c r="BX475" s="212"/>
      <c r="BY475" s="212"/>
      <c r="BZ475" s="212"/>
      <c r="CA475" s="212"/>
      <c r="CB475" s="212"/>
      <c r="CC475" s="212"/>
      <c r="CD475" s="212"/>
      <c r="CE475" s="212"/>
    </row>
    <row r="476" spans="1:83" x14ac:dyDescent="0.2">
      <c r="A476" s="1092"/>
      <c r="B476" s="1090" t="str">
        <f>IF(Stammblatt!$L$4=1,'Kalkulation Herstellungskosten'!BB476,'Kalkulation Herstellungskosten'!BC476)</f>
        <v>Σ-Allgemeine Kosten</v>
      </c>
      <c r="C476" s="1152"/>
      <c r="D476" s="1153"/>
      <c r="E476" s="1154"/>
      <c r="F476" s="1154">
        <f>SUM(F463:F475)</f>
        <v>0</v>
      </c>
      <c r="G476" s="1154"/>
      <c r="H476" s="1154"/>
      <c r="I476" s="1155"/>
      <c r="J476" s="1156"/>
      <c r="K476" s="1154"/>
      <c r="L476" s="1154"/>
      <c r="M476" s="1154"/>
      <c r="N476" s="904"/>
      <c r="O476" s="90">
        <f>SUM(O463:O475)</f>
        <v>0</v>
      </c>
      <c r="P476" s="90">
        <f>SUM(P463:P475)</f>
        <v>0</v>
      </c>
      <c r="Q476" s="90">
        <f>SUM(Q463:Q475)</f>
        <v>0</v>
      </c>
      <c r="R476" s="90">
        <f>SUM(R463:R475)</f>
        <v>0</v>
      </c>
      <c r="S476" s="1046"/>
      <c r="T476" s="511">
        <f>SUM(T463:T475)</f>
        <v>0</v>
      </c>
      <c r="U476" s="90">
        <f>SUM(U463:U475)</f>
        <v>0</v>
      </c>
      <c r="V476" s="90">
        <f>SUM(V463:V475)</f>
        <v>0</v>
      </c>
      <c r="W476" s="90">
        <f>ZS_11_Allgemeine_Kosten-V476</f>
        <v>0</v>
      </c>
      <c r="X476" s="90">
        <f>SUM(X463:X475)</f>
        <v>0</v>
      </c>
      <c r="Y476" s="90">
        <f>SUM(Y463:Y475)</f>
        <v>0</v>
      </c>
      <c r="Z476" s="90">
        <f>SUM(Z463:Z475)</f>
        <v>0</v>
      </c>
      <c r="AA476" s="90">
        <f>SUM(AA463:AA475)</f>
        <v>0</v>
      </c>
      <c r="AB476" s="328"/>
      <c r="AC476" s="1062"/>
      <c r="AD476" s="1158">
        <f>SUM(AD463:AD475)</f>
        <v>0</v>
      </c>
      <c r="AE476" s="1037">
        <f t="shared" ref="AE476:AG476" si="420">SUM(AE463:AE475)</f>
        <v>0</v>
      </c>
      <c r="AF476" s="653">
        <f t="shared" si="420"/>
        <v>0</v>
      </c>
      <c r="AG476" s="653">
        <f t="shared" si="420"/>
        <v>0</v>
      </c>
      <c r="AH476" s="1158">
        <f>SUM(AH463:AH475)</f>
        <v>0</v>
      </c>
      <c r="AI476" s="1037">
        <f t="shared" ref="AI476:AK476" si="421">SUM(AI463:AI475)</f>
        <v>0</v>
      </c>
      <c r="AJ476" s="653">
        <f t="shared" si="421"/>
        <v>0</v>
      </c>
      <c r="AK476" s="653">
        <f t="shared" si="421"/>
        <v>0</v>
      </c>
      <c r="AL476" s="1158">
        <f>SUM(AL463:AL475)</f>
        <v>0</v>
      </c>
      <c r="AM476" s="1037">
        <f t="shared" ref="AM476:AO476" si="422">SUM(AM463:AM475)</f>
        <v>0</v>
      </c>
      <c r="AN476" s="653">
        <f t="shared" si="422"/>
        <v>0</v>
      </c>
      <c r="AO476" s="653">
        <f t="shared" si="422"/>
        <v>0</v>
      </c>
      <c r="AP476" s="653">
        <f>SUM(AP463:AP475)</f>
        <v>0</v>
      </c>
      <c r="AQ476" s="653">
        <f>SUM(AQ463:AQ475)</f>
        <v>0</v>
      </c>
      <c r="AR476" s="653">
        <f>AP476-AQ476</f>
        <v>0</v>
      </c>
      <c r="AS476" s="307"/>
      <c r="AT476" s="307"/>
      <c r="AU476" s="307"/>
      <c r="AV476" s="307"/>
      <c r="AW476" s="307"/>
      <c r="AX476" s="307"/>
      <c r="AY476" s="307"/>
      <c r="AZ476" s="307"/>
      <c r="BA476" s="307"/>
      <c r="BB476" s="196" t="s">
        <v>237</v>
      </c>
      <c r="BC476" s="196" t="s">
        <v>436</v>
      </c>
      <c r="BD476" s="212"/>
      <c r="BE476" s="212"/>
      <c r="BF476" s="212"/>
      <c r="BG476" s="212"/>
      <c r="BH476" s="212"/>
      <c r="BI476" s="212"/>
      <c r="BJ476" s="212"/>
      <c r="BK476" s="212"/>
      <c r="BL476" s="212"/>
      <c r="BM476" s="212"/>
      <c r="BN476" s="212"/>
      <c r="BO476" s="212"/>
      <c r="BP476" s="212"/>
      <c r="BQ476" s="212"/>
      <c r="BR476" s="212"/>
      <c r="BS476" s="212"/>
      <c r="BT476" s="212"/>
      <c r="BU476" s="212"/>
      <c r="BV476" s="212"/>
      <c r="BW476" s="212"/>
      <c r="BX476" s="212"/>
      <c r="BY476" s="212"/>
      <c r="BZ476" s="212"/>
      <c r="CA476" s="212"/>
      <c r="CB476" s="212"/>
      <c r="CC476" s="212"/>
      <c r="CD476" s="212"/>
      <c r="CE476" s="212"/>
    </row>
    <row r="477" spans="1:83" x14ac:dyDescent="0.2">
      <c r="A477" s="1055"/>
      <c r="B477" s="496"/>
      <c r="C477" s="490"/>
      <c r="D477" s="328"/>
      <c r="E477" s="371"/>
      <c r="F477" s="371"/>
      <c r="G477" s="1056"/>
      <c r="H477" s="1056"/>
      <c r="I477" s="1057"/>
      <c r="J477" s="1058"/>
      <c r="K477" s="1056"/>
      <c r="L477" s="1056"/>
      <c r="M477" s="1056"/>
      <c r="N477" s="335"/>
      <c r="O477" s="1059"/>
      <c r="P477" s="1059"/>
      <c r="Q477" s="1059"/>
      <c r="R477" s="1059"/>
      <c r="S477" s="1046"/>
      <c r="T477" s="1060"/>
      <c r="U477" s="1041"/>
      <c r="V477" s="1041"/>
      <c r="W477" s="1041"/>
      <c r="X477" s="1041"/>
      <c r="Y477" s="1059"/>
      <c r="Z477" s="1059"/>
      <c r="AA477" s="1059"/>
      <c r="AB477" s="328"/>
      <c r="AC477" s="1062"/>
      <c r="AD477" s="822"/>
      <c r="AE477" s="832"/>
      <c r="AF477" s="832"/>
      <c r="AG477" s="832"/>
      <c r="AH477" s="822"/>
      <c r="AI477" s="832"/>
      <c r="AJ477" s="832"/>
      <c r="AK477" s="832"/>
      <c r="AL477" s="822"/>
      <c r="AM477" s="832"/>
      <c r="AN477" s="832"/>
      <c r="AO477" s="832"/>
      <c r="AP477" s="822"/>
      <c r="AQ477" s="822"/>
      <c r="AR477" s="822"/>
      <c r="AS477" s="307"/>
      <c r="AT477" s="307"/>
      <c r="AU477" s="307"/>
      <c r="AV477" s="307"/>
      <c r="AW477" s="307"/>
      <c r="AX477" s="307"/>
      <c r="AY477" s="307"/>
      <c r="AZ477" s="307"/>
      <c r="BA477" s="307"/>
      <c r="BB477" s="196"/>
      <c r="BC477" s="196"/>
      <c r="BD477" s="212"/>
      <c r="BE477" s="212"/>
      <c r="BF477" s="212"/>
      <c r="BG477" s="212"/>
      <c r="BH477" s="212"/>
      <c r="BI477" s="212"/>
      <c r="BJ477" s="212"/>
      <c r="BK477" s="212"/>
      <c r="BL477" s="212"/>
      <c r="BM477" s="212"/>
      <c r="BN477" s="212"/>
      <c r="BO477" s="212"/>
      <c r="BP477" s="212"/>
      <c r="BQ477" s="212"/>
      <c r="BR477" s="212"/>
      <c r="BS477" s="212"/>
      <c r="BT477" s="212"/>
      <c r="BU477" s="212"/>
      <c r="BV477" s="212"/>
      <c r="BW477" s="212"/>
      <c r="BX477" s="212"/>
      <c r="BY477" s="212"/>
      <c r="BZ477" s="212"/>
      <c r="CA477" s="212"/>
      <c r="CB477" s="212"/>
      <c r="CC477" s="212"/>
      <c r="CD477" s="212"/>
      <c r="CE477" s="212"/>
    </row>
    <row r="478" spans="1:83" x14ac:dyDescent="0.2">
      <c r="A478" s="1055"/>
      <c r="B478" s="496"/>
      <c r="C478" s="490"/>
      <c r="D478" s="328"/>
      <c r="E478" s="371"/>
      <c r="F478" s="371"/>
      <c r="G478" s="1056"/>
      <c r="H478" s="1056"/>
      <c r="I478" s="1057"/>
      <c r="J478" s="1058"/>
      <c r="K478" s="1056"/>
      <c r="L478" s="1056"/>
      <c r="M478" s="1056"/>
      <c r="N478" s="335"/>
      <c r="O478" s="1059"/>
      <c r="P478" s="1059"/>
      <c r="Q478" s="1059"/>
      <c r="R478" s="1059"/>
      <c r="S478" s="1046"/>
      <c r="T478" s="1060"/>
      <c r="U478" s="1041"/>
      <c r="V478" s="1041"/>
      <c r="W478" s="1041"/>
      <c r="X478" s="1041"/>
      <c r="Y478" s="1059"/>
      <c r="Z478" s="1059"/>
      <c r="AA478" s="1059"/>
      <c r="AB478" s="328"/>
      <c r="AC478" s="1062"/>
      <c r="AD478" s="822"/>
      <c r="AE478" s="832"/>
      <c r="AF478" s="832"/>
      <c r="AG478" s="832"/>
      <c r="AH478" s="822"/>
      <c r="AI478" s="832"/>
      <c r="AJ478" s="832"/>
      <c r="AK478" s="832"/>
      <c r="AL478" s="822"/>
      <c r="AM478" s="832"/>
      <c r="AN478" s="832"/>
      <c r="AO478" s="832"/>
      <c r="AP478" s="822"/>
      <c r="AQ478" s="822"/>
      <c r="AR478" s="822"/>
      <c r="AS478" s="307"/>
      <c r="AT478" s="307"/>
      <c r="AU478" s="307"/>
      <c r="AV478" s="307"/>
      <c r="AW478" s="307"/>
      <c r="AX478" s="307"/>
      <c r="AY478" s="307"/>
      <c r="AZ478" s="307"/>
      <c r="BA478" s="307"/>
      <c r="BB478" s="196"/>
      <c r="BC478" s="196"/>
      <c r="BD478" s="212"/>
      <c r="BE478" s="212"/>
      <c r="BF478" s="212"/>
      <c r="BG478" s="212"/>
      <c r="BH478" s="212"/>
      <c r="BI478" s="212"/>
      <c r="BJ478" s="212"/>
      <c r="BK478" s="212"/>
      <c r="BL478" s="212"/>
      <c r="BM478" s="212"/>
      <c r="BN478" s="212"/>
      <c r="BO478" s="212"/>
      <c r="BP478" s="212"/>
      <c r="BQ478" s="212"/>
      <c r="BR478" s="212"/>
      <c r="BS478" s="212"/>
      <c r="BT478" s="212"/>
      <c r="BU478" s="212"/>
      <c r="BV478" s="212"/>
      <c r="BW478" s="212"/>
      <c r="BX478" s="212"/>
      <c r="BY478" s="212"/>
      <c r="BZ478" s="212"/>
      <c r="CA478" s="212"/>
      <c r="CB478" s="212"/>
      <c r="CC478" s="212"/>
      <c r="CD478" s="212"/>
      <c r="CE478" s="212"/>
    </row>
    <row r="479" spans="1:83" s="24" customFormat="1" x14ac:dyDescent="0.2">
      <c r="A479" s="1066"/>
      <c r="B479" s="497" t="str">
        <f>IF(Stammblatt!$L$4=1,'Kalkulation Herstellungskosten'!BB479,'Kalkulation Herstellungskosten'!BC479)</f>
        <v>12. Kostenmindernde Erträge</v>
      </c>
      <c r="C479" s="379"/>
      <c r="D479" s="1067"/>
      <c r="E479" s="329"/>
      <c r="F479" s="329"/>
      <c r="G479" s="1062"/>
      <c r="H479" s="1062"/>
      <c r="I479" s="1068"/>
      <c r="J479" s="1069"/>
      <c r="K479" s="1062"/>
      <c r="L479" s="1062"/>
      <c r="M479" s="1062"/>
      <c r="N479" s="1070"/>
      <c r="O479" s="1038"/>
      <c r="P479" s="1038"/>
      <c r="Q479" s="1038"/>
      <c r="R479" s="1038"/>
      <c r="S479" s="1046"/>
      <c r="T479" s="1071"/>
      <c r="U479" s="1040"/>
      <c r="V479" s="1040"/>
      <c r="W479" s="1040"/>
      <c r="X479" s="1040"/>
      <c r="Y479" s="1038"/>
      <c r="Z479" s="1038"/>
      <c r="AA479" s="1038"/>
      <c r="AB479" s="328"/>
      <c r="AC479" s="1062"/>
      <c r="AD479" s="1135"/>
      <c r="AE479" s="1138"/>
      <c r="AF479" s="1138"/>
      <c r="AG479" s="1138"/>
      <c r="AH479" s="1135"/>
      <c r="AI479" s="1138"/>
      <c r="AJ479" s="1138"/>
      <c r="AK479" s="1138"/>
      <c r="AL479" s="1135"/>
      <c r="AM479" s="1138"/>
      <c r="AN479" s="1138"/>
      <c r="AO479" s="1138"/>
      <c r="AP479" s="1135"/>
      <c r="AQ479" s="1135"/>
      <c r="AR479" s="1135"/>
      <c r="AS479" s="307"/>
      <c r="AT479" s="307"/>
      <c r="AU479" s="307"/>
      <c r="AV479" s="307"/>
      <c r="AW479" s="307"/>
      <c r="AX479" s="307"/>
      <c r="AY479" s="307"/>
      <c r="AZ479" s="307"/>
      <c r="BA479" s="307"/>
      <c r="BB479" s="196" t="s">
        <v>104</v>
      </c>
      <c r="BC479" s="196" t="s">
        <v>421</v>
      </c>
      <c r="BD479" s="308"/>
      <c r="BE479" s="308"/>
      <c r="BF479" s="308"/>
      <c r="BG479" s="308"/>
      <c r="BH479" s="308"/>
      <c r="BI479" s="308"/>
      <c r="BJ479" s="308"/>
      <c r="BK479" s="308"/>
      <c r="BL479" s="308"/>
      <c r="BM479" s="308"/>
      <c r="BN479" s="308"/>
      <c r="BO479" s="308"/>
      <c r="BP479" s="308"/>
      <c r="BQ479" s="308"/>
      <c r="BR479" s="308"/>
      <c r="BS479" s="308"/>
      <c r="BT479" s="308"/>
      <c r="BU479" s="308"/>
      <c r="BV479" s="308"/>
      <c r="BW479" s="308"/>
      <c r="BX479" s="308"/>
      <c r="BY479" s="308"/>
      <c r="BZ479" s="308"/>
      <c r="CA479" s="308"/>
      <c r="CB479" s="308"/>
      <c r="CC479" s="308"/>
      <c r="CD479" s="308"/>
      <c r="CE479" s="308"/>
    </row>
    <row r="480" spans="1:83" x14ac:dyDescent="0.2">
      <c r="A480" s="1091">
        <v>173</v>
      </c>
      <c r="B480" s="1082" t="str">
        <f>IF(Stammblatt!$L$4=1,'Kalkulation Herstellungskosten'!BB480,'Kalkulation Herstellungskosten'!BC480)</f>
        <v>aus Versicherungsleistungen (inkl. Prämienrückvergütungen)</v>
      </c>
      <c r="C480" s="317"/>
      <c r="D480" s="318"/>
      <c r="E480" s="319"/>
      <c r="F480" s="84">
        <v>0</v>
      </c>
      <c r="G480" s="337"/>
      <c r="H480" s="337"/>
      <c r="I480" s="338"/>
      <c r="J480" s="339"/>
      <c r="K480" s="337"/>
      <c r="L480" s="337"/>
      <c r="M480" s="337"/>
      <c r="N480" s="340"/>
      <c r="O480" s="84"/>
      <c r="P480" s="1245"/>
      <c r="Q480" s="84"/>
      <c r="R480" s="84"/>
      <c r="S480" s="514"/>
      <c r="T480" s="517"/>
      <c r="U480" s="84"/>
      <c r="V480" s="1053">
        <f>SUM(T480:U480)</f>
        <v>0</v>
      </c>
      <c r="W480" s="1053">
        <f>F480-V480</f>
        <v>0</v>
      </c>
      <c r="X480" s="84"/>
      <c r="Y480" s="1121"/>
      <c r="Z480" s="84"/>
      <c r="AA480" s="84"/>
      <c r="AB480" s="295"/>
      <c r="AC480" s="305"/>
      <c r="AD480" s="813"/>
      <c r="AE480" s="800"/>
      <c r="AF480" s="801"/>
      <c r="AG480" s="831">
        <f>SUM(AE480:AF480)</f>
        <v>0</v>
      </c>
      <c r="AH480" s="813"/>
      <c r="AI480" s="800"/>
      <c r="AJ480" s="814"/>
      <c r="AK480" s="831">
        <f>SUM(AI480:AJ480)</f>
        <v>0</v>
      </c>
      <c r="AL480" s="813"/>
      <c r="AM480" s="801"/>
      <c r="AN480" s="814"/>
      <c r="AO480" s="831">
        <f>SUM(AM480:AN480)</f>
        <v>0</v>
      </c>
      <c r="AP480" s="1079">
        <f t="shared" ref="AP480" si="423">SUM(F480,AD480,AH480,AL480)</f>
        <v>0</v>
      </c>
      <c r="AQ480" s="1079">
        <f t="shared" ref="AQ480" si="424">SUM(AO480,AK480,AG480,V480)</f>
        <v>0</v>
      </c>
      <c r="AR480" s="1080">
        <f t="shared" ref="AR480" si="425">AP480-AQ480</f>
        <v>0</v>
      </c>
      <c r="AS480" s="307"/>
      <c r="AT480" s="307"/>
      <c r="AU480" s="307"/>
      <c r="AV480" s="307"/>
      <c r="AW480" s="307"/>
      <c r="AX480" s="307"/>
      <c r="AY480" s="307"/>
      <c r="AZ480" s="307"/>
      <c r="BA480" s="307"/>
      <c r="BB480" s="196" t="s">
        <v>207</v>
      </c>
      <c r="BC480" s="196" t="s">
        <v>415</v>
      </c>
      <c r="BD480" s="212"/>
      <c r="BE480" s="212"/>
      <c r="BF480" s="212"/>
      <c r="BG480" s="212"/>
      <c r="BH480" s="212"/>
      <c r="BI480" s="212"/>
      <c r="BJ480" s="212"/>
      <c r="BK480" s="212"/>
      <c r="BL480" s="212"/>
      <c r="BM480" s="212"/>
      <c r="BN480" s="212"/>
      <c r="BO480" s="212"/>
      <c r="BP480" s="212"/>
      <c r="BQ480" s="212"/>
      <c r="BR480" s="212"/>
      <c r="BS480" s="212"/>
      <c r="BT480" s="212"/>
      <c r="BU480" s="212"/>
      <c r="BV480" s="212"/>
      <c r="BW480" s="212"/>
      <c r="BX480" s="212"/>
      <c r="BY480" s="212"/>
      <c r="BZ480" s="212"/>
      <c r="CA480" s="212"/>
      <c r="CB480" s="212"/>
      <c r="CC480" s="212"/>
      <c r="CD480" s="212"/>
      <c r="CE480" s="212"/>
    </row>
    <row r="481" spans="1:83" x14ac:dyDescent="0.2">
      <c r="A481" s="1091">
        <v>174</v>
      </c>
      <c r="B481" s="1082" t="str">
        <f>IF(Stammblatt!$L$4=1,'Kalkulation Herstellungskosten'!BB481,'Kalkulation Herstellungskosten'!BC481)</f>
        <v>aus Verkauf von Sachen (Fundus ua)</v>
      </c>
      <c r="C481" s="317"/>
      <c r="D481" s="318"/>
      <c r="E481" s="319"/>
      <c r="F481" s="84">
        <v>0</v>
      </c>
      <c r="G481" s="337"/>
      <c r="H481" s="337"/>
      <c r="I481" s="338"/>
      <c r="J481" s="341"/>
      <c r="K481" s="342"/>
      <c r="L481" s="342"/>
      <c r="M481" s="342"/>
      <c r="N481" s="343"/>
      <c r="O481" s="84"/>
      <c r="P481" s="1245"/>
      <c r="Q481" s="84"/>
      <c r="R481" s="84"/>
      <c r="S481" s="514"/>
      <c r="T481" s="517"/>
      <c r="U481" s="84"/>
      <c r="V481" s="1053">
        <f>SUM(T481:U481)</f>
        <v>0</v>
      </c>
      <c r="W481" s="1053">
        <f>F481-V481</f>
        <v>0</v>
      </c>
      <c r="X481" s="84"/>
      <c r="Y481" s="1121"/>
      <c r="Z481" s="84"/>
      <c r="AA481" s="84"/>
      <c r="AB481" s="295"/>
      <c r="AC481" s="305"/>
      <c r="AD481" s="813"/>
      <c r="AE481" s="800"/>
      <c r="AF481" s="801"/>
      <c r="AG481" s="831">
        <f>SUM(AE481:AF481)</f>
        <v>0</v>
      </c>
      <c r="AH481" s="813"/>
      <c r="AI481" s="800"/>
      <c r="AJ481" s="814"/>
      <c r="AK481" s="831">
        <f>SUM(AI481:AJ481)</f>
        <v>0</v>
      </c>
      <c r="AL481" s="813"/>
      <c r="AM481" s="801"/>
      <c r="AN481" s="814"/>
      <c r="AO481" s="831">
        <f>SUM(AM481:AN481)</f>
        <v>0</v>
      </c>
      <c r="AP481" s="1079">
        <f t="shared" ref="AP481:AP484" si="426">SUM(F481,AD481,AH481,AL481)</f>
        <v>0</v>
      </c>
      <c r="AQ481" s="1079">
        <f t="shared" ref="AQ481:AQ484" si="427">SUM(AO481,AK481,AG481,V481)</f>
        <v>0</v>
      </c>
      <c r="AR481" s="1080">
        <f t="shared" ref="AR481:AR484" si="428">AP481-AQ481</f>
        <v>0</v>
      </c>
      <c r="AS481" s="307"/>
      <c r="AT481" s="307"/>
      <c r="AU481" s="307"/>
      <c r="AV481" s="307"/>
      <c r="AW481" s="307"/>
      <c r="AX481" s="307"/>
      <c r="AY481" s="307"/>
      <c r="AZ481" s="307"/>
      <c r="BA481" s="307"/>
      <c r="BB481" s="196" t="s">
        <v>105</v>
      </c>
      <c r="BC481" s="196" t="s">
        <v>416</v>
      </c>
      <c r="BD481" s="212"/>
      <c r="BE481" s="212"/>
      <c r="BF481" s="212"/>
      <c r="BG481" s="212"/>
      <c r="BH481" s="212"/>
      <c r="BI481" s="212"/>
      <c r="BJ481" s="212"/>
      <c r="BK481" s="212"/>
      <c r="BL481" s="212"/>
      <c r="BM481" s="212"/>
      <c r="BN481" s="212"/>
      <c r="BO481" s="212"/>
      <c r="BP481" s="212"/>
      <c r="BQ481" s="212"/>
      <c r="BR481" s="212"/>
      <c r="BS481" s="212"/>
      <c r="BT481" s="212"/>
      <c r="BU481" s="212"/>
      <c r="BV481" s="212"/>
      <c r="BW481" s="212"/>
      <c r="BX481" s="212"/>
      <c r="BY481" s="212"/>
      <c r="BZ481" s="212"/>
      <c r="CA481" s="212"/>
      <c r="CB481" s="212"/>
      <c r="CC481" s="212"/>
      <c r="CD481" s="212"/>
      <c r="CE481" s="212"/>
    </row>
    <row r="482" spans="1:83" x14ac:dyDescent="0.2">
      <c r="A482" s="1091">
        <v>175</v>
      </c>
      <c r="B482" s="1082" t="str">
        <f>IF(Stammblatt!$L$4=1,'Kalkulation Herstellungskosten'!BB482,'Kalkulation Herstellungskosten'!BC482)</f>
        <v>aus Verkauf von Rechten (Musik ua)</v>
      </c>
      <c r="C482" s="317"/>
      <c r="D482" s="318"/>
      <c r="E482" s="319"/>
      <c r="F482" s="84">
        <v>0</v>
      </c>
      <c r="G482" s="337"/>
      <c r="H482" s="337"/>
      <c r="I482" s="338"/>
      <c r="J482" s="341"/>
      <c r="K482" s="342"/>
      <c r="L482" s="342"/>
      <c r="M482" s="342"/>
      <c r="N482" s="343"/>
      <c r="O482" s="84"/>
      <c r="P482" s="1245"/>
      <c r="Q482" s="84"/>
      <c r="R482" s="84"/>
      <c r="S482" s="514"/>
      <c r="T482" s="517"/>
      <c r="U482" s="84"/>
      <c r="V482" s="1053">
        <f>SUM(T482:U482)</f>
        <v>0</v>
      </c>
      <c r="W482" s="1053">
        <f>F482-V482</f>
        <v>0</v>
      </c>
      <c r="X482" s="84"/>
      <c r="Y482" s="1121"/>
      <c r="Z482" s="84"/>
      <c r="AA482" s="84"/>
      <c r="AB482" s="295"/>
      <c r="AC482" s="305"/>
      <c r="AD482" s="813"/>
      <c r="AE482" s="800"/>
      <c r="AF482" s="801"/>
      <c r="AG482" s="831">
        <f>SUM(AE482:AF482)</f>
        <v>0</v>
      </c>
      <c r="AH482" s="813"/>
      <c r="AI482" s="800"/>
      <c r="AJ482" s="814"/>
      <c r="AK482" s="831">
        <f>SUM(AI482:AJ482)</f>
        <v>0</v>
      </c>
      <c r="AL482" s="813"/>
      <c r="AM482" s="801"/>
      <c r="AN482" s="814"/>
      <c r="AO482" s="831">
        <f>SUM(AM482:AN482)</f>
        <v>0</v>
      </c>
      <c r="AP482" s="1079">
        <f t="shared" si="426"/>
        <v>0</v>
      </c>
      <c r="AQ482" s="1079">
        <f t="shared" si="427"/>
        <v>0</v>
      </c>
      <c r="AR482" s="1080">
        <f t="shared" si="428"/>
        <v>0</v>
      </c>
      <c r="AS482" s="307"/>
      <c r="AT482" s="307"/>
      <c r="AU482" s="307"/>
      <c r="AV482" s="307"/>
      <c r="AW482" s="307"/>
      <c r="AX482" s="307"/>
      <c r="AY482" s="307"/>
      <c r="AZ482" s="307"/>
      <c r="BA482" s="307"/>
      <c r="BB482" s="196" t="s">
        <v>106</v>
      </c>
      <c r="BC482" s="196" t="s">
        <v>417</v>
      </c>
      <c r="BD482" s="212"/>
      <c r="BE482" s="212"/>
      <c r="BF482" s="212"/>
      <c r="BG482" s="212"/>
      <c r="BH482" s="212"/>
      <c r="BI482" s="212"/>
      <c r="BJ482" s="212"/>
      <c r="BK482" s="212"/>
      <c r="BL482" s="212"/>
      <c r="BM482" s="212"/>
      <c r="BN482" s="212"/>
      <c r="BO482" s="212"/>
      <c r="BP482" s="212"/>
      <c r="BQ482" s="212"/>
      <c r="BR482" s="212"/>
      <c r="BS482" s="212"/>
      <c r="BT482" s="212"/>
      <c r="BU482" s="212"/>
      <c r="BV482" s="212"/>
      <c r="BW482" s="212"/>
      <c r="BX482" s="212"/>
      <c r="BY482" s="212"/>
      <c r="BZ482" s="212"/>
      <c r="CA482" s="212"/>
      <c r="CB482" s="212"/>
      <c r="CC482" s="212"/>
      <c r="CD482" s="212"/>
      <c r="CE482" s="212"/>
    </row>
    <row r="483" spans="1:83" x14ac:dyDescent="0.2">
      <c r="A483" s="1091">
        <v>176</v>
      </c>
      <c r="B483" s="1082" t="str">
        <f>IF(Stammblatt!$L$4=1,'Kalkulation Herstellungskosten'!BB483,'Kalkulation Herstellungskosten'!BC483)</f>
        <v>aus Werbung, von Sponsoren</v>
      </c>
      <c r="C483" s="317"/>
      <c r="D483" s="318"/>
      <c r="E483" s="319"/>
      <c r="F483" s="84">
        <v>0</v>
      </c>
      <c r="G483" s="337"/>
      <c r="H483" s="337"/>
      <c r="I483" s="338"/>
      <c r="J483" s="341"/>
      <c r="K483" s="342"/>
      <c r="L483" s="342"/>
      <c r="M483" s="342"/>
      <c r="N483" s="343"/>
      <c r="O483" s="84"/>
      <c r="P483" s="1245"/>
      <c r="Q483" s="84"/>
      <c r="R483" s="84"/>
      <c r="S483" s="514"/>
      <c r="T483" s="517"/>
      <c r="U483" s="84"/>
      <c r="V483" s="1053">
        <f>SUM(T483:U483)</f>
        <v>0</v>
      </c>
      <c r="W483" s="1053">
        <f>F483-V483</f>
        <v>0</v>
      </c>
      <c r="X483" s="84"/>
      <c r="Y483" s="1121"/>
      <c r="Z483" s="84"/>
      <c r="AA483" s="84"/>
      <c r="AB483" s="295"/>
      <c r="AC483" s="305"/>
      <c r="AD483" s="813"/>
      <c r="AE483" s="800"/>
      <c r="AF483" s="801"/>
      <c r="AG483" s="831">
        <f>SUM(AE483:AF483)</f>
        <v>0</v>
      </c>
      <c r="AH483" s="813"/>
      <c r="AI483" s="800"/>
      <c r="AJ483" s="814"/>
      <c r="AK483" s="831">
        <f>SUM(AI483:AJ483)</f>
        <v>0</v>
      </c>
      <c r="AL483" s="813"/>
      <c r="AM483" s="801"/>
      <c r="AN483" s="814"/>
      <c r="AO483" s="831">
        <f>SUM(AM483:AN483)</f>
        <v>0</v>
      </c>
      <c r="AP483" s="1079">
        <f t="shared" si="426"/>
        <v>0</v>
      </c>
      <c r="AQ483" s="1079">
        <f t="shared" si="427"/>
        <v>0</v>
      </c>
      <c r="AR483" s="1080">
        <f t="shared" si="428"/>
        <v>0</v>
      </c>
      <c r="AS483" s="307"/>
      <c r="AT483" s="307"/>
      <c r="AU483" s="307"/>
      <c r="AV483" s="307"/>
      <c r="AW483" s="307"/>
      <c r="AX483" s="307"/>
      <c r="AY483" s="307"/>
      <c r="AZ483" s="307"/>
      <c r="BA483" s="307"/>
      <c r="BB483" s="196" t="s">
        <v>107</v>
      </c>
      <c r="BC483" s="196" t="s">
        <v>418</v>
      </c>
      <c r="BD483" s="212"/>
      <c r="BE483" s="212"/>
      <c r="BF483" s="212"/>
      <c r="BG483" s="212"/>
      <c r="BH483" s="212"/>
      <c r="BI483" s="212"/>
      <c r="BJ483" s="212"/>
      <c r="BK483" s="212"/>
      <c r="BL483" s="212"/>
      <c r="BM483" s="212"/>
      <c r="BN483" s="212"/>
      <c r="BO483" s="212"/>
      <c r="BP483" s="212"/>
      <c r="BQ483" s="212"/>
      <c r="BR483" s="212"/>
      <c r="BS483" s="212"/>
      <c r="BT483" s="212"/>
      <c r="BU483" s="212"/>
      <c r="BV483" s="212"/>
      <c r="BW483" s="212"/>
      <c r="BX483" s="212"/>
      <c r="BY483" s="212"/>
      <c r="BZ483" s="212"/>
      <c r="CA483" s="212"/>
      <c r="CB483" s="212"/>
      <c r="CC483" s="212"/>
      <c r="CD483" s="212"/>
      <c r="CE483" s="212"/>
    </row>
    <row r="484" spans="1:83" x14ac:dyDescent="0.2">
      <c r="A484" s="1091">
        <v>177</v>
      </c>
      <c r="B484" s="1082" t="str">
        <f>IF(Stammblatt!$L$4=1,'Kalkulation Herstellungskosten'!BB484,'Kalkulation Herstellungskosten'!BC484)</f>
        <v>Sonstige *)</v>
      </c>
      <c r="C484" s="317"/>
      <c r="D484" s="318"/>
      <c r="E484" s="319"/>
      <c r="F484" s="84">
        <v>0</v>
      </c>
      <c r="G484" s="337"/>
      <c r="H484" s="337"/>
      <c r="I484" s="338"/>
      <c r="J484" s="341"/>
      <c r="K484" s="342"/>
      <c r="L484" s="342"/>
      <c r="M484" s="342"/>
      <c r="N484" s="343"/>
      <c r="O484" s="84"/>
      <c r="P484" s="1245"/>
      <c r="Q484" s="84"/>
      <c r="R484" s="84"/>
      <c r="S484" s="514"/>
      <c r="T484" s="517"/>
      <c r="U484" s="84"/>
      <c r="V484" s="1053">
        <f>SUM(T484:U484)</f>
        <v>0</v>
      </c>
      <c r="W484" s="1053">
        <f>F484-V484</f>
        <v>0</v>
      </c>
      <c r="X484" s="84"/>
      <c r="Y484" s="1121"/>
      <c r="Z484" s="84"/>
      <c r="AA484" s="84"/>
      <c r="AB484" s="295"/>
      <c r="AC484" s="305"/>
      <c r="AD484" s="813"/>
      <c r="AE484" s="800"/>
      <c r="AF484" s="801"/>
      <c r="AG484" s="831">
        <f>SUM(AE484:AF484)</f>
        <v>0</v>
      </c>
      <c r="AH484" s="813"/>
      <c r="AI484" s="800"/>
      <c r="AJ484" s="814"/>
      <c r="AK484" s="831">
        <f>SUM(AI484:AJ484)</f>
        <v>0</v>
      </c>
      <c r="AL484" s="813"/>
      <c r="AM484" s="801"/>
      <c r="AN484" s="814"/>
      <c r="AO484" s="831">
        <f>SUM(AM484:AN484)</f>
        <v>0</v>
      </c>
      <c r="AP484" s="1079">
        <f t="shared" si="426"/>
        <v>0</v>
      </c>
      <c r="AQ484" s="1079">
        <f t="shared" si="427"/>
        <v>0</v>
      </c>
      <c r="AR484" s="1080">
        <f t="shared" si="428"/>
        <v>0</v>
      </c>
      <c r="AS484" s="307"/>
      <c r="AT484" s="307"/>
      <c r="AU484" s="307"/>
      <c r="AV484" s="307"/>
      <c r="AW484" s="307"/>
      <c r="AX484" s="307"/>
      <c r="AY484" s="307"/>
      <c r="AZ484" s="307"/>
      <c r="BA484" s="307"/>
      <c r="BB484" s="196" t="s">
        <v>89</v>
      </c>
      <c r="BC484" s="196" t="s">
        <v>365</v>
      </c>
      <c r="BD484" s="212"/>
      <c r="BE484" s="212"/>
      <c r="BF484" s="212"/>
      <c r="BG484" s="212"/>
      <c r="BH484" s="212"/>
      <c r="BI484" s="212"/>
      <c r="BJ484" s="212"/>
      <c r="BK484" s="212"/>
      <c r="BL484" s="212"/>
      <c r="BM484" s="212"/>
      <c r="BN484" s="212"/>
      <c r="BO484" s="212"/>
      <c r="BP484" s="212"/>
      <c r="BQ484" s="212"/>
      <c r="BR484" s="212"/>
      <c r="BS484" s="212"/>
      <c r="BT484" s="212"/>
      <c r="BU484" s="212"/>
      <c r="BV484" s="212"/>
      <c r="BW484" s="212"/>
      <c r="BX484" s="212"/>
      <c r="BY484" s="212"/>
      <c r="BZ484" s="212"/>
      <c r="CA484" s="212"/>
      <c r="CB484" s="212"/>
      <c r="CC484" s="212"/>
      <c r="CD484" s="212"/>
      <c r="CE484" s="212"/>
    </row>
    <row r="485" spans="1:83" x14ac:dyDescent="0.2">
      <c r="A485" s="1055"/>
      <c r="B485" s="496"/>
      <c r="C485" s="490"/>
      <c r="D485" s="328"/>
      <c r="E485" s="371"/>
      <c r="F485" s="371"/>
      <c r="G485" s="1056"/>
      <c r="H485" s="1056"/>
      <c r="I485" s="1057"/>
      <c r="J485" s="1058"/>
      <c r="K485" s="1056"/>
      <c r="L485" s="1056"/>
      <c r="M485" s="1056"/>
      <c r="N485" s="335"/>
      <c r="O485" s="1059"/>
      <c r="P485" s="1059"/>
      <c r="Q485" s="1059"/>
      <c r="R485" s="1059"/>
      <c r="S485" s="1046"/>
      <c r="T485" s="1060"/>
      <c r="U485" s="1041"/>
      <c r="V485" s="1041"/>
      <c r="W485" s="1041"/>
      <c r="X485" s="1041"/>
      <c r="Y485" s="1059"/>
      <c r="Z485" s="1059"/>
      <c r="AA485" s="1059"/>
      <c r="AB485" s="328"/>
      <c r="AC485" s="1062"/>
      <c r="AD485" s="822"/>
      <c r="AE485" s="832"/>
      <c r="AF485" s="832"/>
      <c r="AG485" s="832"/>
      <c r="AH485" s="822"/>
      <c r="AI485" s="832"/>
      <c r="AJ485" s="832"/>
      <c r="AK485" s="832"/>
      <c r="AL485" s="822"/>
      <c r="AM485" s="832"/>
      <c r="AN485" s="832"/>
      <c r="AO485" s="832"/>
      <c r="AP485" s="822"/>
      <c r="AQ485" s="822"/>
      <c r="AR485" s="822"/>
      <c r="AS485" s="307"/>
      <c r="AT485" s="307"/>
      <c r="AU485" s="307"/>
      <c r="AV485" s="307"/>
      <c r="AW485" s="307"/>
      <c r="AX485" s="307"/>
      <c r="AY485" s="307"/>
      <c r="AZ485" s="307"/>
      <c r="BA485" s="307"/>
      <c r="BB485" s="196"/>
      <c r="BC485" s="196"/>
      <c r="BD485" s="212"/>
      <c r="BE485" s="212"/>
      <c r="BF485" s="212"/>
      <c r="BG485" s="212"/>
      <c r="BH485" s="212"/>
      <c r="BI485" s="212"/>
      <c r="BJ485" s="212"/>
      <c r="BK485" s="212"/>
      <c r="BL485" s="212"/>
      <c r="BM485" s="212"/>
      <c r="BN485" s="212"/>
      <c r="BO485" s="212"/>
      <c r="BP485" s="212"/>
      <c r="BQ485" s="212"/>
      <c r="BR485" s="212"/>
      <c r="BS485" s="212"/>
      <c r="BT485" s="212"/>
      <c r="BU485" s="212"/>
      <c r="BV485" s="212"/>
      <c r="BW485" s="212"/>
      <c r="BX485" s="212"/>
      <c r="BY485" s="212"/>
      <c r="BZ485" s="212"/>
      <c r="CA485" s="212"/>
      <c r="CB485" s="212"/>
      <c r="CC485" s="212"/>
      <c r="CD485" s="212"/>
      <c r="CE485" s="212"/>
    </row>
    <row r="486" spans="1:83" ht="13.5" thickBot="1" x14ac:dyDescent="0.25">
      <c r="A486" s="1092"/>
      <c r="B486" s="1090" t="str">
        <f>IF(Stammblatt!$L$4=1,'Kalkulation Herstellungskosten'!BB486,'Kalkulation Herstellungskosten'!BC486)</f>
        <v>Σ-Kostenmindernde Erträge</v>
      </c>
      <c r="C486" s="1152"/>
      <c r="D486" s="1153"/>
      <c r="E486" s="1154"/>
      <c r="F486" s="1154">
        <f>SUM(F480:F485)</f>
        <v>0</v>
      </c>
      <c r="G486" s="1154"/>
      <c r="H486" s="1154"/>
      <c r="I486" s="1155"/>
      <c r="J486" s="1156"/>
      <c r="K486" s="1154"/>
      <c r="L486" s="1154"/>
      <c r="M486" s="1154"/>
      <c r="N486" s="904"/>
      <c r="O486" s="90">
        <f t="shared" ref="O486:P486" si="429">SUM(O480:O485)</f>
        <v>0</v>
      </c>
      <c r="P486" s="90">
        <f t="shared" si="429"/>
        <v>0</v>
      </c>
      <c r="Q486" s="90">
        <f t="shared" ref="Q486:R486" si="430">SUM(Q480:Q485)</f>
        <v>0</v>
      </c>
      <c r="R486" s="90">
        <f t="shared" si="430"/>
        <v>0</v>
      </c>
      <c r="S486" s="1046"/>
      <c r="T486" s="1170">
        <f>SUM(T480:T485)</f>
        <v>0</v>
      </c>
      <c r="U486" s="1054">
        <f>SUM(U480:U485)</f>
        <v>0</v>
      </c>
      <c r="V486" s="1054">
        <f>SUM(V480:V485)</f>
        <v>0</v>
      </c>
      <c r="W486" s="1054">
        <f>ZS_12_Kostenmindernde_Erträge-V486</f>
        <v>0</v>
      </c>
      <c r="X486" s="1054">
        <f>SUM(X480:X484)</f>
        <v>0</v>
      </c>
      <c r="Y486" s="1054">
        <f t="shared" ref="Y486:AA486" si="431">SUM(Y480:Y485)</f>
        <v>0</v>
      </c>
      <c r="Z486" s="1054">
        <f t="shared" si="431"/>
        <v>0</v>
      </c>
      <c r="AA486" s="1054">
        <f t="shared" si="431"/>
        <v>0</v>
      </c>
      <c r="AB486" s="328"/>
      <c r="AC486" s="1062"/>
      <c r="AD486" s="1158">
        <f t="shared" ref="AD486:AL486" si="432">SUM(AD480:AD485)</f>
        <v>0</v>
      </c>
      <c r="AE486" s="1037">
        <f t="shared" ref="AE486:AG486" si="433">SUM(AE480:AE485)</f>
        <v>0</v>
      </c>
      <c r="AF486" s="653">
        <f t="shared" si="433"/>
        <v>0</v>
      </c>
      <c r="AG486" s="653">
        <f t="shared" si="433"/>
        <v>0</v>
      </c>
      <c r="AH486" s="1158">
        <f t="shared" si="432"/>
        <v>0</v>
      </c>
      <c r="AI486" s="1037">
        <f t="shared" ref="AI486:AK486" si="434">SUM(AI480:AI485)</f>
        <v>0</v>
      </c>
      <c r="AJ486" s="653">
        <f t="shared" si="434"/>
        <v>0</v>
      </c>
      <c r="AK486" s="653">
        <f t="shared" si="434"/>
        <v>0</v>
      </c>
      <c r="AL486" s="1158">
        <f t="shared" si="432"/>
        <v>0</v>
      </c>
      <c r="AM486" s="1037">
        <f t="shared" ref="AM486:AO486" si="435">SUM(AM480:AM485)</f>
        <v>0</v>
      </c>
      <c r="AN486" s="653">
        <f t="shared" si="435"/>
        <v>0</v>
      </c>
      <c r="AO486" s="653">
        <f t="shared" si="435"/>
        <v>0</v>
      </c>
      <c r="AP486" s="653">
        <f>SUM(AP480:AP485)</f>
        <v>0</v>
      </c>
      <c r="AQ486" s="653">
        <f>SUM(AQ480:AQ485)</f>
        <v>0</v>
      </c>
      <c r="AR486" s="653">
        <f>AP486-AQ486</f>
        <v>0</v>
      </c>
      <c r="AS486" s="307"/>
      <c r="AT486" s="307"/>
      <c r="AU486" s="307"/>
      <c r="AV486" s="307"/>
      <c r="AW486" s="307"/>
      <c r="AX486" s="307"/>
      <c r="AY486" s="307"/>
      <c r="AZ486" s="307"/>
      <c r="BA486" s="307"/>
      <c r="BB486" s="196" t="s">
        <v>238</v>
      </c>
      <c r="BC486" s="196" t="s">
        <v>422</v>
      </c>
      <c r="BD486" s="212"/>
      <c r="BE486" s="212"/>
      <c r="BF486" s="212"/>
      <c r="BG486" s="212"/>
      <c r="BH486" s="212"/>
      <c r="BI486" s="212"/>
      <c r="BJ486" s="212"/>
      <c r="BK486" s="212"/>
      <c r="BL486" s="212"/>
      <c r="BM486" s="212"/>
      <c r="BN486" s="212"/>
      <c r="BO486" s="212"/>
      <c r="BP486" s="212"/>
      <c r="BQ486" s="212"/>
      <c r="BR486" s="212"/>
      <c r="BS486" s="212"/>
      <c r="BT486" s="212"/>
      <c r="BU486" s="212"/>
      <c r="BV486" s="212"/>
      <c r="BW486" s="212"/>
      <c r="BX486" s="212"/>
      <c r="BY486" s="212"/>
      <c r="BZ486" s="212"/>
      <c r="CA486" s="212"/>
      <c r="CB486" s="212"/>
      <c r="CC486" s="212"/>
      <c r="CD486" s="212"/>
      <c r="CE486" s="212"/>
    </row>
    <row r="487" spans="1:83" x14ac:dyDescent="0.2">
      <c r="A487" s="1055"/>
      <c r="B487" s="496"/>
      <c r="C487" s="490"/>
      <c r="D487" s="328"/>
      <c r="E487" s="371"/>
      <c r="F487" s="371"/>
      <c r="G487" s="1056"/>
      <c r="H487" s="1056"/>
      <c r="I487" s="1057"/>
      <c r="J487" s="1056"/>
      <c r="K487" s="1056"/>
      <c r="L487" s="1056"/>
      <c r="M487" s="1056"/>
      <c r="N487" s="371"/>
      <c r="O487" s="1059"/>
      <c r="P487" s="1059"/>
      <c r="Q487" s="1059"/>
      <c r="R487" s="1059"/>
      <c r="S487" s="1046"/>
      <c r="T487" s="1059"/>
      <c r="U487" s="1059"/>
      <c r="V487" s="1059"/>
      <c r="W487" s="1059"/>
      <c r="X487" s="1059"/>
      <c r="Y487" s="1059"/>
      <c r="Z487" s="1059"/>
      <c r="AA487" s="1059"/>
      <c r="AB487" s="328"/>
      <c r="AC487" s="1062"/>
      <c r="AD487" s="371"/>
      <c r="AE487" s="371"/>
      <c r="AF487" s="371"/>
      <c r="AG487" s="371"/>
      <c r="AH487" s="371"/>
      <c r="AI487" s="371"/>
      <c r="AJ487" s="371"/>
      <c r="AK487" s="371"/>
      <c r="AL487" s="371"/>
      <c r="AM487" s="371"/>
      <c r="AN487" s="371"/>
      <c r="AO487" s="371"/>
      <c r="AP487" s="935"/>
      <c r="AQ487" s="935"/>
      <c r="AR487" s="935"/>
      <c r="AS487" s="307"/>
      <c r="AT487" s="307"/>
      <c r="AU487" s="307"/>
      <c r="AV487" s="307"/>
      <c r="AW487" s="307"/>
      <c r="AX487" s="307"/>
      <c r="AY487" s="307"/>
      <c r="AZ487" s="307"/>
      <c r="BA487" s="307"/>
      <c r="BB487" s="196"/>
      <c r="BC487" s="196"/>
      <c r="BD487" s="212"/>
      <c r="BE487" s="212"/>
      <c r="BF487" s="212"/>
      <c r="BG487" s="212"/>
      <c r="BH487" s="212"/>
      <c r="BI487" s="212"/>
      <c r="BJ487" s="212"/>
      <c r="BK487" s="212"/>
      <c r="BL487" s="212"/>
      <c r="BM487" s="212"/>
      <c r="BN487" s="212"/>
      <c r="BO487" s="212"/>
      <c r="BP487" s="212"/>
      <c r="BQ487" s="212"/>
      <c r="BR487" s="212"/>
      <c r="BS487" s="212"/>
      <c r="BT487" s="212"/>
      <c r="BU487" s="212"/>
      <c r="BV487" s="212"/>
      <c r="BW487" s="212"/>
      <c r="BX487" s="212"/>
      <c r="BY487" s="212"/>
      <c r="BZ487" s="212"/>
      <c r="CA487" s="212"/>
      <c r="CB487" s="212"/>
      <c r="CC487" s="212"/>
      <c r="CD487" s="212"/>
      <c r="CE487" s="212"/>
    </row>
    <row r="488" spans="1:83" x14ac:dyDescent="0.2">
      <c r="A488" s="1093" t="str">
        <f>IF(Stammblatt!L4=1,'Kalkulation Herstellungskosten'!BB488,'Kalkulation Herstellungskosten'!BC488)</f>
        <v>*) Lt. Anlage</v>
      </c>
      <c r="B488" s="496"/>
      <c r="C488" s="490"/>
      <c r="D488" s="328"/>
      <c r="E488" s="371"/>
      <c r="F488" s="371"/>
      <c r="G488" s="1056"/>
      <c r="H488" s="1056"/>
      <c r="I488" s="1057"/>
      <c r="J488" s="1056"/>
      <c r="K488" s="1056"/>
      <c r="L488" s="1056"/>
      <c r="M488" s="1056"/>
      <c r="N488" s="371"/>
      <c r="O488" s="1059"/>
      <c r="P488" s="1059"/>
      <c r="Q488" s="1059"/>
      <c r="R488" s="1059"/>
      <c r="S488" s="1046"/>
      <c r="T488" s="1059"/>
      <c r="U488" s="1059"/>
      <c r="V488" s="1059"/>
      <c r="W488" s="1059"/>
      <c r="X488" s="1059"/>
      <c r="Y488" s="1059"/>
      <c r="Z488" s="1059"/>
      <c r="AA488" s="1059"/>
      <c r="AB488" s="328"/>
      <c r="AC488" s="1062"/>
      <c r="AD488" s="371"/>
      <c r="AE488" s="371"/>
      <c r="AF488" s="371"/>
      <c r="AG488" s="371"/>
      <c r="AH488" s="371"/>
      <c r="AI488" s="371"/>
      <c r="AJ488" s="371"/>
      <c r="AK488" s="371"/>
      <c r="AL488" s="371"/>
      <c r="AM488" s="371"/>
      <c r="AN488" s="371"/>
      <c r="AO488" s="371"/>
      <c r="AP488" s="935"/>
      <c r="AQ488" s="935"/>
      <c r="AR488" s="935"/>
      <c r="AS488" s="307"/>
      <c r="AT488" s="307"/>
      <c r="AU488" s="307"/>
      <c r="AV488" s="307"/>
      <c r="AW488" s="307"/>
      <c r="AX488" s="307"/>
      <c r="AY488" s="307"/>
      <c r="AZ488" s="307"/>
      <c r="BA488" s="307"/>
      <c r="BB488" s="196" t="s">
        <v>625</v>
      </c>
      <c r="BC488" s="196" t="s">
        <v>419</v>
      </c>
      <c r="BD488" s="212"/>
      <c r="BE488" s="212"/>
      <c r="BF488" s="212"/>
      <c r="BG488" s="212"/>
      <c r="BH488" s="212"/>
      <c r="BI488" s="212"/>
      <c r="BJ488" s="212"/>
      <c r="BK488" s="212"/>
      <c r="BL488" s="212"/>
      <c r="BM488" s="212"/>
      <c r="BN488" s="212"/>
      <c r="BO488" s="212"/>
      <c r="BP488" s="212"/>
      <c r="BQ488" s="212"/>
      <c r="BR488" s="212"/>
      <c r="BS488" s="212"/>
      <c r="BT488" s="212"/>
      <c r="BU488" s="212"/>
      <c r="BV488" s="212"/>
      <c r="BW488" s="212"/>
      <c r="BX488" s="212"/>
      <c r="BY488" s="212"/>
      <c r="BZ488" s="212"/>
      <c r="CA488" s="212"/>
      <c r="CB488" s="212"/>
      <c r="CC488" s="212"/>
      <c r="CD488" s="212"/>
      <c r="CE488" s="212"/>
    </row>
    <row r="489" spans="1:83" x14ac:dyDescent="0.2">
      <c r="A489" s="1171"/>
      <c r="B489" s="496"/>
      <c r="C489" s="490"/>
      <c r="D489" s="328"/>
      <c r="E489" s="371"/>
      <c r="F489" s="371"/>
      <c r="G489" s="1056"/>
      <c r="H489" s="1056"/>
      <c r="I489" s="1057"/>
      <c r="J489" s="1056"/>
      <c r="K489" s="1056"/>
      <c r="L489" s="1056"/>
      <c r="M489" s="1056"/>
      <c r="N489" s="371"/>
      <c r="O489" s="1059"/>
      <c r="P489" s="1059"/>
      <c r="Q489" s="1059"/>
      <c r="R489" s="1059"/>
      <c r="S489" s="1059"/>
      <c r="T489" s="1059"/>
      <c r="U489" s="1059"/>
      <c r="V489" s="1059"/>
      <c r="W489" s="1059"/>
      <c r="X489" s="1059"/>
      <c r="Y489" s="1059"/>
      <c r="Z489" s="1059"/>
      <c r="AA489" s="1059"/>
      <c r="AB489" s="328"/>
      <c r="AC489" s="1056"/>
      <c r="AD489" s="371"/>
      <c r="AE489" s="371"/>
      <c r="AF489" s="371"/>
      <c r="AG489" s="371"/>
      <c r="AH489" s="371"/>
      <c r="AI489" s="371"/>
      <c r="AJ489" s="371"/>
      <c r="AK489" s="371"/>
      <c r="AL489" s="371"/>
      <c r="AM489" s="371"/>
      <c r="AN489" s="371"/>
      <c r="AO489" s="371"/>
      <c r="AP489" s="935"/>
      <c r="AQ489" s="935"/>
      <c r="AR489" s="935"/>
      <c r="AS489" s="307"/>
      <c r="AT489" s="308"/>
      <c r="AU489" s="307"/>
      <c r="AV489" s="307"/>
      <c r="AW489" s="307"/>
      <c r="AX489" s="307"/>
      <c r="AY489" s="307"/>
      <c r="AZ489" s="307"/>
      <c r="BA489" s="307"/>
      <c r="BB489" s="196"/>
      <c r="BC489" s="196"/>
      <c r="BD489" s="212"/>
      <c r="BE489" s="212"/>
      <c r="BF489" s="212"/>
      <c r="BG489" s="212"/>
      <c r="BH489" s="212"/>
      <c r="BI489" s="212"/>
      <c r="BJ489" s="212"/>
      <c r="BK489" s="212"/>
      <c r="BL489" s="212"/>
      <c r="BM489" s="212"/>
      <c r="BN489" s="212"/>
      <c r="BO489" s="212"/>
      <c r="BP489" s="212"/>
      <c r="BQ489" s="212"/>
      <c r="BR489" s="212"/>
      <c r="BS489" s="212"/>
      <c r="BT489" s="212"/>
      <c r="BU489" s="212"/>
      <c r="BV489" s="212"/>
      <c r="BW489" s="212"/>
      <c r="BX489" s="212"/>
      <c r="BY489" s="212"/>
      <c r="BZ489" s="212"/>
      <c r="CA489" s="212"/>
      <c r="CB489" s="212"/>
      <c r="CC489" s="212"/>
      <c r="CD489" s="212"/>
      <c r="CE489" s="212"/>
    </row>
    <row r="490" spans="1:83" x14ac:dyDescent="0.2">
      <c r="A490" s="302"/>
      <c r="B490" s="214"/>
      <c r="C490" s="303"/>
      <c r="D490" s="295"/>
      <c r="E490" s="304"/>
      <c r="F490" s="304"/>
      <c r="G490" s="324"/>
      <c r="H490" s="324"/>
      <c r="I490" s="298"/>
      <c r="J490" s="324"/>
      <c r="K490" s="324"/>
      <c r="L490" s="324"/>
      <c r="M490" s="324"/>
      <c r="N490" s="304"/>
      <c r="O490" s="509"/>
      <c r="P490" s="509"/>
      <c r="Q490" s="509"/>
      <c r="R490" s="509"/>
      <c r="S490" s="509"/>
      <c r="T490" s="509"/>
      <c r="U490" s="509"/>
      <c r="V490" s="509"/>
      <c r="W490" s="509"/>
      <c r="X490" s="509"/>
      <c r="Y490" s="509"/>
      <c r="Z490" s="509"/>
      <c r="AA490" s="509"/>
      <c r="AB490" s="295"/>
      <c r="AC490" s="324"/>
      <c r="AD490" s="304"/>
      <c r="AE490" s="304"/>
      <c r="AF490" s="304"/>
      <c r="AG490" s="304"/>
      <c r="AH490" s="304"/>
      <c r="AI490" s="304"/>
      <c r="AJ490" s="304"/>
      <c r="AK490" s="304"/>
      <c r="AL490" s="304"/>
      <c r="AM490" s="304"/>
      <c r="AN490" s="304"/>
      <c r="AO490" s="304"/>
      <c r="AP490" s="212"/>
      <c r="AQ490" s="212"/>
      <c r="AR490" s="212"/>
      <c r="AS490" s="308"/>
      <c r="AT490" s="308"/>
      <c r="AU490" s="307"/>
      <c r="AV490" s="307"/>
      <c r="AW490" s="307"/>
      <c r="AX490" s="307"/>
      <c r="AY490" s="307"/>
      <c r="AZ490" s="307"/>
      <c r="BA490" s="307"/>
      <c r="BB490" s="196"/>
      <c r="BC490" s="196"/>
      <c r="BD490" s="212"/>
      <c r="BE490" s="212"/>
      <c r="BF490" s="212"/>
      <c r="BG490" s="212"/>
      <c r="BH490" s="212"/>
      <c r="BI490" s="212"/>
      <c r="BJ490" s="212"/>
      <c r="BK490" s="212"/>
      <c r="BL490" s="212"/>
      <c r="BM490" s="212"/>
      <c r="BN490" s="212"/>
      <c r="BO490" s="212"/>
      <c r="BP490" s="212"/>
      <c r="BQ490" s="212"/>
      <c r="BR490" s="212"/>
      <c r="BS490" s="212"/>
      <c r="BT490" s="212"/>
      <c r="BU490" s="212"/>
      <c r="BV490" s="212"/>
      <c r="BW490" s="212"/>
      <c r="BX490" s="212"/>
      <c r="BY490" s="212"/>
      <c r="BZ490" s="212"/>
      <c r="CA490" s="212"/>
      <c r="CB490" s="212"/>
      <c r="CC490" s="212"/>
      <c r="CD490" s="212"/>
      <c r="CE490" s="212"/>
    </row>
    <row r="491" spans="1:83" x14ac:dyDescent="0.2">
      <c r="A491" s="302"/>
      <c r="B491" s="214"/>
      <c r="C491" s="303"/>
      <c r="D491" s="295"/>
      <c r="E491" s="304"/>
      <c r="F491" s="304"/>
      <c r="G491" s="324"/>
      <c r="H491" s="324"/>
      <c r="I491" s="298"/>
      <c r="J491" s="324"/>
      <c r="K491" s="324"/>
      <c r="L491" s="324"/>
      <c r="M491" s="324"/>
      <c r="N491" s="304"/>
      <c r="O491" s="509"/>
      <c r="P491" s="509"/>
      <c r="Q491" s="509"/>
      <c r="R491" s="509"/>
      <c r="S491" s="509"/>
      <c r="T491" s="509"/>
      <c r="U491" s="509"/>
      <c r="V491" s="509"/>
      <c r="W491" s="509"/>
      <c r="X491" s="509"/>
      <c r="Y491" s="509"/>
      <c r="Z491" s="509"/>
      <c r="AA491" s="509"/>
      <c r="AB491" s="295"/>
      <c r="AC491" s="324"/>
      <c r="AD491" s="304"/>
      <c r="AE491" s="304"/>
      <c r="AF491" s="304"/>
      <c r="AG491" s="304"/>
      <c r="AH491" s="304"/>
      <c r="AI491" s="304"/>
      <c r="AJ491" s="304"/>
      <c r="AK491" s="304"/>
      <c r="AL491" s="304"/>
      <c r="AM491" s="304"/>
      <c r="AN491" s="304"/>
      <c r="AO491" s="304"/>
      <c r="AP491" s="212"/>
      <c r="AQ491" s="212"/>
      <c r="AR491" s="212"/>
      <c r="AS491" s="308"/>
      <c r="AT491" s="308"/>
      <c r="AU491" s="307"/>
      <c r="AV491" s="307"/>
      <c r="AW491" s="307"/>
      <c r="AX491" s="307"/>
      <c r="AY491" s="307"/>
      <c r="AZ491" s="307"/>
      <c r="BA491" s="307"/>
      <c r="BB491" s="196"/>
      <c r="BC491" s="196"/>
      <c r="BD491" s="212"/>
      <c r="BE491" s="212"/>
      <c r="BF491" s="212"/>
      <c r="BG491" s="212"/>
      <c r="BH491" s="212"/>
      <c r="BI491" s="212"/>
      <c r="BJ491" s="212"/>
      <c r="BK491" s="212"/>
      <c r="BL491" s="212"/>
      <c r="BM491" s="212"/>
      <c r="BN491" s="212"/>
      <c r="BO491" s="212"/>
      <c r="BP491" s="212"/>
      <c r="BQ491" s="212"/>
      <c r="BR491" s="212"/>
      <c r="BS491" s="212"/>
      <c r="BT491" s="212"/>
      <c r="BU491" s="212"/>
      <c r="BV491" s="212"/>
      <c r="BW491" s="212"/>
      <c r="BX491" s="212"/>
      <c r="BY491" s="212"/>
      <c r="BZ491" s="212"/>
      <c r="CA491" s="212"/>
      <c r="CB491" s="212"/>
      <c r="CC491" s="212"/>
      <c r="CD491" s="212"/>
      <c r="CE491" s="212"/>
    </row>
    <row r="492" spans="1:83" x14ac:dyDescent="0.2">
      <c r="A492" s="302"/>
      <c r="B492" s="214"/>
      <c r="C492" s="303"/>
      <c r="D492" s="295"/>
      <c r="E492" s="304"/>
      <c r="F492" s="304"/>
      <c r="G492" s="324"/>
      <c r="H492" s="324"/>
      <c r="I492" s="298"/>
      <c r="J492" s="324"/>
      <c r="K492" s="324"/>
      <c r="L492" s="324"/>
      <c r="M492" s="324"/>
      <c r="N492" s="304"/>
      <c r="O492" s="509"/>
      <c r="P492" s="509"/>
      <c r="Q492" s="509"/>
      <c r="R492" s="509"/>
      <c r="S492" s="509"/>
      <c r="T492" s="509"/>
      <c r="U492" s="509"/>
      <c r="V492" s="509"/>
      <c r="W492" s="509"/>
      <c r="X492" s="509"/>
      <c r="Y492" s="509"/>
      <c r="Z492" s="509"/>
      <c r="AA492" s="509"/>
      <c r="AB492" s="295"/>
      <c r="AC492" s="324"/>
      <c r="AD492" s="304"/>
      <c r="AE492" s="304"/>
      <c r="AF492" s="304"/>
      <c r="AG492" s="304"/>
      <c r="AH492" s="304"/>
      <c r="AI492" s="304"/>
      <c r="AJ492" s="304"/>
      <c r="AK492" s="304"/>
      <c r="AL492" s="304"/>
      <c r="AM492" s="304"/>
      <c r="AN492" s="304"/>
      <c r="AO492" s="304"/>
      <c r="AP492" s="212"/>
      <c r="AQ492" s="212"/>
      <c r="AR492" s="212"/>
      <c r="AS492" s="308"/>
      <c r="AT492" s="308"/>
      <c r="AU492" s="307"/>
      <c r="AV492" s="307"/>
      <c r="AW492" s="307"/>
      <c r="AX492" s="307"/>
      <c r="AY492" s="307"/>
      <c r="AZ492" s="307"/>
      <c r="BA492" s="307"/>
      <c r="BB492" s="196"/>
      <c r="BC492" s="196"/>
      <c r="BD492" s="212"/>
      <c r="BE492" s="212"/>
      <c r="BF492" s="212"/>
      <c r="BG492" s="212"/>
      <c r="BH492" s="212"/>
      <c r="BI492" s="212"/>
      <c r="BJ492" s="212"/>
      <c r="BK492" s="212"/>
      <c r="BL492" s="212"/>
      <c r="BM492" s="212"/>
      <c r="BN492" s="212"/>
      <c r="BO492" s="212"/>
      <c r="BP492" s="212"/>
      <c r="BQ492" s="212"/>
      <c r="BR492" s="212"/>
      <c r="BS492" s="212"/>
      <c r="BT492" s="212"/>
      <c r="BU492" s="212"/>
      <c r="BV492" s="212"/>
      <c r="BW492" s="212"/>
      <c r="BX492" s="212"/>
      <c r="BY492" s="212"/>
      <c r="BZ492" s="212"/>
      <c r="CA492" s="212"/>
      <c r="CB492" s="212"/>
      <c r="CC492" s="212"/>
      <c r="CD492" s="212"/>
      <c r="CE492" s="212"/>
    </row>
    <row r="493" spans="1:83" x14ac:dyDescent="0.2">
      <c r="A493" s="302"/>
      <c r="B493" s="214"/>
      <c r="C493" s="303"/>
      <c r="D493" s="295"/>
      <c r="E493" s="304"/>
      <c r="F493" s="304"/>
      <c r="G493" s="324"/>
      <c r="H493" s="324"/>
      <c r="I493" s="298"/>
      <c r="J493" s="324"/>
      <c r="K493" s="324"/>
      <c r="L493" s="324"/>
      <c r="M493" s="324"/>
      <c r="N493" s="304"/>
      <c r="O493" s="509"/>
      <c r="P493" s="509"/>
      <c r="Q493" s="509"/>
      <c r="R493" s="509"/>
      <c r="S493" s="509"/>
      <c r="T493" s="509"/>
      <c r="U493" s="509"/>
      <c r="V493" s="509"/>
      <c r="W493" s="509"/>
      <c r="X493" s="509"/>
      <c r="Y493" s="509"/>
      <c r="Z493" s="509"/>
      <c r="AA493" s="509"/>
      <c r="AB493" s="295"/>
      <c r="AC493" s="324"/>
      <c r="AD493" s="304"/>
      <c r="AE493" s="304"/>
      <c r="AF493" s="304"/>
      <c r="AG493" s="304"/>
      <c r="AH493" s="304"/>
      <c r="AI493" s="304"/>
      <c r="AJ493" s="304"/>
      <c r="AK493" s="304"/>
      <c r="AL493" s="304"/>
      <c r="AM493" s="304"/>
      <c r="AN493" s="304"/>
      <c r="AO493" s="304"/>
      <c r="AP493" s="212"/>
      <c r="AQ493" s="212"/>
      <c r="AR493" s="212"/>
      <c r="AS493" s="308"/>
      <c r="AT493" s="308"/>
      <c r="AU493" s="307"/>
      <c r="AV493" s="307"/>
      <c r="AW493" s="307"/>
      <c r="AX493" s="307"/>
      <c r="AY493" s="307"/>
      <c r="AZ493" s="307"/>
      <c r="BA493" s="307"/>
      <c r="BB493" s="196"/>
      <c r="BC493" s="196"/>
      <c r="BD493" s="212"/>
      <c r="BE493" s="212"/>
      <c r="BF493" s="212"/>
      <c r="BG493" s="212"/>
      <c r="BH493" s="212"/>
      <c r="BI493" s="212"/>
      <c r="BJ493" s="212"/>
      <c r="BK493" s="212"/>
      <c r="BL493" s="212"/>
      <c r="BM493" s="212"/>
      <c r="BN493" s="212"/>
      <c r="BO493" s="212"/>
      <c r="BP493" s="212"/>
      <c r="BQ493" s="212"/>
      <c r="BR493" s="212"/>
      <c r="BS493" s="212"/>
      <c r="BT493" s="212"/>
      <c r="BU493" s="212"/>
      <c r="BV493" s="212"/>
      <c r="BW493" s="212"/>
      <c r="BX493" s="212"/>
      <c r="BY493" s="212"/>
      <c r="BZ493" s="212"/>
      <c r="CA493" s="212"/>
      <c r="CB493" s="212"/>
      <c r="CC493" s="212"/>
      <c r="CD493" s="212"/>
      <c r="CE493" s="212"/>
    </row>
    <row r="494" spans="1:83" x14ac:dyDescent="0.2">
      <c r="A494" s="302"/>
      <c r="B494" s="214"/>
      <c r="C494" s="303"/>
      <c r="D494" s="295"/>
      <c r="E494" s="304"/>
      <c r="F494" s="304"/>
      <c r="G494" s="324"/>
      <c r="H494" s="324"/>
      <c r="I494" s="298"/>
      <c r="J494" s="324"/>
      <c r="K494" s="324"/>
      <c r="L494" s="324"/>
      <c r="M494" s="324"/>
      <c r="N494" s="304"/>
      <c r="O494" s="509"/>
      <c r="P494" s="509"/>
      <c r="Q494" s="509"/>
      <c r="R494" s="509"/>
      <c r="S494" s="509"/>
      <c r="T494" s="509"/>
      <c r="U494" s="509"/>
      <c r="V494" s="509"/>
      <c r="W494" s="509"/>
      <c r="X494" s="509"/>
      <c r="Y494" s="509"/>
      <c r="Z494" s="509"/>
      <c r="AA494" s="509"/>
      <c r="AB494" s="295"/>
      <c r="AC494" s="324"/>
      <c r="AD494" s="304"/>
      <c r="AE494" s="304"/>
      <c r="AF494" s="304"/>
      <c r="AG494" s="304"/>
      <c r="AH494" s="304"/>
      <c r="AI494" s="304"/>
      <c r="AJ494" s="304"/>
      <c r="AK494" s="304"/>
      <c r="AL494" s="304"/>
      <c r="AM494" s="304"/>
      <c r="AN494" s="304"/>
      <c r="AO494" s="304"/>
      <c r="AP494" s="212"/>
      <c r="AQ494" s="212"/>
      <c r="AR494" s="212"/>
      <c r="AS494" s="308"/>
      <c r="AT494" s="308"/>
      <c r="AU494" s="307"/>
      <c r="AV494" s="307"/>
      <c r="AW494" s="307"/>
      <c r="AX494" s="307"/>
      <c r="AY494" s="307"/>
      <c r="AZ494" s="307"/>
      <c r="BA494" s="307"/>
      <c r="BB494" s="196"/>
      <c r="BC494" s="196"/>
      <c r="BD494" s="212"/>
      <c r="BE494" s="212"/>
      <c r="BF494" s="212"/>
      <c r="BG494" s="212"/>
      <c r="BH494" s="212"/>
      <c r="BI494" s="212"/>
      <c r="BJ494" s="212"/>
      <c r="BK494" s="212"/>
      <c r="BL494" s="212"/>
      <c r="BM494" s="212"/>
      <c r="BN494" s="212"/>
      <c r="BO494" s="212"/>
      <c r="BP494" s="212"/>
      <c r="BQ494" s="212"/>
      <c r="BR494" s="212"/>
      <c r="BS494" s="212"/>
      <c r="BT494" s="212"/>
      <c r="BU494" s="212"/>
      <c r="BV494" s="212"/>
      <c r="BW494" s="212"/>
      <c r="BX494" s="212"/>
      <c r="BY494" s="212"/>
      <c r="BZ494" s="212"/>
      <c r="CA494" s="212"/>
      <c r="CB494" s="212"/>
      <c r="CC494" s="212"/>
      <c r="CD494" s="212"/>
      <c r="CE494" s="212"/>
    </row>
    <row r="495" spans="1:83" x14ac:dyDescent="0.2">
      <c r="A495" s="302"/>
      <c r="B495" s="214"/>
      <c r="C495" s="303"/>
      <c r="D495" s="295"/>
      <c r="E495" s="304"/>
      <c r="F495" s="304"/>
      <c r="G495" s="324"/>
      <c r="H495" s="324"/>
      <c r="I495" s="298"/>
      <c r="J495" s="324"/>
      <c r="K495" s="324"/>
      <c r="L495" s="324"/>
      <c r="M495" s="324"/>
      <c r="N495" s="304"/>
      <c r="O495" s="509"/>
      <c r="P495" s="509"/>
      <c r="Q495" s="509"/>
      <c r="R495" s="509"/>
      <c r="S495" s="509"/>
      <c r="T495" s="509"/>
      <c r="U495" s="509"/>
      <c r="V495" s="509"/>
      <c r="W495" s="509"/>
      <c r="X495" s="509"/>
      <c r="Y495" s="509"/>
      <c r="Z495" s="509"/>
      <c r="AA495" s="509"/>
      <c r="AB495" s="295"/>
      <c r="AC495" s="324"/>
      <c r="AD495" s="304"/>
      <c r="AE495" s="304"/>
      <c r="AF495" s="304"/>
      <c r="AG495" s="304"/>
      <c r="AH495" s="304"/>
      <c r="AI495" s="304"/>
      <c r="AJ495" s="304"/>
      <c r="AK495" s="304"/>
      <c r="AL495" s="304"/>
      <c r="AM495" s="304"/>
      <c r="AN495" s="304"/>
      <c r="AO495" s="304"/>
      <c r="AP495" s="212"/>
      <c r="AQ495" s="212"/>
      <c r="AR495" s="212"/>
      <c r="AS495" s="308"/>
      <c r="AT495" s="308"/>
      <c r="AU495" s="307"/>
      <c r="AV495" s="307"/>
      <c r="AW495" s="307"/>
      <c r="AX495" s="307"/>
      <c r="AY495" s="307"/>
      <c r="AZ495" s="307"/>
      <c r="BA495" s="307"/>
      <c r="BB495" s="196"/>
      <c r="BC495" s="196"/>
      <c r="BD495" s="212"/>
      <c r="BE495" s="212"/>
      <c r="BF495" s="212"/>
      <c r="BG495" s="212"/>
      <c r="BH495" s="212"/>
      <c r="BI495" s="212"/>
      <c r="BJ495" s="212"/>
      <c r="BK495" s="212"/>
      <c r="BL495" s="212"/>
      <c r="BM495" s="212"/>
      <c r="BN495" s="212"/>
      <c r="BO495" s="212"/>
      <c r="BP495" s="212"/>
      <c r="BQ495" s="212"/>
      <c r="BR495" s="212"/>
      <c r="BS495" s="212"/>
      <c r="BT495" s="212"/>
      <c r="BU495" s="212"/>
      <c r="BV495" s="212"/>
      <c r="BW495" s="212"/>
      <c r="BX495" s="212"/>
      <c r="BY495" s="212"/>
      <c r="BZ495" s="212"/>
      <c r="CA495" s="212"/>
      <c r="CB495" s="212"/>
      <c r="CC495" s="212"/>
      <c r="CD495" s="212"/>
      <c r="CE495" s="212"/>
    </row>
    <row r="496" spans="1:83" x14ac:dyDescent="0.2">
      <c r="A496" s="302"/>
      <c r="B496" s="214"/>
      <c r="C496" s="303"/>
      <c r="D496" s="295"/>
      <c r="E496" s="304"/>
      <c r="F496" s="304"/>
      <c r="G496" s="324"/>
      <c r="H496" s="324"/>
      <c r="I496" s="298"/>
      <c r="J496" s="324"/>
      <c r="K496" s="324"/>
      <c r="L496" s="324"/>
      <c r="M496" s="324"/>
      <c r="N496" s="304"/>
      <c r="O496" s="509"/>
      <c r="P496" s="509"/>
      <c r="Q496" s="509"/>
      <c r="R496" s="509"/>
      <c r="S496" s="509"/>
      <c r="T496" s="509"/>
      <c r="U496" s="509"/>
      <c r="V496" s="509"/>
      <c r="W496" s="509"/>
      <c r="X496" s="509"/>
      <c r="Y496" s="509"/>
      <c r="Z496" s="509"/>
      <c r="AA496" s="509"/>
      <c r="AB496" s="295"/>
      <c r="AC496" s="324"/>
      <c r="AD496" s="304"/>
      <c r="AE496" s="304"/>
      <c r="AF496" s="304"/>
      <c r="AG496" s="304"/>
      <c r="AH496" s="304"/>
      <c r="AI496" s="304"/>
      <c r="AJ496" s="304"/>
      <c r="AK496" s="304"/>
      <c r="AL496" s="304"/>
      <c r="AM496" s="304"/>
      <c r="AN496" s="304"/>
      <c r="AO496" s="304"/>
      <c r="AP496" s="212"/>
      <c r="AQ496" s="212"/>
      <c r="AR496" s="212"/>
      <c r="AS496" s="308"/>
      <c r="AT496" s="308"/>
      <c r="AU496" s="307"/>
      <c r="AV496" s="307"/>
      <c r="AW496" s="307"/>
      <c r="AX496" s="307"/>
      <c r="AY496" s="307"/>
      <c r="AZ496" s="307"/>
      <c r="BA496" s="307"/>
      <c r="BB496" s="196"/>
      <c r="BC496" s="196"/>
      <c r="BD496" s="212"/>
      <c r="BE496" s="212"/>
      <c r="BF496" s="212"/>
      <c r="BG496" s="212"/>
      <c r="BH496" s="212"/>
      <c r="BI496" s="212"/>
      <c r="BJ496" s="212"/>
      <c r="BK496" s="212"/>
      <c r="BL496" s="212"/>
      <c r="BM496" s="212"/>
      <c r="BN496" s="212"/>
      <c r="BO496" s="212"/>
      <c r="BP496" s="212"/>
      <c r="BQ496" s="212"/>
      <c r="BR496" s="212"/>
      <c r="BS496" s="212"/>
      <c r="BT496" s="212"/>
      <c r="BU496" s="212"/>
      <c r="BV496" s="212"/>
      <c r="BW496" s="212"/>
      <c r="BX496" s="212"/>
      <c r="BY496" s="212"/>
      <c r="BZ496" s="212"/>
      <c r="CA496" s="212"/>
      <c r="CB496" s="212"/>
      <c r="CC496" s="212"/>
      <c r="CD496" s="212"/>
      <c r="CE496" s="212"/>
    </row>
    <row r="497" spans="1:83" x14ac:dyDescent="0.2">
      <c r="A497" s="302"/>
      <c r="B497" s="214"/>
      <c r="C497" s="303"/>
      <c r="D497" s="295"/>
      <c r="E497" s="304"/>
      <c r="F497" s="304"/>
      <c r="G497" s="324"/>
      <c r="H497" s="324"/>
      <c r="I497" s="298"/>
      <c r="J497" s="324"/>
      <c r="K497" s="324"/>
      <c r="L497" s="324"/>
      <c r="M497" s="324"/>
      <c r="N497" s="304"/>
      <c r="O497" s="509"/>
      <c r="P497" s="509"/>
      <c r="Q497" s="509"/>
      <c r="R497" s="509"/>
      <c r="S497" s="509"/>
      <c r="T497" s="509"/>
      <c r="U497" s="509"/>
      <c r="V497" s="509"/>
      <c r="W497" s="509"/>
      <c r="X497" s="509"/>
      <c r="Y497" s="509"/>
      <c r="Z497" s="509"/>
      <c r="AA497" s="509"/>
      <c r="AB497" s="295"/>
      <c r="AC497" s="324"/>
      <c r="AD497" s="304"/>
      <c r="AE497" s="304"/>
      <c r="AF497" s="304"/>
      <c r="AG497" s="304"/>
      <c r="AH497" s="304"/>
      <c r="AI497" s="304"/>
      <c r="AJ497" s="304"/>
      <c r="AK497" s="304"/>
      <c r="AL497" s="304"/>
      <c r="AM497" s="304"/>
      <c r="AN497" s="304"/>
      <c r="AO497" s="304"/>
      <c r="AP497" s="212"/>
      <c r="AQ497" s="212"/>
      <c r="AR497" s="212"/>
      <c r="AS497" s="308"/>
      <c r="AT497" s="308"/>
      <c r="AU497" s="307"/>
      <c r="AV497" s="307"/>
      <c r="AW497" s="307"/>
      <c r="AX497" s="307"/>
      <c r="AY497" s="307"/>
      <c r="AZ497" s="307"/>
      <c r="BA497" s="307"/>
      <c r="BB497" s="196"/>
      <c r="BC497" s="196"/>
      <c r="BD497" s="212"/>
      <c r="BE497" s="212"/>
      <c r="BF497" s="212"/>
      <c r="BG497" s="212"/>
      <c r="BH497" s="212"/>
      <c r="BI497" s="212"/>
      <c r="BJ497" s="212"/>
      <c r="BK497" s="212"/>
      <c r="BL497" s="212"/>
      <c r="BM497" s="212"/>
      <c r="BN497" s="212"/>
      <c r="BO497" s="212"/>
      <c r="BP497" s="212"/>
      <c r="BQ497" s="212"/>
      <c r="BR497" s="212"/>
      <c r="BS497" s="212"/>
      <c r="BT497" s="212"/>
      <c r="BU497" s="212"/>
      <c r="BV497" s="212"/>
      <c r="BW497" s="212"/>
      <c r="BX497" s="212"/>
      <c r="BY497" s="212"/>
      <c r="BZ497" s="212"/>
      <c r="CA497" s="212"/>
      <c r="CB497" s="212"/>
      <c r="CC497" s="212"/>
      <c r="CD497" s="212"/>
      <c r="CE497" s="212"/>
    </row>
    <row r="498" spans="1:83" x14ac:dyDescent="0.2">
      <c r="A498" s="302"/>
      <c r="B498" s="214"/>
      <c r="C498" s="303"/>
      <c r="D498" s="295"/>
      <c r="E498" s="304"/>
      <c r="F498" s="304"/>
      <c r="G498" s="324"/>
      <c r="H498" s="324"/>
      <c r="I498" s="298"/>
      <c r="J498" s="324"/>
      <c r="K498" s="324"/>
      <c r="L498" s="324"/>
      <c r="M498" s="324"/>
      <c r="N498" s="304"/>
      <c r="O498" s="509"/>
      <c r="P498" s="509"/>
      <c r="Q498" s="509"/>
      <c r="R498" s="509"/>
      <c r="S498" s="509"/>
      <c r="T498" s="509"/>
      <c r="U498" s="509"/>
      <c r="V498" s="509"/>
      <c r="W498" s="509"/>
      <c r="X498" s="509"/>
      <c r="Y498" s="509"/>
      <c r="Z498" s="509"/>
      <c r="AA498" s="509"/>
      <c r="AB498" s="295"/>
      <c r="AC498" s="324"/>
      <c r="AD498" s="304"/>
      <c r="AE498" s="304"/>
      <c r="AF498" s="304"/>
      <c r="AG498" s="304"/>
      <c r="AH498" s="304"/>
      <c r="AI498" s="304"/>
      <c r="AJ498" s="304"/>
      <c r="AK498" s="304"/>
      <c r="AL498" s="304"/>
      <c r="AM498" s="304"/>
      <c r="AN498" s="304"/>
      <c r="AO498" s="304"/>
      <c r="AP498" s="212"/>
      <c r="AQ498" s="212"/>
      <c r="AR498" s="212"/>
      <c r="AS498" s="308"/>
      <c r="AT498" s="308"/>
      <c r="AU498" s="307"/>
      <c r="AV498" s="307"/>
      <c r="AW498" s="307"/>
      <c r="AX498" s="307"/>
      <c r="AY498" s="307"/>
      <c r="AZ498" s="307"/>
      <c r="BA498" s="307"/>
      <c r="BB498" s="196"/>
      <c r="BC498" s="196"/>
      <c r="BD498" s="212"/>
      <c r="BE498" s="212"/>
      <c r="BF498" s="212"/>
      <c r="BG498" s="212"/>
      <c r="BH498" s="212"/>
      <c r="BI498" s="212"/>
      <c r="BJ498" s="212"/>
      <c r="BK498" s="212"/>
      <c r="BL498" s="212"/>
      <c r="BM498" s="212"/>
      <c r="BN498" s="212"/>
      <c r="BO498" s="212"/>
      <c r="BP498" s="212"/>
      <c r="BQ498" s="212"/>
      <c r="BR498" s="212"/>
      <c r="BS498" s="212"/>
      <c r="BT498" s="212"/>
      <c r="BU498" s="212"/>
      <c r="BV498" s="212"/>
      <c r="BW498" s="212"/>
      <c r="BX498" s="212"/>
      <c r="BY498" s="212"/>
      <c r="BZ498" s="212"/>
      <c r="CA498" s="212"/>
      <c r="CB498" s="212"/>
      <c r="CC498" s="212"/>
      <c r="CD498" s="212"/>
      <c r="CE498" s="212"/>
    </row>
    <row r="499" spans="1:83" x14ac:dyDescent="0.2">
      <c r="A499" s="302"/>
      <c r="B499" s="214"/>
      <c r="C499" s="303"/>
      <c r="D499" s="295"/>
      <c r="E499" s="304"/>
      <c r="F499" s="304"/>
      <c r="G499" s="324"/>
      <c r="H499" s="324"/>
      <c r="I499" s="298"/>
      <c r="J499" s="324"/>
      <c r="K499" s="324"/>
      <c r="L499" s="324"/>
      <c r="M499" s="324"/>
      <c r="N499" s="304"/>
      <c r="O499" s="509"/>
      <c r="P499" s="509"/>
      <c r="Q499" s="509"/>
      <c r="R499" s="509"/>
      <c r="S499" s="509"/>
      <c r="T499" s="509"/>
      <c r="U499" s="509"/>
      <c r="V499" s="509"/>
      <c r="W499" s="509"/>
      <c r="X499" s="509"/>
      <c r="Y499" s="509"/>
      <c r="Z499" s="509"/>
      <c r="AA499" s="509"/>
      <c r="AB499" s="295"/>
      <c r="AC499" s="324"/>
      <c r="AD499" s="304"/>
      <c r="AE499" s="304"/>
      <c r="AF499" s="304"/>
      <c r="AG499" s="304"/>
      <c r="AH499" s="304"/>
      <c r="AI499" s="304"/>
      <c r="AJ499" s="304"/>
      <c r="AK499" s="304"/>
      <c r="AL499" s="304"/>
      <c r="AM499" s="304"/>
      <c r="AN499" s="304"/>
      <c r="AO499" s="304"/>
      <c r="AP499" s="212"/>
      <c r="AQ499" s="212"/>
      <c r="AR499" s="212"/>
      <c r="AS499" s="308"/>
      <c r="AT499" s="308"/>
      <c r="AU499" s="307"/>
      <c r="AV499" s="307"/>
      <c r="AW499" s="307"/>
      <c r="AX499" s="307"/>
      <c r="AY499" s="307"/>
      <c r="AZ499" s="307"/>
      <c r="BA499" s="307"/>
      <c r="BB499" s="196"/>
      <c r="BC499" s="196"/>
      <c r="BD499" s="212"/>
      <c r="BE499" s="212"/>
      <c r="BF499" s="212"/>
      <c r="BG499" s="212"/>
      <c r="BH499" s="212"/>
      <c r="BI499" s="212"/>
      <c r="BJ499" s="212"/>
      <c r="BK499" s="212"/>
      <c r="BL499" s="212"/>
      <c r="BM499" s="212"/>
      <c r="BN499" s="212"/>
      <c r="BO499" s="212"/>
      <c r="BP499" s="212"/>
      <c r="BQ499" s="212"/>
      <c r="BR499" s="212"/>
      <c r="BS499" s="212"/>
      <c r="BT499" s="212"/>
      <c r="BU499" s="212"/>
      <c r="BV499" s="212"/>
      <c r="BW499" s="212"/>
      <c r="BX499" s="212"/>
      <c r="BY499" s="212"/>
      <c r="BZ499" s="212"/>
      <c r="CA499" s="212"/>
      <c r="CB499" s="212"/>
      <c r="CC499" s="212"/>
      <c r="CD499" s="212"/>
      <c r="CE499" s="212"/>
    </row>
    <row r="500" spans="1:83" x14ac:dyDescent="0.2">
      <c r="A500" s="302"/>
      <c r="B500" s="214"/>
      <c r="C500" s="303"/>
      <c r="D500" s="295"/>
      <c r="E500" s="304"/>
      <c r="F500" s="304"/>
      <c r="G500" s="324"/>
      <c r="H500" s="324"/>
      <c r="I500" s="298"/>
      <c r="J500" s="324"/>
      <c r="K500" s="324"/>
      <c r="L500" s="324"/>
      <c r="M500" s="324"/>
      <c r="N500" s="304"/>
      <c r="O500" s="509"/>
      <c r="P500" s="509"/>
      <c r="Q500" s="509"/>
      <c r="R500" s="509"/>
      <c r="S500" s="509"/>
      <c r="T500" s="509"/>
      <c r="U500" s="509"/>
      <c r="V500" s="509"/>
      <c r="W500" s="509"/>
      <c r="X500" s="509"/>
      <c r="Y500" s="509"/>
      <c r="Z500" s="509"/>
      <c r="AA500" s="509"/>
      <c r="AB500" s="295"/>
      <c r="AC500" s="324"/>
      <c r="AD500" s="304"/>
      <c r="AE500" s="304"/>
      <c r="AF500" s="304"/>
      <c r="AG500" s="304"/>
      <c r="AH500" s="304"/>
      <c r="AI500" s="304"/>
      <c r="AJ500" s="304"/>
      <c r="AK500" s="304"/>
      <c r="AL500" s="304"/>
      <c r="AM500" s="304"/>
      <c r="AN500" s="304"/>
      <c r="AO500" s="304"/>
      <c r="AP500" s="212"/>
      <c r="AQ500" s="212"/>
      <c r="AR500" s="212"/>
      <c r="AS500" s="308"/>
      <c r="AT500" s="308"/>
      <c r="AU500" s="307"/>
      <c r="AV500" s="307"/>
      <c r="AW500" s="307"/>
      <c r="AX500" s="307"/>
      <c r="AY500" s="307"/>
      <c r="AZ500" s="307"/>
      <c r="BA500" s="307"/>
      <c r="BB500" s="196"/>
      <c r="BC500" s="196"/>
      <c r="BD500" s="212"/>
      <c r="BE500" s="212"/>
      <c r="BF500" s="212"/>
      <c r="BG500" s="212"/>
      <c r="BH500" s="212"/>
      <c r="BI500" s="212"/>
      <c r="BJ500" s="212"/>
      <c r="BK500" s="212"/>
      <c r="BL500" s="212"/>
      <c r="BM500" s="212"/>
      <c r="BN500" s="212"/>
      <c r="BO500" s="212"/>
      <c r="BP500" s="212"/>
      <c r="BQ500" s="212"/>
      <c r="BR500" s="212"/>
      <c r="BS500" s="212"/>
      <c r="BT500" s="212"/>
      <c r="BU500" s="212"/>
      <c r="BV500" s="212"/>
      <c r="BW500" s="212"/>
      <c r="BX500" s="212"/>
      <c r="BY500" s="212"/>
      <c r="BZ500" s="212"/>
      <c r="CA500" s="212"/>
      <c r="CB500" s="212"/>
      <c r="CC500" s="212"/>
      <c r="CD500" s="212"/>
      <c r="CE500" s="212"/>
    </row>
    <row r="501" spans="1:83" x14ac:dyDescent="0.2">
      <c r="A501" s="302"/>
      <c r="B501" s="214"/>
      <c r="C501" s="303"/>
      <c r="D501" s="295"/>
      <c r="E501" s="304"/>
      <c r="F501" s="304"/>
      <c r="G501" s="324"/>
      <c r="H501" s="324"/>
      <c r="I501" s="298"/>
      <c r="J501" s="324"/>
      <c r="K501" s="324"/>
      <c r="L501" s="324"/>
      <c r="M501" s="324"/>
      <c r="N501" s="304"/>
      <c r="O501" s="509"/>
      <c r="P501" s="509"/>
      <c r="Q501" s="509"/>
      <c r="R501" s="509"/>
      <c r="S501" s="509"/>
      <c r="T501" s="509"/>
      <c r="U501" s="509"/>
      <c r="V501" s="509"/>
      <c r="W501" s="509"/>
      <c r="X501" s="509"/>
      <c r="Y501" s="509"/>
      <c r="Z501" s="509"/>
      <c r="AA501" s="509"/>
      <c r="AB501" s="295"/>
      <c r="AC501" s="324"/>
      <c r="AD501" s="304"/>
      <c r="AE501" s="304"/>
      <c r="AF501" s="304"/>
      <c r="AG501" s="304"/>
      <c r="AH501" s="304"/>
      <c r="AI501" s="304"/>
      <c r="AJ501" s="304"/>
      <c r="AK501" s="304"/>
      <c r="AL501" s="304"/>
      <c r="AM501" s="304"/>
      <c r="AN501" s="304"/>
      <c r="AO501" s="304"/>
      <c r="AP501" s="212"/>
      <c r="AQ501" s="212"/>
      <c r="AR501" s="212"/>
      <c r="AS501" s="308"/>
      <c r="AT501" s="308"/>
      <c r="AU501" s="307"/>
      <c r="AV501" s="307"/>
      <c r="AW501" s="307"/>
      <c r="AX501" s="307"/>
      <c r="AY501" s="307"/>
      <c r="AZ501" s="307"/>
      <c r="BA501" s="307"/>
      <c r="BB501" s="196"/>
      <c r="BC501" s="196"/>
      <c r="BD501" s="212"/>
      <c r="BE501" s="212"/>
      <c r="BF501" s="212"/>
      <c r="BG501" s="212"/>
      <c r="BH501" s="212"/>
      <c r="BI501" s="212"/>
      <c r="BJ501" s="212"/>
      <c r="BK501" s="212"/>
      <c r="BL501" s="212"/>
      <c r="BM501" s="212"/>
      <c r="BN501" s="212"/>
      <c r="BO501" s="212"/>
      <c r="BP501" s="212"/>
      <c r="BQ501" s="212"/>
      <c r="BR501" s="212"/>
      <c r="BS501" s="212"/>
      <c r="BT501" s="212"/>
      <c r="BU501" s="212"/>
      <c r="BV501" s="212"/>
      <c r="BW501" s="212"/>
      <c r="BX501" s="212"/>
      <c r="BY501" s="212"/>
      <c r="BZ501" s="212"/>
      <c r="CA501" s="212"/>
      <c r="CB501" s="212"/>
      <c r="CC501" s="212"/>
      <c r="CD501" s="212"/>
      <c r="CE501" s="212"/>
    </row>
    <row r="502" spans="1:83" x14ac:dyDescent="0.2">
      <c r="A502" s="302"/>
      <c r="B502" s="214"/>
      <c r="C502" s="303"/>
      <c r="D502" s="295"/>
      <c r="E502" s="304"/>
      <c r="F502" s="304"/>
      <c r="G502" s="324"/>
      <c r="H502" s="324"/>
      <c r="I502" s="298"/>
      <c r="J502" s="324"/>
      <c r="K502" s="324"/>
      <c r="L502" s="324"/>
      <c r="M502" s="324"/>
      <c r="N502" s="304"/>
      <c r="O502" s="509"/>
      <c r="P502" s="509"/>
      <c r="Q502" s="509"/>
      <c r="R502" s="509"/>
      <c r="S502" s="509"/>
      <c r="T502" s="509"/>
      <c r="U502" s="509"/>
      <c r="V502" s="509"/>
      <c r="W502" s="509"/>
      <c r="X502" s="509"/>
      <c r="Y502" s="509"/>
      <c r="Z502" s="509"/>
      <c r="AA502" s="509"/>
      <c r="AB502" s="295"/>
      <c r="AC502" s="324"/>
      <c r="AD502" s="304"/>
      <c r="AE502" s="304"/>
      <c r="AF502" s="304"/>
      <c r="AG502" s="304"/>
      <c r="AH502" s="304"/>
      <c r="AI502" s="304"/>
      <c r="AJ502" s="304"/>
      <c r="AK502" s="304"/>
      <c r="AL502" s="304"/>
      <c r="AM502" s="304"/>
      <c r="AN502" s="304"/>
      <c r="AO502" s="304"/>
      <c r="AP502" s="212"/>
      <c r="AQ502" s="212"/>
      <c r="AR502" s="212"/>
      <c r="AS502" s="308"/>
      <c r="AT502" s="308"/>
      <c r="AU502" s="307"/>
      <c r="AV502" s="307"/>
      <c r="AW502" s="307"/>
      <c r="AX502" s="307"/>
      <c r="AY502" s="307"/>
      <c r="AZ502" s="307"/>
      <c r="BA502" s="307"/>
      <c r="BB502" s="196"/>
      <c r="BC502" s="196"/>
      <c r="BD502" s="212"/>
      <c r="BE502" s="212"/>
      <c r="BF502" s="212"/>
      <c r="BG502" s="212"/>
      <c r="BH502" s="212"/>
      <c r="BI502" s="212"/>
      <c r="BJ502" s="212"/>
      <c r="BK502" s="212"/>
      <c r="BL502" s="212"/>
      <c r="BM502" s="212"/>
      <c r="BN502" s="212"/>
      <c r="BO502" s="212"/>
      <c r="BP502" s="212"/>
      <c r="BQ502" s="212"/>
      <c r="BR502" s="212"/>
      <c r="BS502" s="212"/>
      <c r="BT502" s="212"/>
      <c r="BU502" s="212"/>
      <c r="BV502" s="212"/>
      <c r="BW502" s="212"/>
      <c r="BX502" s="212"/>
      <c r="BY502" s="212"/>
      <c r="BZ502" s="212"/>
      <c r="CA502" s="212"/>
      <c r="CB502" s="212"/>
      <c r="CC502" s="212"/>
      <c r="CD502" s="212"/>
      <c r="CE502" s="212"/>
    </row>
    <row r="503" spans="1:83" x14ac:dyDescent="0.2">
      <c r="A503" s="302"/>
      <c r="B503" s="214"/>
      <c r="C503" s="303"/>
      <c r="D503" s="295"/>
      <c r="E503" s="304"/>
      <c r="F503" s="304"/>
      <c r="G503" s="324"/>
      <c r="H503" s="324"/>
      <c r="I503" s="298"/>
      <c r="J503" s="324"/>
      <c r="K503" s="324"/>
      <c r="L503" s="324"/>
      <c r="M503" s="324"/>
      <c r="N503" s="304"/>
      <c r="O503" s="509"/>
      <c r="P503" s="509"/>
      <c r="Q503" s="509"/>
      <c r="R503" s="509"/>
      <c r="S503" s="509"/>
      <c r="T503" s="509"/>
      <c r="U503" s="509"/>
      <c r="V503" s="509"/>
      <c r="W503" s="509"/>
      <c r="X503" s="509"/>
      <c r="Y503" s="509"/>
      <c r="Z503" s="509"/>
      <c r="AA503" s="509"/>
      <c r="AB503" s="295"/>
      <c r="AC503" s="324"/>
      <c r="AD503" s="304"/>
      <c r="AE503" s="304"/>
      <c r="AF503" s="304"/>
      <c r="AG503" s="304"/>
      <c r="AH503" s="304"/>
      <c r="AI503" s="304"/>
      <c r="AJ503" s="304"/>
      <c r="AK503" s="304"/>
      <c r="AL503" s="304"/>
      <c r="AM503" s="304"/>
      <c r="AN503" s="304"/>
      <c r="AO503" s="304"/>
      <c r="AP503" s="212"/>
      <c r="AQ503" s="212"/>
      <c r="AR503" s="212"/>
      <c r="AS503" s="308"/>
      <c r="AT503" s="308"/>
      <c r="AU503" s="307"/>
      <c r="AV503" s="307"/>
      <c r="AW503" s="307"/>
      <c r="AX503" s="307"/>
      <c r="AY503" s="307"/>
      <c r="AZ503" s="307"/>
      <c r="BA503" s="307"/>
      <c r="BB503" s="196"/>
      <c r="BC503" s="196"/>
      <c r="BD503" s="212"/>
      <c r="BE503" s="212"/>
      <c r="BF503" s="212"/>
      <c r="BG503" s="212"/>
      <c r="BH503" s="212"/>
      <c r="BI503" s="212"/>
      <c r="BJ503" s="212"/>
      <c r="BK503" s="212"/>
      <c r="BL503" s="212"/>
      <c r="BM503" s="212"/>
      <c r="BN503" s="212"/>
      <c r="BO503" s="212"/>
      <c r="BP503" s="212"/>
      <c r="BQ503" s="212"/>
      <c r="BR503" s="212"/>
      <c r="BS503" s="212"/>
      <c r="BT503" s="212"/>
      <c r="BU503" s="212"/>
      <c r="BV503" s="212"/>
      <c r="BW503" s="212"/>
      <c r="BX503" s="212"/>
      <c r="BY503" s="212"/>
      <c r="BZ503" s="212"/>
      <c r="CA503" s="212"/>
      <c r="CB503" s="212"/>
      <c r="CC503" s="212"/>
      <c r="CD503" s="212"/>
      <c r="CE503" s="212"/>
    </row>
    <row r="504" spans="1:83" x14ac:dyDescent="0.2">
      <c r="A504" s="302"/>
      <c r="B504" s="214"/>
      <c r="C504" s="303"/>
      <c r="D504" s="295"/>
      <c r="E504" s="304"/>
      <c r="F504" s="304"/>
      <c r="G504" s="324"/>
      <c r="H504" s="324"/>
      <c r="I504" s="298"/>
      <c r="J504" s="324"/>
      <c r="K504" s="324"/>
      <c r="L504" s="324"/>
      <c r="M504" s="324"/>
      <c r="N504" s="304"/>
      <c r="O504" s="509"/>
      <c r="P504" s="509"/>
      <c r="Q504" s="509"/>
      <c r="R504" s="509"/>
      <c r="S504" s="509"/>
      <c r="T504" s="509"/>
      <c r="U504" s="509"/>
      <c r="V504" s="509"/>
      <c r="W504" s="509"/>
      <c r="X504" s="509"/>
      <c r="Y504" s="509"/>
      <c r="Z504" s="509"/>
      <c r="AA504" s="509"/>
      <c r="AB504" s="295"/>
      <c r="AC504" s="324"/>
      <c r="AD504" s="304"/>
      <c r="AE504" s="304"/>
      <c r="AF504" s="304"/>
      <c r="AG504" s="304"/>
      <c r="AH504" s="304"/>
      <c r="AI504" s="304"/>
      <c r="AJ504" s="304"/>
      <c r="AK504" s="304"/>
      <c r="AL504" s="304"/>
      <c r="AM504" s="304"/>
      <c r="AN504" s="304"/>
      <c r="AO504" s="304"/>
      <c r="AP504" s="212"/>
      <c r="AQ504" s="212"/>
      <c r="AR504" s="212"/>
      <c r="AS504" s="308"/>
      <c r="AT504" s="308"/>
      <c r="AU504" s="307"/>
      <c r="AV504" s="307"/>
      <c r="AW504" s="307"/>
      <c r="AX504" s="307"/>
      <c r="AY504" s="307"/>
      <c r="AZ504" s="307"/>
      <c r="BA504" s="307"/>
      <c r="BB504" s="196"/>
      <c r="BC504" s="196"/>
      <c r="BD504" s="212"/>
      <c r="BE504" s="212"/>
      <c r="BF504" s="212"/>
      <c r="BG504" s="212"/>
      <c r="BH504" s="212"/>
      <c r="BI504" s="212"/>
      <c r="BJ504" s="212"/>
      <c r="BK504" s="212"/>
      <c r="BL504" s="212"/>
      <c r="BM504" s="212"/>
      <c r="BN504" s="212"/>
      <c r="BO504" s="212"/>
      <c r="BP504" s="212"/>
      <c r="BQ504" s="212"/>
      <c r="BR504" s="212"/>
      <c r="BS504" s="212"/>
      <c r="BT504" s="212"/>
      <c r="BU504" s="212"/>
      <c r="BV504" s="212"/>
      <c r="BW504" s="212"/>
      <c r="BX504" s="212"/>
      <c r="BY504" s="212"/>
      <c r="BZ504" s="212"/>
      <c r="CA504" s="212"/>
      <c r="CB504" s="212"/>
      <c r="CC504" s="212"/>
      <c r="CD504" s="212"/>
      <c r="CE504" s="212"/>
    </row>
    <row r="505" spans="1:83" x14ac:dyDescent="0.2">
      <c r="A505" s="302"/>
      <c r="B505" s="214"/>
      <c r="C505" s="303"/>
      <c r="D505" s="295"/>
      <c r="E505" s="304"/>
      <c r="F505" s="304"/>
      <c r="G505" s="324"/>
      <c r="H505" s="324"/>
      <c r="I505" s="298"/>
      <c r="J505" s="324"/>
      <c r="K505" s="324"/>
      <c r="L505" s="324"/>
      <c r="M505" s="324"/>
      <c r="N505" s="304"/>
      <c r="O505" s="509"/>
      <c r="P505" s="509"/>
      <c r="Q505" s="509"/>
      <c r="R505" s="509"/>
      <c r="S505" s="509"/>
      <c r="T505" s="509"/>
      <c r="U505" s="509"/>
      <c r="V505" s="509"/>
      <c r="W505" s="509"/>
      <c r="X505" s="509"/>
      <c r="Y505" s="509"/>
      <c r="Z505" s="509"/>
      <c r="AA505" s="509"/>
      <c r="AB505" s="295"/>
      <c r="AC505" s="324"/>
      <c r="AD505" s="304"/>
      <c r="AE505" s="304"/>
      <c r="AF505" s="304"/>
      <c r="AG505" s="304"/>
      <c r="AH505" s="304"/>
      <c r="AI505" s="304"/>
      <c r="AJ505" s="304"/>
      <c r="AK505" s="304"/>
      <c r="AL505" s="304"/>
      <c r="AM505" s="304"/>
      <c r="AN505" s="304"/>
      <c r="AO505" s="304"/>
      <c r="AP505" s="212"/>
      <c r="AQ505" s="212"/>
      <c r="AR505" s="212"/>
      <c r="AS505" s="308"/>
      <c r="AT505" s="308"/>
      <c r="AU505" s="307"/>
      <c r="AV505" s="307"/>
      <c r="AW505" s="307"/>
      <c r="AX505" s="307"/>
      <c r="AY505" s="307"/>
      <c r="AZ505" s="307"/>
      <c r="BA505" s="307"/>
      <c r="BB505" s="196"/>
      <c r="BC505" s="196"/>
      <c r="BD505" s="212"/>
      <c r="BE505" s="212"/>
      <c r="BF505" s="212"/>
      <c r="BG505" s="212"/>
      <c r="BH505" s="212"/>
      <c r="BI505" s="212"/>
      <c r="BJ505" s="212"/>
      <c r="BK505" s="212"/>
      <c r="BL505" s="212"/>
      <c r="BM505" s="212"/>
      <c r="BN505" s="212"/>
      <c r="BO505" s="212"/>
      <c r="BP505" s="212"/>
      <c r="BQ505" s="212"/>
      <c r="BR505" s="212"/>
      <c r="BS505" s="212"/>
      <c r="BT505" s="212"/>
      <c r="BU505" s="212"/>
      <c r="BV505" s="212"/>
      <c r="BW505" s="212"/>
      <c r="BX505" s="212"/>
      <c r="BY505" s="212"/>
      <c r="BZ505" s="212"/>
      <c r="CA505" s="212"/>
      <c r="CB505" s="212"/>
      <c r="CC505" s="212"/>
      <c r="CD505" s="212"/>
      <c r="CE505" s="212"/>
    </row>
    <row r="506" spans="1:83" x14ac:dyDescent="0.2">
      <c r="A506" s="302"/>
      <c r="B506" s="214"/>
      <c r="C506" s="303"/>
      <c r="D506" s="295"/>
      <c r="E506" s="304"/>
      <c r="F506" s="304"/>
      <c r="G506" s="324"/>
      <c r="H506" s="324"/>
      <c r="I506" s="298"/>
      <c r="J506" s="324"/>
      <c r="K506" s="324"/>
      <c r="L506" s="324"/>
      <c r="M506" s="324"/>
      <c r="N506" s="304"/>
      <c r="O506" s="509"/>
      <c r="P506" s="509"/>
      <c r="Q506" s="509"/>
      <c r="R506" s="509"/>
      <c r="S506" s="509"/>
      <c r="T506" s="509"/>
      <c r="U506" s="509"/>
      <c r="V506" s="509"/>
      <c r="W506" s="509"/>
      <c r="X506" s="509"/>
      <c r="Y506" s="509"/>
      <c r="Z506" s="509"/>
      <c r="AA506" s="509"/>
      <c r="AB506" s="295"/>
      <c r="AC506" s="324"/>
      <c r="AD506" s="304"/>
      <c r="AE506" s="304"/>
      <c r="AF506" s="304"/>
      <c r="AG506" s="304"/>
      <c r="AH506" s="304"/>
      <c r="AI506" s="304"/>
      <c r="AJ506" s="304"/>
      <c r="AK506" s="304"/>
      <c r="AL506" s="304"/>
      <c r="AM506" s="304"/>
      <c r="AN506" s="304"/>
      <c r="AO506" s="304"/>
      <c r="AP506" s="212"/>
      <c r="AQ506" s="212"/>
      <c r="AR506" s="212"/>
      <c r="AS506" s="308"/>
      <c r="AT506" s="308"/>
      <c r="AU506" s="307"/>
      <c r="AV506" s="307"/>
      <c r="AW506" s="307"/>
      <c r="AX506" s="307"/>
      <c r="AY506" s="307"/>
      <c r="AZ506" s="307"/>
      <c r="BA506" s="307"/>
      <c r="BB506" s="196"/>
      <c r="BC506" s="196"/>
      <c r="BD506" s="212"/>
      <c r="BE506" s="212"/>
      <c r="BF506" s="212"/>
      <c r="BG506" s="212"/>
      <c r="BH506" s="212"/>
      <c r="BI506" s="212"/>
      <c r="BJ506" s="212"/>
      <c r="BK506" s="212"/>
      <c r="BL506" s="212"/>
      <c r="BM506" s="212"/>
      <c r="BN506" s="212"/>
      <c r="BO506" s="212"/>
      <c r="BP506" s="212"/>
      <c r="BQ506" s="212"/>
      <c r="BR506" s="212"/>
      <c r="BS506" s="212"/>
      <c r="BT506" s="212"/>
      <c r="BU506" s="212"/>
      <c r="BV506" s="212"/>
      <c r="BW506" s="212"/>
      <c r="BX506" s="212"/>
      <c r="BY506" s="212"/>
      <c r="BZ506" s="212"/>
      <c r="CA506" s="212"/>
      <c r="CB506" s="212"/>
      <c r="CC506" s="212"/>
      <c r="CD506" s="212"/>
      <c r="CE506" s="212"/>
    </row>
    <row r="507" spans="1:83" x14ac:dyDescent="0.2">
      <c r="A507" s="302"/>
      <c r="B507" s="214"/>
      <c r="C507" s="303"/>
      <c r="D507" s="295"/>
      <c r="E507" s="304"/>
      <c r="F507" s="304"/>
      <c r="G507" s="324"/>
      <c r="H507" s="324"/>
      <c r="I507" s="298"/>
      <c r="J507" s="324"/>
      <c r="K507" s="324"/>
      <c r="L507" s="324"/>
      <c r="M507" s="324"/>
      <c r="N507" s="304"/>
      <c r="O507" s="509"/>
      <c r="P507" s="509"/>
      <c r="Q507" s="509"/>
      <c r="R507" s="509"/>
      <c r="S507" s="509"/>
      <c r="T507" s="509"/>
      <c r="U507" s="509"/>
      <c r="V507" s="509"/>
      <c r="W507" s="509"/>
      <c r="X507" s="509"/>
      <c r="Y507" s="509"/>
      <c r="Z507" s="509"/>
      <c r="AA507" s="509"/>
      <c r="AB507" s="295"/>
      <c r="AC507" s="324"/>
      <c r="AD507" s="304"/>
      <c r="AE507" s="304"/>
      <c r="AF507" s="304"/>
      <c r="AG507" s="304"/>
      <c r="AH507" s="304"/>
      <c r="AI507" s="304"/>
      <c r="AJ507" s="304"/>
      <c r="AK507" s="304"/>
      <c r="AL507" s="304"/>
      <c r="AM507" s="304"/>
      <c r="AN507" s="304"/>
      <c r="AO507" s="304"/>
      <c r="AP507" s="212"/>
      <c r="AQ507" s="212"/>
      <c r="AR507" s="212"/>
      <c r="AS507" s="308"/>
      <c r="AT507" s="308"/>
      <c r="AU507" s="307"/>
      <c r="AV507" s="307"/>
      <c r="AW507" s="307"/>
      <c r="AX507" s="307"/>
      <c r="AY507" s="307"/>
      <c r="AZ507" s="307"/>
      <c r="BA507" s="307"/>
      <c r="BB507" s="196"/>
      <c r="BC507" s="196"/>
      <c r="BD507" s="212"/>
      <c r="BE507" s="212"/>
      <c r="BF507" s="212"/>
      <c r="BG507" s="212"/>
      <c r="BH507" s="212"/>
      <c r="BI507" s="212"/>
      <c r="BJ507" s="212"/>
      <c r="BK507" s="212"/>
      <c r="BL507" s="212"/>
      <c r="BM507" s="212"/>
      <c r="BN507" s="212"/>
      <c r="BO507" s="212"/>
      <c r="BP507" s="212"/>
      <c r="BQ507" s="212"/>
      <c r="BR507" s="212"/>
      <c r="BS507" s="212"/>
      <c r="BT507" s="212"/>
      <c r="BU507" s="212"/>
      <c r="BV507" s="212"/>
      <c r="BW507" s="212"/>
      <c r="BX507" s="212"/>
      <c r="BY507" s="212"/>
      <c r="BZ507" s="212"/>
      <c r="CA507" s="212"/>
      <c r="CB507" s="212"/>
      <c r="CC507" s="212"/>
      <c r="CD507" s="212"/>
      <c r="CE507" s="212"/>
    </row>
    <row r="508" spans="1:83" x14ac:dyDescent="0.2">
      <c r="A508" s="302"/>
      <c r="B508" s="214"/>
      <c r="C508" s="303"/>
      <c r="D508" s="295"/>
      <c r="E508" s="304"/>
      <c r="F508" s="304"/>
      <c r="G508" s="324"/>
      <c r="H508" s="324"/>
      <c r="I508" s="298"/>
      <c r="J508" s="324"/>
      <c r="K508" s="324"/>
      <c r="L508" s="324"/>
      <c r="M508" s="324"/>
      <c r="N508" s="304"/>
      <c r="O508" s="509"/>
      <c r="P508" s="509"/>
      <c r="Q508" s="509"/>
      <c r="R508" s="509"/>
      <c r="S508" s="509"/>
      <c r="T508" s="509"/>
      <c r="U508" s="509"/>
      <c r="V508" s="509"/>
      <c r="W508" s="509"/>
      <c r="X508" s="509"/>
      <c r="Y508" s="509"/>
      <c r="Z508" s="509"/>
      <c r="AA508" s="509"/>
      <c r="AB508" s="295"/>
      <c r="AC508" s="324"/>
      <c r="AD508" s="304"/>
      <c r="AE508" s="304"/>
      <c r="AF508" s="304"/>
      <c r="AG508" s="304"/>
      <c r="AH508" s="304"/>
      <c r="AI508" s="304"/>
      <c r="AJ508" s="304"/>
      <c r="AK508" s="304"/>
      <c r="AL508" s="304"/>
      <c r="AM508" s="304"/>
      <c r="AN508" s="304"/>
      <c r="AO508" s="304"/>
      <c r="AP508" s="212"/>
      <c r="AQ508" s="212"/>
      <c r="AR508" s="212"/>
      <c r="AS508" s="308"/>
      <c r="AT508" s="308"/>
      <c r="AU508" s="307"/>
      <c r="AV508" s="307"/>
      <c r="AW508" s="307"/>
      <c r="AX508" s="307"/>
      <c r="AY508" s="307"/>
      <c r="AZ508" s="307"/>
      <c r="BA508" s="307"/>
      <c r="BB508" s="196"/>
      <c r="BC508" s="196"/>
      <c r="BD508" s="212"/>
      <c r="BE508" s="212"/>
      <c r="BF508" s="212"/>
      <c r="BG508" s="212"/>
      <c r="BH508" s="212"/>
      <c r="BI508" s="212"/>
      <c r="BJ508" s="212"/>
      <c r="BK508" s="212"/>
      <c r="BL508" s="212"/>
      <c r="BM508" s="212"/>
      <c r="BN508" s="212"/>
      <c r="BO508" s="212"/>
      <c r="BP508" s="212"/>
      <c r="BQ508" s="212"/>
      <c r="BR508" s="212"/>
      <c r="BS508" s="212"/>
      <c r="BT508" s="212"/>
      <c r="BU508" s="212"/>
      <c r="BV508" s="212"/>
      <c r="BW508" s="212"/>
      <c r="BX508" s="212"/>
      <c r="BY508" s="212"/>
      <c r="BZ508" s="212"/>
      <c r="CA508" s="212"/>
      <c r="CB508" s="212"/>
      <c r="CC508" s="212"/>
      <c r="CD508" s="212"/>
      <c r="CE508" s="212"/>
    </row>
    <row r="509" spans="1:83" x14ac:dyDescent="0.2">
      <c r="A509" s="302"/>
      <c r="B509" s="214"/>
      <c r="C509" s="303"/>
      <c r="D509" s="295"/>
      <c r="E509" s="304"/>
      <c r="F509" s="304"/>
      <c r="G509" s="324"/>
      <c r="H509" s="324"/>
      <c r="I509" s="298"/>
      <c r="J509" s="324"/>
      <c r="K509" s="324"/>
      <c r="L509" s="324"/>
      <c r="M509" s="324"/>
      <c r="N509" s="304"/>
      <c r="O509" s="509"/>
      <c r="P509" s="509"/>
      <c r="Q509" s="509"/>
      <c r="R509" s="509"/>
      <c r="S509" s="509"/>
      <c r="T509" s="509"/>
      <c r="U509" s="509"/>
      <c r="V509" s="509"/>
      <c r="W509" s="509"/>
      <c r="X509" s="509"/>
      <c r="Y509" s="509"/>
      <c r="Z509" s="509"/>
      <c r="AA509" s="509"/>
      <c r="AB509" s="295"/>
      <c r="AC509" s="324"/>
      <c r="AD509" s="304"/>
      <c r="AE509" s="304"/>
      <c r="AF509" s="304"/>
      <c r="AG509" s="304"/>
      <c r="AH509" s="304"/>
      <c r="AI509" s="304"/>
      <c r="AJ509" s="304"/>
      <c r="AK509" s="304"/>
      <c r="AL509" s="304"/>
      <c r="AM509" s="304"/>
      <c r="AN509" s="304"/>
      <c r="AO509" s="304"/>
      <c r="AP509" s="212"/>
      <c r="AQ509" s="212"/>
      <c r="AR509" s="212"/>
      <c r="AS509" s="308"/>
      <c r="AT509" s="308"/>
      <c r="AU509" s="307"/>
      <c r="AV509" s="307"/>
      <c r="AW509" s="307"/>
      <c r="AX509" s="307"/>
      <c r="AY509" s="307"/>
      <c r="AZ509" s="307"/>
      <c r="BA509" s="307"/>
      <c r="BB509" s="196"/>
      <c r="BC509" s="196"/>
      <c r="BD509" s="212"/>
      <c r="BE509" s="212"/>
      <c r="BF509" s="212"/>
      <c r="BG509" s="212"/>
      <c r="BH509" s="212"/>
      <c r="BI509" s="212"/>
      <c r="BJ509" s="212"/>
      <c r="BK509" s="212"/>
      <c r="BL509" s="212"/>
      <c r="BM509" s="212"/>
      <c r="BN509" s="212"/>
      <c r="BO509" s="212"/>
      <c r="BP509" s="212"/>
      <c r="BQ509" s="212"/>
      <c r="BR509" s="212"/>
      <c r="BS509" s="212"/>
      <c r="BT509" s="212"/>
      <c r="BU509" s="212"/>
      <c r="BV509" s="212"/>
      <c r="BW509" s="212"/>
      <c r="BX509" s="212"/>
      <c r="BY509" s="212"/>
      <c r="BZ509" s="212"/>
      <c r="CA509" s="212"/>
      <c r="CB509" s="212"/>
      <c r="CC509" s="212"/>
      <c r="CD509" s="212"/>
      <c r="CE509" s="212"/>
    </row>
    <row r="510" spans="1:83" x14ac:dyDescent="0.2">
      <c r="A510" s="302"/>
      <c r="B510" s="214"/>
      <c r="C510" s="303"/>
      <c r="D510" s="295"/>
      <c r="E510" s="304"/>
      <c r="F510" s="304"/>
      <c r="G510" s="324"/>
      <c r="H510" s="324"/>
      <c r="I510" s="298"/>
      <c r="J510" s="324"/>
      <c r="K510" s="324"/>
      <c r="L510" s="324"/>
      <c r="M510" s="324"/>
      <c r="N510" s="304"/>
      <c r="O510" s="509"/>
      <c r="P510" s="509"/>
      <c r="Q510" s="509"/>
      <c r="R510" s="509"/>
      <c r="S510" s="509"/>
      <c r="T510" s="509"/>
      <c r="U510" s="509"/>
      <c r="V510" s="509"/>
      <c r="W510" s="509"/>
      <c r="X510" s="509"/>
      <c r="Y510" s="509"/>
      <c r="Z510" s="509"/>
      <c r="AA510" s="509"/>
      <c r="AB510" s="295"/>
      <c r="AC510" s="324"/>
      <c r="AD510" s="304"/>
      <c r="AE510" s="304"/>
      <c r="AF510" s="304"/>
      <c r="AG510" s="304"/>
      <c r="AH510" s="304"/>
      <c r="AI510" s="304"/>
      <c r="AJ510" s="304"/>
      <c r="AK510" s="304"/>
      <c r="AL510" s="304"/>
      <c r="AM510" s="304"/>
      <c r="AN510" s="304"/>
      <c r="AO510" s="304"/>
      <c r="AP510" s="212"/>
      <c r="AQ510" s="212"/>
      <c r="AR510" s="212"/>
      <c r="AS510" s="308"/>
      <c r="AT510" s="308"/>
      <c r="AU510" s="307"/>
      <c r="AV510" s="307"/>
      <c r="AW510" s="307"/>
      <c r="AX510" s="307"/>
      <c r="AY510" s="307"/>
      <c r="AZ510" s="307"/>
      <c r="BA510" s="307"/>
      <c r="BB510" s="196"/>
      <c r="BC510" s="196"/>
      <c r="BD510" s="212"/>
      <c r="BE510" s="212"/>
      <c r="BF510" s="212"/>
      <c r="BG510" s="212"/>
      <c r="BH510" s="212"/>
      <c r="BI510" s="212"/>
      <c r="BJ510" s="212"/>
      <c r="BK510" s="212"/>
      <c r="BL510" s="212"/>
      <c r="BM510" s="212"/>
      <c r="BN510" s="212"/>
      <c r="BO510" s="212"/>
      <c r="BP510" s="212"/>
      <c r="BQ510" s="212"/>
      <c r="BR510" s="212"/>
      <c r="BS510" s="212"/>
      <c r="BT510" s="212"/>
      <c r="BU510" s="212"/>
      <c r="BV510" s="212"/>
      <c r="BW510" s="212"/>
      <c r="BX510" s="212"/>
      <c r="BY510" s="212"/>
      <c r="BZ510" s="212"/>
      <c r="CA510" s="212"/>
      <c r="CB510" s="212"/>
      <c r="CC510" s="212"/>
      <c r="CD510" s="212"/>
      <c r="CE510" s="212"/>
    </row>
    <row r="511" spans="1:83" x14ac:dyDescent="0.2">
      <c r="A511" s="302"/>
      <c r="B511" s="214"/>
      <c r="C511" s="303"/>
      <c r="D511" s="295"/>
      <c r="E511" s="304"/>
      <c r="F511" s="304"/>
      <c r="G511" s="324"/>
      <c r="H511" s="324"/>
      <c r="I511" s="298"/>
      <c r="J511" s="324"/>
      <c r="K511" s="324"/>
      <c r="L511" s="324"/>
      <c r="M511" s="324"/>
      <c r="N511" s="304"/>
      <c r="O511" s="509"/>
      <c r="P511" s="509"/>
      <c r="Q511" s="509"/>
      <c r="R511" s="509"/>
      <c r="S511" s="509"/>
      <c r="T511" s="509"/>
      <c r="U511" s="509"/>
      <c r="V511" s="509"/>
      <c r="W511" s="509"/>
      <c r="X511" s="509"/>
      <c r="Y511" s="509"/>
      <c r="Z511" s="509"/>
      <c r="AA511" s="509"/>
      <c r="AB511" s="295"/>
      <c r="AC511" s="324"/>
      <c r="AD511" s="304"/>
      <c r="AE511" s="304"/>
      <c r="AF511" s="304"/>
      <c r="AG511" s="304"/>
      <c r="AH511" s="304"/>
      <c r="AI511" s="304"/>
      <c r="AJ511" s="304"/>
      <c r="AK511" s="304"/>
      <c r="AL511" s="304"/>
      <c r="AM511" s="304"/>
      <c r="AN511" s="304"/>
      <c r="AO511" s="304"/>
      <c r="AP511" s="212"/>
      <c r="AQ511" s="212"/>
      <c r="AR511" s="212"/>
      <c r="AS511" s="308"/>
      <c r="AT511" s="308"/>
      <c r="AU511" s="307"/>
      <c r="AV511" s="307"/>
      <c r="AW511" s="307"/>
      <c r="AX511" s="307"/>
      <c r="AY511" s="307"/>
      <c r="AZ511" s="307"/>
      <c r="BA511" s="307"/>
      <c r="BB511" s="196"/>
      <c r="BC511" s="196"/>
      <c r="BD511" s="212"/>
      <c r="BE511" s="212"/>
      <c r="BF511" s="212"/>
      <c r="BG511" s="212"/>
      <c r="BH511" s="212"/>
      <c r="BI511" s="212"/>
      <c r="BJ511" s="212"/>
      <c r="BK511" s="212"/>
      <c r="BL511" s="212"/>
      <c r="BM511" s="212"/>
      <c r="BN511" s="212"/>
      <c r="BO511" s="212"/>
      <c r="BP511" s="212"/>
      <c r="BQ511" s="212"/>
      <c r="BR511" s="212"/>
      <c r="BS511" s="212"/>
      <c r="BT511" s="212"/>
      <c r="BU511" s="212"/>
      <c r="BV511" s="212"/>
      <c r="BW511" s="212"/>
      <c r="BX511" s="212"/>
      <c r="BY511" s="212"/>
      <c r="BZ511" s="212"/>
      <c r="CA511" s="212"/>
      <c r="CB511" s="212"/>
      <c r="CC511" s="212"/>
      <c r="CD511" s="212"/>
      <c r="CE511" s="212"/>
    </row>
    <row r="512" spans="1:83" x14ac:dyDescent="0.2">
      <c r="A512" s="302"/>
      <c r="B512" s="214"/>
      <c r="C512" s="303"/>
      <c r="D512" s="295"/>
      <c r="E512" s="304"/>
      <c r="F512" s="304"/>
      <c r="G512" s="324"/>
      <c r="H512" s="324"/>
      <c r="I512" s="298"/>
      <c r="J512" s="324"/>
      <c r="K512" s="324"/>
      <c r="L512" s="324"/>
      <c r="M512" s="324"/>
      <c r="N512" s="304"/>
      <c r="O512" s="509"/>
      <c r="P512" s="509"/>
      <c r="Q512" s="509"/>
      <c r="R512" s="509"/>
      <c r="S512" s="509"/>
      <c r="T512" s="509"/>
      <c r="U512" s="509"/>
      <c r="V512" s="509"/>
      <c r="W512" s="509"/>
      <c r="X512" s="509"/>
      <c r="Y512" s="509"/>
      <c r="Z512" s="509"/>
      <c r="AA512" s="509"/>
      <c r="AB512" s="295"/>
      <c r="AC512" s="324"/>
      <c r="AD512" s="304"/>
      <c r="AE512" s="304"/>
      <c r="AF512" s="304"/>
      <c r="AG512" s="304"/>
      <c r="AH512" s="304"/>
      <c r="AI512" s="304"/>
      <c r="AJ512" s="304"/>
      <c r="AK512" s="304"/>
      <c r="AL512" s="304"/>
      <c r="AM512" s="304"/>
      <c r="AN512" s="304"/>
      <c r="AO512" s="304"/>
      <c r="AP512" s="212"/>
      <c r="AQ512" s="212"/>
      <c r="AR512" s="212"/>
      <c r="AS512" s="308"/>
      <c r="AT512" s="308"/>
      <c r="AU512" s="307"/>
      <c r="AV512" s="307"/>
      <c r="AW512" s="307"/>
      <c r="AX512" s="307"/>
      <c r="AY512" s="307"/>
      <c r="AZ512" s="307"/>
      <c r="BA512" s="307"/>
      <c r="BB512" s="196"/>
      <c r="BC512" s="196"/>
      <c r="BD512" s="212"/>
      <c r="BE512" s="212"/>
      <c r="BF512" s="212"/>
      <c r="BG512" s="212"/>
      <c r="BH512" s="212"/>
      <c r="BI512" s="212"/>
      <c r="BJ512" s="212"/>
      <c r="BK512" s="212"/>
      <c r="BL512" s="212"/>
      <c r="BM512" s="212"/>
      <c r="BN512" s="212"/>
      <c r="BO512" s="212"/>
      <c r="BP512" s="212"/>
      <c r="BQ512" s="212"/>
      <c r="BR512" s="212"/>
      <c r="BS512" s="212"/>
      <c r="BT512" s="212"/>
      <c r="BU512" s="212"/>
      <c r="BV512" s="212"/>
      <c r="BW512" s="212"/>
      <c r="BX512" s="212"/>
      <c r="BY512" s="212"/>
      <c r="BZ512" s="212"/>
      <c r="CA512" s="212"/>
      <c r="CB512" s="212"/>
      <c r="CC512" s="212"/>
      <c r="CD512" s="212"/>
      <c r="CE512" s="212"/>
    </row>
    <row r="513" spans="1:83" x14ac:dyDescent="0.2">
      <c r="A513" s="302"/>
      <c r="B513" s="214"/>
      <c r="C513" s="303"/>
      <c r="D513" s="295"/>
      <c r="E513" s="304"/>
      <c r="F513" s="304"/>
      <c r="G513" s="324"/>
      <c r="H513" s="324"/>
      <c r="I513" s="298"/>
      <c r="J513" s="324"/>
      <c r="K513" s="324"/>
      <c r="L513" s="324"/>
      <c r="M513" s="324"/>
      <c r="N513" s="304"/>
      <c r="O513" s="509"/>
      <c r="P513" s="509"/>
      <c r="Q513" s="509"/>
      <c r="R513" s="509"/>
      <c r="S513" s="509"/>
      <c r="T513" s="509"/>
      <c r="U513" s="509"/>
      <c r="V513" s="509"/>
      <c r="W513" s="509"/>
      <c r="X513" s="509"/>
      <c r="Y513" s="509"/>
      <c r="Z513" s="509"/>
      <c r="AA513" s="509"/>
      <c r="AB513" s="295"/>
      <c r="AC513" s="324"/>
      <c r="AD513" s="304"/>
      <c r="AE513" s="304"/>
      <c r="AF513" s="304"/>
      <c r="AG513" s="304"/>
      <c r="AH513" s="304"/>
      <c r="AI513" s="304"/>
      <c r="AJ513" s="304"/>
      <c r="AK513" s="304"/>
      <c r="AL513" s="304"/>
      <c r="AM513" s="304"/>
      <c r="AN513" s="304"/>
      <c r="AO513" s="304"/>
      <c r="AP513" s="212"/>
      <c r="AQ513" s="212"/>
      <c r="AR513" s="212"/>
      <c r="AS513" s="308"/>
      <c r="AT513" s="308"/>
      <c r="AU513" s="307"/>
      <c r="AV513" s="307"/>
      <c r="AW513" s="307"/>
      <c r="AX513" s="307"/>
      <c r="AY513" s="307"/>
      <c r="AZ513" s="307"/>
      <c r="BA513" s="307"/>
      <c r="BB513" s="196"/>
      <c r="BC513" s="196"/>
      <c r="BD513" s="212"/>
      <c r="BE513" s="212"/>
      <c r="BF513" s="212"/>
      <c r="BG513" s="212"/>
      <c r="BH513" s="212"/>
      <c r="BI513" s="212"/>
      <c r="BJ513" s="212"/>
      <c r="BK513" s="212"/>
      <c r="BL513" s="212"/>
      <c r="BM513" s="212"/>
      <c r="BN513" s="212"/>
      <c r="BO513" s="212"/>
      <c r="BP513" s="212"/>
      <c r="BQ513" s="212"/>
      <c r="BR513" s="212"/>
      <c r="BS513" s="212"/>
      <c r="BT513" s="212"/>
      <c r="BU513" s="212"/>
      <c r="BV513" s="212"/>
      <c r="BW513" s="212"/>
      <c r="BX513" s="212"/>
      <c r="BY513" s="212"/>
      <c r="BZ513" s="212"/>
      <c r="CA513" s="212"/>
      <c r="CB513" s="212"/>
      <c r="CC513" s="212"/>
      <c r="CD513" s="212"/>
      <c r="CE513" s="212"/>
    </row>
    <row r="514" spans="1:83" x14ac:dyDescent="0.2">
      <c r="A514" s="302"/>
      <c r="B514" s="214"/>
      <c r="C514" s="303"/>
      <c r="D514" s="295"/>
      <c r="E514" s="304"/>
      <c r="F514" s="304"/>
      <c r="G514" s="324"/>
      <c r="H514" s="324"/>
      <c r="I514" s="298"/>
      <c r="J514" s="324"/>
      <c r="K514" s="324"/>
      <c r="L514" s="324"/>
      <c r="M514" s="324"/>
      <c r="N514" s="304"/>
      <c r="O514" s="509"/>
      <c r="P514" s="509"/>
      <c r="Q514" s="509"/>
      <c r="R514" s="509"/>
      <c r="S514" s="509"/>
      <c r="T514" s="509"/>
      <c r="U514" s="509"/>
      <c r="V514" s="509"/>
      <c r="W514" s="509"/>
      <c r="X514" s="509"/>
      <c r="Y514" s="509"/>
      <c r="Z514" s="509"/>
      <c r="AA514" s="509"/>
      <c r="AB514" s="295"/>
      <c r="AC514" s="324"/>
      <c r="AD514" s="304"/>
      <c r="AE514" s="304"/>
      <c r="AF514" s="304"/>
      <c r="AG514" s="304"/>
      <c r="AH514" s="304"/>
      <c r="AI514" s="304"/>
      <c r="AJ514" s="304"/>
      <c r="AK514" s="304"/>
      <c r="AL514" s="304"/>
      <c r="AM514" s="304"/>
      <c r="AN514" s="304"/>
      <c r="AO514" s="304"/>
      <c r="AP514" s="212"/>
      <c r="AQ514" s="212"/>
      <c r="AR514" s="212"/>
      <c r="AS514" s="308"/>
      <c r="AT514" s="308"/>
      <c r="AU514" s="307"/>
      <c r="AV514" s="307"/>
      <c r="AW514" s="307"/>
      <c r="AX514" s="307"/>
      <c r="AY514" s="307"/>
      <c r="AZ514" s="307"/>
      <c r="BA514" s="307"/>
      <c r="BB514" s="196"/>
      <c r="BC514" s="196"/>
      <c r="BD514" s="212"/>
      <c r="BE514" s="212"/>
      <c r="BF514" s="212"/>
      <c r="BG514" s="212"/>
      <c r="BH514" s="212"/>
      <c r="BI514" s="212"/>
      <c r="BJ514" s="212"/>
      <c r="BK514" s="212"/>
      <c r="BL514" s="212"/>
      <c r="BM514" s="212"/>
      <c r="BN514" s="212"/>
      <c r="BO514" s="212"/>
      <c r="BP514" s="212"/>
      <c r="BQ514" s="212"/>
      <c r="BR514" s="212"/>
      <c r="BS514" s="212"/>
      <c r="BT514" s="212"/>
      <c r="BU514" s="212"/>
      <c r="BV514" s="212"/>
      <c r="BW514" s="212"/>
      <c r="BX514" s="212"/>
      <c r="BY514" s="212"/>
      <c r="BZ514" s="212"/>
      <c r="CA514" s="212"/>
      <c r="CB514" s="212"/>
      <c r="CC514" s="212"/>
      <c r="CD514" s="212"/>
      <c r="CE514" s="212"/>
    </row>
    <row r="515" spans="1:83" x14ac:dyDescent="0.2">
      <c r="A515" s="302"/>
      <c r="B515" s="214"/>
      <c r="C515" s="303"/>
      <c r="D515" s="295"/>
      <c r="E515" s="304"/>
      <c r="F515" s="304"/>
      <c r="G515" s="324"/>
      <c r="H515" s="324"/>
      <c r="I515" s="298"/>
      <c r="J515" s="324"/>
      <c r="K515" s="324"/>
      <c r="L515" s="324"/>
      <c r="M515" s="324"/>
      <c r="N515" s="304"/>
      <c r="O515" s="509"/>
      <c r="P515" s="509"/>
      <c r="Q515" s="509"/>
      <c r="R515" s="509"/>
      <c r="S515" s="509"/>
      <c r="T515" s="509"/>
      <c r="U515" s="509"/>
      <c r="V515" s="509"/>
      <c r="W515" s="509"/>
      <c r="X515" s="509"/>
      <c r="Y515" s="509"/>
      <c r="Z515" s="509"/>
      <c r="AA515" s="509"/>
      <c r="AB515" s="295"/>
      <c r="AC515" s="324"/>
      <c r="AD515" s="304"/>
      <c r="AE515" s="304"/>
      <c r="AF515" s="304"/>
      <c r="AG515" s="304"/>
      <c r="AH515" s="304"/>
      <c r="AI515" s="304"/>
      <c r="AJ515" s="304"/>
      <c r="AK515" s="304"/>
      <c r="AL515" s="304"/>
      <c r="AM515" s="304"/>
      <c r="AN515" s="304"/>
      <c r="AO515" s="304"/>
      <c r="AP515" s="212"/>
      <c r="AQ515" s="212"/>
      <c r="AR515" s="212"/>
      <c r="AS515" s="308"/>
      <c r="AT515" s="308"/>
      <c r="AU515" s="307"/>
      <c r="AV515" s="307"/>
      <c r="AW515" s="307"/>
      <c r="AX515" s="307"/>
      <c r="AY515" s="307"/>
      <c r="AZ515" s="307"/>
      <c r="BA515" s="307"/>
      <c r="BB515" s="196"/>
      <c r="BC515" s="196"/>
      <c r="BD515" s="212"/>
      <c r="BE515" s="212"/>
      <c r="BF515" s="212"/>
      <c r="BG515" s="212"/>
      <c r="BH515" s="212"/>
      <c r="BI515" s="212"/>
      <c r="BJ515" s="212"/>
      <c r="BK515" s="212"/>
      <c r="BL515" s="212"/>
      <c r="BM515" s="212"/>
      <c r="BN515" s="212"/>
      <c r="BO515" s="212"/>
      <c r="BP515" s="212"/>
      <c r="BQ515" s="212"/>
      <c r="BR515" s="212"/>
      <c r="BS515" s="212"/>
      <c r="BT515" s="212"/>
      <c r="BU515" s="212"/>
      <c r="BV515" s="212"/>
      <c r="BW515" s="212"/>
      <c r="BX515" s="212"/>
      <c r="BY515" s="212"/>
      <c r="BZ515" s="212"/>
      <c r="CA515" s="212"/>
      <c r="CB515" s="212"/>
      <c r="CC515" s="212"/>
      <c r="CD515" s="212"/>
      <c r="CE515" s="212"/>
    </row>
    <row r="516" spans="1:83" x14ac:dyDescent="0.2">
      <c r="A516" s="302"/>
      <c r="B516" s="214"/>
      <c r="C516" s="303"/>
      <c r="D516" s="295"/>
      <c r="E516" s="304"/>
      <c r="F516" s="304"/>
      <c r="G516" s="324"/>
      <c r="H516" s="324"/>
      <c r="I516" s="298"/>
      <c r="J516" s="324"/>
      <c r="K516" s="324"/>
      <c r="L516" s="324"/>
      <c r="M516" s="324"/>
      <c r="N516" s="304"/>
      <c r="O516" s="509"/>
      <c r="P516" s="509"/>
      <c r="Q516" s="509"/>
      <c r="R516" s="509"/>
      <c r="S516" s="509"/>
      <c r="T516" s="509"/>
      <c r="U516" s="509"/>
      <c r="V516" s="509"/>
      <c r="W516" s="509"/>
      <c r="X516" s="509"/>
      <c r="Y516" s="509"/>
      <c r="Z516" s="509"/>
      <c r="AA516" s="509"/>
      <c r="AB516" s="295"/>
      <c r="AC516" s="324"/>
      <c r="AD516" s="304"/>
      <c r="AE516" s="304"/>
      <c r="AF516" s="304"/>
      <c r="AG516" s="304"/>
      <c r="AH516" s="304"/>
      <c r="AI516" s="304"/>
      <c r="AJ516" s="304"/>
      <c r="AK516" s="304"/>
      <c r="AL516" s="304"/>
      <c r="AM516" s="304"/>
      <c r="AN516" s="304"/>
      <c r="AO516" s="304"/>
      <c r="AP516" s="212"/>
      <c r="AQ516" s="212"/>
      <c r="AR516" s="212"/>
      <c r="AS516" s="308"/>
      <c r="AT516" s="308"/>
      <c r="AU516" s="307"/>
      <c r="AV516" s="307"/>
      <c r="AW516" s="307"/>
      <c r="AX516" s="307"/>
      <c r="AY516" s="307"/>
      <c r="AZ516" s="307"/>
      <c r="BA516" s="307"/>
      <c r="BB516" s="196"/>
      <c r="BC516" s="196"/>
      <c r="BD516" s="212"/>
      <c r="BE516" s="212"/>
      <c r="BF516" s="212"/>
      <c r="BG516" s="212"/>
      <c r="BH516" s="212"/>
      <c r="BI516" s="212"/>
      <c r="BJ516" s="212"/>
      <c r="BK516" s="212"/>
      <c r="BL516" s="212"/>
      <c r="BM516" s="212"/>
      <c r="BN516" s="212"/>
      <c r="BO516" s="212"/>
      <c r="BP516" s="212"/>
      <c r="BQ516" s="212"/>
      <c r="BR516" s="212"/>
      <c r="BS516" s="212"/>
      <c r="BT516" s="212"/>
      <c r="BU516" s="212"/>
      <c r="BV516" s="212"/>
      <c r="BW516" s="212"/>
      <c r="BX516" s="212"/>
      <c r="BY516" s="212"/>
      <c r="BZ516" s="212"/>
      <c r="CA516" s="212"/>
      <c r="CB516" s="212"/>
      <c r="CC516" s="212"/>
      <c r="CD516" s="212"/>
      <c r="CE516" s="212"/>
    </row>
    <row r="517" spans="1:83" x14ac:dyDescent="0.2">
      <c r="A517" s="302"/>
      <c r="B517" s="214"/>
      <c r="C517" s="303"/>
      <c r="D517" s="295"/>
      <c r="E517" s="304"/>
      <c r="F517" s="304"/>
      <c r="G517" s="324"/>
      <c r="H517" s="324"/>
      <c r="I517" s="298"/>
      <c r="J517" s="324"/>
      <c r="K517" s="324"/>
      <c r="L517" s="324"/>
      <c r="M517" s="324"/>
      <c r="N517" s="304"/>
      <c r="O517" s="509"/>
      <c r="P517" s="509"/>
      <c r="Q517" s="509"/>
      <c r="R517" s="509"/>
      <c r="S517" s="509"/>
      <c r="T517" s="509"/>
      <c r="U517" s="509"/>
      <c r="V517" s="509"/>
      <c r="W517" s="509"/>
      <c r="X517" s="509"/>
      <c r="Y517" s="509"/>
      <c r="Z517" s="509"/>
      <c r="AA517" s="509"/>
      <c r="AB517" s="295"/>
      <c r="AC517" s="324"/>
      <c r="AD517" s="304"/>
      <c r="AE517" s="304"/>
      <c r="AF517" s="304"/>
      <c r="AG517" s="304"/>
      <c r="AH517" s="304"/>
      <c r="AI517" s="304"/>
      <c r="AJ517" s="304"/>
      <c r="AK517" s="304"/>
      <c r="AL517" s="304"/>
      <c r="AM517" s="304"/>
      <c r="AN517" s="304"/>
      <c r="AO517" s="304"/>
      <c r="AP517" s="212"/>
      <c r="AQ517" s="212"/>
      <c r="AR517" s="212"/>
      <c r="AS517" s="308"/>
      <c r="AT517" s="308"/>
      <c r="AU517" s="307"/>
      <c r="AV517" s="307"/>
      <c r="AW517" s="307"/>
      <c r="AX517" s="307"/>
      <c r="AY517" s="307"/>
      <c r="AZ517" s="307"/>
      <c r="BA517" s="307"/>
      <c r="BB517" s="196"/>
      <c r="BC517" s="196"/>
      <c r="BD517" s="212"/>
      <c r="BE517" s="212"/>
      <c r="BF517" s="212"/>
      <c r="BG517" s="212"/>
      <c r="BH517" s="212"/>
      <c r="BI517" s="212"/>
      <c r="BJ517" s="212"/>
      <c r="BK517" s="212"/>
      <c r="BL517" s="212"/>
      <c r="BM517" s="212"/>
      <c r="BN517" s="212"/>
      <c r="BO517" s="212"/>
      <c r="BP517" s="212"/>
      <c r="BQ517" s="212"/>
      <c r="BR517" s="212"/>
      <c r="BS517" s="212"/>
      <c r="BT517" s="212"/>
      <c r="BU517" s="212"/>
      <c r="BV517" s="212"/>
      <c r="BW517" s="212"/>
      <c r="BX517" s="212"/>
      <c r="BY517" s="212"/>
      <c r="BZ517" s="212"/>
      <c r="CA517" s="212"/>
      <c r="CB517" s="212"/>
      <c r="CC517" s="212"/>
      <c r="CD517" s="212"/>
      <c r="CE517" s="212"/>
    </row>
    <row r="518" spans="1:83" x14ac:dyDescent="0.2">
      <c r="A518" s="302"/>
      <c r="B518" s="214"/>
      <c r="C518" s="303"/>
      <c r="D518" s="295"/>
      <c r="E518" s="304"/>
      <c r="F518" s="304"/>
      <c r="G518" s="324"/>
      <c r="H518" s="324"/>
      <c r="I518" s="298"/>
      <c r="J518" s="324"/>
      <c r="K518" s="324"/>
      <c r="L518" s="324"/>
      <c r="M518" s="324"/>
      <c r="N518" s="304"/>
      <c r="O518" s="509"/>
      <c r="P518" s="509"/>
      <c r="Q518" s="509"/>
      <c r="R518" s="509"/>
      <c r="S518" s="509"/>
      <c r="T518" s="509"/>
      <c r="U518" s="509"/>
      <c r="V518" s="509"/>
      <c r="W518" s="509"/>
      <c r="X518" s="509"/>
      <c r="Y518" s="509"/>
      <c r="Z518" s="509"/>
      <c r="AA518" s="509"/>
      <c r="AB518" s="295"/>
      <c r="AC518" s="324"/>
      <c r="AD518" s="304"/>
      <c r="AE518" s="304"/>
      <c r="AF518" s="304"/>
      <c r="AG518" s="304"/>
      <c r="AH518" s="304"/>
      <c r="AI518" s="304"/>
      <c r="AJ518" s="304"/>
      <c r="AK518" s="304"/>
      <c r="AL518" s="304"/>
      <c r="AM518" s="304"/>
      <c r="AN518" s="304"/>
      <c r="AO518" s="304"/>
      <c r="AP518" s="212"/>
      <c r="AQ518" s="212"/>
      <c r="AR518" s="212"/>
      <c r="AS518" s="308"/>
      <c r="AT518" s="308"/>
      <c r="AU518" s="307"/>
      <c r="AV518" s="307"/>
      <c r="AW518" s="307"/>
      <c r="AX518" s="307"/>
      <c r="AY518" s="307"/>
      <c r="AZ518" s="307"/>
      <c r="BA518" s="307"/>
      <c r="BB518" s="196"/>
      <c r="BC518" s="196"/>
      <c r="BD518" s="212"/>
      <c r="BE518" s="212"/>
      <c r="BF518" s="212"/>
      <c r="BG518" s="212"/>
      <c r="BH518" s="212"/>
      <c r="BI518" s="212"/>
      <c r="BJ518" s="212"/>
      <c r="BK518" s="212"/>
      <c r="BL518" s="212"/>
      <c r="BM518" s="212"/>
      <c r="BN518" s="212"/>
      <c r="BO518" s="212"/>
      <c r="BP518" s="212"/>
      <c r="BQ518" s="212"/>
      <c r="BR518" s="212"/>
      <c r="BS518" s="212"/>
      <c r="BT518" s="212"/>
      <c r="BU518" s="212"/>
      <c r="BV518" s="212"/>
      <c r="BW518" s="212"/>
      <c r="BX518" s="212"/>
      <c r="BY518" s="212"/>
      <c r="BZ518" s="212"/>
      <c r="CA518" s="212"/>
      <c r="CB518" s="212"/>
      <c r="CC518" s="212"/>
      <c r="CD518" s="212"/>
      <c r="CE518" s="212"/>
    </row>
    <row r="519" spans="1:83" x14ac:dyDescent="0.2">
      <c r="A519" s="302"/>
      <c r="B519" s="214"/>
      <c r="C519" s="303"/>
      <c r="D519" s="295"/>
      <c r="E519" s="304"/>
      <c r="F519" s="304"/>
      <c r="G519" s="324"/>
      <c r="H519" s="324"/>
      <c r="I519" s="298"/>
      <c r="J519" s="324"/>
      <c r="K519" s="324"/>
      <c r="L519" s="324"/>
      <c r="M519" s="324"/>
      <c r="N519" s="304"/>
      <c r="O519" s="509"/>
      <c r="P519" s="509"/>
      <c r="Q519" s="509"/>
      <c r="R519" s="509"/>
      <c r="S519" s="509"/>
      <c r="T519" s="509"/>
      <c r="U519" s="509"/>
      <c r="V519" s="509"/>
      <c r="W519" s="509"/>
      <c r="X519" s="509"/>
      <c r="Y519" s="509"/>
      <c r="Z519" s="509"/>
      <c r="AA519" s="509"/>
      <c r="AB519" s="295"/>
      <c r="AC519" s="324"/>
      <c r="AD519" s="304"/>
      <c r="AE519" s="304"/>
      <c r="AF519" s="304"/>
      <c r="AG519" s="304"/>
      <c r="AH519" s="304"/>
      <c r="AI519" s="304"/>
      <c r="AJ519" s="304"/>
      <c r="AK519" s="304"/>
      <c r="AL519" s="304"/>
      <c r="AM519" s="304"/>
      <c r="AN519" s="304"/>
      <c r="AO519" s="304"/>
      <c r="AP519" s="212"/>
      <c r="AQ519" s="212"/>
      <c r="AR519" s="212"/>
      <c r="AS519" s="308"/>
      <c r="AT519" s="308"/>
      <c r="AU519" s="307"/>
      <c r="AV519" s="307"/>
      <c r="AW519" s="307"/>
      <c r="AX519" s="307"/>
      <c r="AY519" s="307"/>
      <c r="AZ519" s="307"/>
      <c r="BA519" s="307"/>
      <c r="BB519" s="196"/>
      <c r="BC519" s="196"/>
      <c r="BD519" s="212"/>
      <c r="BE519" s="212"/>
      <c r="BF519" s="212"/>
      <c r="BG519" s="212"/>
      <c r="BH519" s="212"/>
      <c r="BI519" s="212"/>
      <c r="BJ519" s="212"/>
      <c r="BK519" s="212"/>
      <c r="BL519" s="212"/>
      <c r="BM519" s="212"/>
      <c r="BN519" s="212"/>
      <c r="BO519" s="212"/>
      <c r="BP519" s="212"/>
      <c r="BQ519" s="212"/>
      <c r="BR519" s="212"/>
      <c r="BS519" s="212"/>
      <c r="BT519" s="212"/>
      <c r="BU519" s="212"/>
      <c r="BV519" s="212"/>
      <c r="BW519" s="212"/>
      <c r="BX519" s="212"/>
      <c r="BY519" s="212"/>
      <c r="BZ519" s="212"/>
      <c r="CA519" s="212"/>
      <c r="CB519" s="212"/>
      <c r="CC519" s="212"/>
      <c r="CD519" s="212"/>
      <c r="CE519" s="212"/>
    </row>
    <row r="520" spans="1:83" x14ac:dyDescent="0.2">
      <c r="A520" s="302"/>
      <c r="B520" s="214"/>
      <c r="C520" s="303"/>
      <c r="D520" s="295"/>
      <c r="E520" s="304"/>
      <c r="F520" s="304"/>
      <c r="G520" s="324"/>
      <c r="H520" s="324"/>
      <c r="I520" s="298"/>
      <c r="J520" s="324"/>
      <c r="K520" s="324"/>
      <c r="L520" s="324"/>
      <c r="M520" s="324"/>
      <c r="N520" s="304"/>
      <c r="O520" s="509"/>
      <c r="P520" s="509"/>
      <c r="Q520" s="509"/>
      <c r="R520" s="509"/>
      <c r="S520" s="509"/>
      <c r="T520" s="509"/>
      <c r="U520" s="509"/>
      <c r="V520" s="509"/>
      <c r="W520" s="509"/>
      <c r="X520" s="509"/>
      <c r="Y520" s="509"/>
      <c r="Z520" s="509"/>
      <c r="AA520" s="509"/>
      <c r="AB520" s="324"/>
      <c r="AC520" s="324"/>
      <c r="AD520" s="304"/>
      <c r="AE520" s="304"/>
      <c r="AF520" s="304"/>
      <c r="AG520" s="304"/>
      <c r="AH520" s="304"/>
      <c r="AI520" s="304"/>
      <c r="AJ520" s="304"/>
      <c r="AK520" s="304"/>
      <c r="AL520" s="304"/>
      <c r="AM520" s="304"/>
      <c r="AN520" s="304"/>
      <c r="AO520" s="304"/>
      <c r="AP520" s="212"/>
      <c r="AQ520" s="212"/>
      <c r="AR520" s="212"/>
      <c r="AS520" s="308"/>
      <c r="AT520" s="308"/>
      <c r="AU520" s="307"/>
      <c r="AV520" s="307"/>
      <c r="AW520" s="307"/>
      <c r="AX520" s="307"/>
      <c r="AY520" s="307"/>
      <c r="AZ520" s="307"/>
      <c r="BA520" s="307"/>
      <c r="BB520" s="196"/>
      <c r="BC520" s="196"/>
      <c r="BD520" s="212"/>
      <c r="BE520" s="212"/>
      <c r="BF520" s="212"/>
      <c r="BG520" s="212"/>
      <c r="BH520" s="212"/>
      <c r="BI520" s="212"/>
      <c r="BJ520" s="212"/>
      <c r="BK520" s="212"/>
      <c r="BL520" s="212"/>
      <c r="BM520" s="212"/>
      <c r="BN520" s="212"/>
      <c r="BO520" s="212"/>
      <c r="BP520" s="212"/>
      <c r="BQ520" s="212"/>
      <c r="BR520" s="212"/>
      <c r="BS520" s="212"/>
      <c r="BT520" s="212"/>
      <c r="BU520" s="212"/>
      <c r="BV520" s="212"/>
      <c r="BW520" s="212"/>
      <c r="BX520" s="212"/>
      <c r="BY520" s="212"/>
      <c r="BZ520" s="212"/>
      <c r="CA520" s="212"/>
      <c r="CB520" s="212"/>
      <c r="CC520" s="212"/>
      <c r="CD520" s="212"/>
      <c r="CE520" s="212"/>
    </row>
    <row r="521" spans="1:83" x14ac:dyDescent="0.2">
      <c r="A521" s="302"/>
      <c r="B521" s="214"/>
      <c r="C521" s="303"/>
      <c r="D521" s="295"/>
      <c r="E521" s="304"/>
      <c r="F521" s="304"/>
      <c r="G521" s="324"/>
      <c r="H521" s="324"/>
      <c r="I521" s="298"/>
      <c r="J521" s="324"/>
      <c r="K521" s="324"/>
      <c r="L521" s="324"/>
      <c r="M521" s="324"/>
      <c r="N521" s="304"/>
      <c r="O521" s="509"/>
      <c r="P521" s="509"/>
      <c r="Q521" s="509"/>
      <c r="R521" s="509"/>
      <c r="S521" s="509"/>
      <c r="T521" s="509"/>
      <c r="U521" s="509"/>
      <c r="V521" s="509"/>
      <c r="W521" s="509"/>
      <c r="X521" s="509"/>
      <c r="Y521" s="509"/>
      <c r="Z521" s="509"/>
      <c r="AA521" s="509"/>
      <c r="AB521" s="324"/>
      <c r="AC521" s="324"/>
      <c r="AD521" s="304"/>
      <c r="AE521" s="304"/>
      <c r="AF521" s="304"/>
      <c r="AG521" s="304"/>
      <c r="AH521" s="304"/>
      <c r="AI521" s="304"/>
      <c r="AJ521" s="304"/>
      <c r="AK521" s="304"/>
      <c r="AL521" s="304"/>
      <c r="AM521" s="304"/>
      <c r="AN521" s="304"/>
      <c r="AO521" s="304"/>
      <c r="AP521" s="212"/>
      <c r="AQ521" s="212"/>
      <c r="AR521" s="212"/>
      <c r="AS521" s="308"/>
      <c r="AT521" s="308"/>
      <c r="AU521" s="307"/>
      <c r="AV521" s="307"/>
      <c r="AW521" s="307"/>
      <c r="AX521" s="307"/>
      <c r="AY521" s="307"/>
      <c r="AZ521" s="307"/>
      <c r="BA521" s="307"/>
      <c r="BB521" s="196"/>
      <c r="BC521" s="196"/>
      <c r="BD521" s="212"/>
      <c r="BE521" s="212"/>
      <c r="BF521" s="212"/>
      <c r="BG521" s="212"/>
      <c r="BH521" s="212"/>
      <c r="BI521" s="212"/>
      <c r="BJ521" s="212"/>
      <c r="BK521" s="212"/>
      <c r="BL521" s="212"/>
      <c r="BM521" s="212"/>
      <c r="BN521" s="212"/>
      <c r="BO521" s="212"/>
      <c r="BP521" s="212"/>
      <c r="BQ521" s="212"/>
      <c r="BR521" s="212"/>
      <c r="BS521" s="212"/>
      <c r="BT521" s="212"/>
      <c r="BU521" s="212"/>
      <c r="BV521" s="212"/>
      <c r="BW521" s="212"/>
      <c r="BX521" s="212"/>
      <c r="BY521" s="212"/>
      <c r="BZ521" s="212"/>
      <c r="CA521" s="212"/>
      <c r="CB521" s="212"/>
      <c r="CC521" s="212"/>
      <c r="CD521" s="212"/>
      <c r="CE521" s="212"/>
    </row>
    <row r="522" spans="1:83" x14ac:dyDescent="0.2">
      <c r="A522" s="302"/>
      <c r="B522" s="214"/>
      <c r="C522" s="303"/>
      <c r="D522" s="295"/>
      <c r="E522" s="304"/>
      <c r="F522" s="304"/>
      <c r="G522" s="324"/>
      <c r="H522" s="324"/>
      <c r="I522" s="298"/>
      <c r="J522" s="324"/>
      <c r="K522" s="324"/>
      <c r="L522" s="324"/>
      <c r="M522" s="324"/>
      <c r="N522" s="304"/>
      <c r="O522" s="509"/>
      <c r="P522" s="509"/>
      <c r="Q522" s="509"/>
      <c r="R522" s="509"/>
      <c r="S522" s="509"/>
      <c r="T522" s="509"/>
      <c r="U522" s="509"/>
      <c r="V522" s="509"/>
      <c r="W522" s="509"/>
      <c r="X522" s="509"/>
      <c r="Y522" s="509"/>
      <c r="Z522" s="509"/>
      <c r="AA522" s="509"/>
      <c r="AB522" s="324"/>
      <c r="AC522" s="324"/>
      <c r="AD522" s="304"/>
      <c r="AE522" s="304"/>
      <c r="AF522" s="304"/>
      <c r="AG522" s="304"/>
      <c r="AH522" s="304"/>
      <c r="AI522" s="304"/>
      <c r="AJ522" s="304"/>
      <c r="AK522" s="304"/>
      <c r="AL522" s="304"/>
      <c r="AM522" s="304"/>
      <c r="AN522" s="304"/>
      <c r="AO522" s="304"/>
      <c r="AP522" s="212"/>
      <c r="AQ522" s="212"/>
      <c r="AR522" s="212"/>
      <c r="AS522" s="308"/>
      <c r="AT522" s="308"/>
      <c r="AU522" s="307"/>
      <c r="AV522" s="307"/>
      <c r="AW522" s="307"/>
      <c r="AX522" s="307"/>
      <c r="AY522" s="307"/>
      <c r="AZ522" s="307"/>
      <c r="BA522" s="307"/>
      <c r="BB522" s="196"/>
      <c r="BC522" s="196"/>
      <c r="BD522" s="212"/>
      <c r="BE522" s="212"/>
      <c r="BF522" s="212"/>
      <c r="BG522" s="212"/>
      <c r="BH522" s="212"/>
      <c r="BI522" s="212"/>
      <c r="BJ522" s="212"/>
      <c r="BK522" s="212"/>
      <c r="BL522" s="212"/>
      <c r="BM522" s="212"/>
      <c r="BN522" s="212"/>
      <c r="BO522" s="212"/>
      <c r="BP522" s="212"/>
      <c r="BQ522" s="212"/>
      <c r="BR522" s="212"/>
      <c r="BS522" s="212"/>
      <c r="BT522" s="212"/>
      <c r="BU522" s="212"/>
      <c r="BV522" s="212"/>
      <c r="BW522" s="212"/>
      <c r="BX522" s="212"/>
      <c r="BY522" s="212"/>
      <c r="BZ522" s="212"/>
      <c r="CA522" s="212"/>
      <c r="CB522" s="212"/>
      <c r="CC522" s="212"/>
      <c r="CD522" s="212"/>
      <c r="CE522" s="212"/>
    </row>
    <row r="523" spans="1:83" x14ac:dyDescent="0.2">
      <c r="A523" s="302"/>
      <c r="B523" s="214"/>
      <c r="C523" s="303"/>
      <c r="D523" s="295"/>
      <c r="E523" s="304"/>
      <c r="F523" s="304"/>
      <c r="G523" s="324"/>
      <c r="H523" s="324"/>
      <c r="I523" s="298"/>
      <c r="J523" s="324"/>
      <c r="K523" s="324"/>
      <c r="L523" s="324"/>
      <c r="M523" s="324"/>
      <c r="N523" s="304"/>
      <c r="O523" s="509"/>
      <c r="P523" s="509"/>
      <c r="Q523" s="509"/>
      <c r="R523" s="509"/>
      <c r="S523" s="509"/>
      <c r="T523" s="509"/>
      <c r="U523" s="509"/>
      <c r="V523" s="509"/>
      <c r="W523" s="509"/>
      <c r="X523" s="509"/>
      <c r="Y523" s="509"/>
      <c r="Z523" s="509"/>
      <c r="AA523" s="509"/>
      <c r="AB523" s="324"/>
      <c r="AC523" s="324"/>
      <c r="AD523" s="304"/>
      <c r="AE523" s="304"/>
      <c r="AF523" s="304"/>
      <c r="AG523" s="304"/>
      <c r="AH523" s="304"/>
      <c r="AI523" s="304"/>
      <c r="AJ523" s="304"/>
      <c r="AK523" s="304"/>
      <c r="AL523" s="304"/>
      <c r="AM523" s="304"/>
      <c r="AN523" s="304"/>
      <c r="AO523" s="304"/>
      <c r="AP523" s="212"/>
      <c r="AQ523" s="212"/>
      <c r="AR523" s="212"/>
      <c r="AS523" s="308"/>
      <c r="AT523" s="308"/>
      <c r="AU523" s="307"/>
      <c r="AV523" s="307"/>
      <c r="AW523" s="307"/>
      <c r="AX523" s="307"/>
      <c r="AY523" s="307"/>
      <c r="AZ523" s="307"/>
      <c r="BA523" s="307"/>
      <c r="BB523" s="196"/>
      <c r="BC523" s="196"/>
      <c r="BD523" s="212"/>
      <c r="BE523" s="212"/>
      <c r="BF523" s="212"/>
      <c r="BG523" s="212"/>
      <c r="BH523" s="212"/>
      <c r="BI523" s="212"/>
      <c r="BJ523" s="212"/>
      <c r="BK523" s="212"/>
      <c r="BL523" s="212"/>
      <c r="BM523" s="212"/>
      <c r="BN523" s="212"/>
      <c r="BO523" s="212"/>
      <c r="BP523" s="212"/>
      <c r="BQ523" s="212"/>
      <c r="BR523" s="212"/>
      <c r="BS523" s="212"/>
      <c r="BT523" s="212"/>
      <c r="BU523" s="212"/>
      <c r="BV523" s="212"/>
      <c r="BW523" s="212"/>
      <c r="BX523" s="212"/>
      <c r="BY523" s="212"/>
      <c r="BZ523" s="212"/>
      <c r="CA523" s="212"/>
      <c r="CB523" s="212"/>
      <c r="CC523" s="212"/>
      <c r="CD523" s="212"/>
      <c r="CE523" s="212"/>
    </row>
    <row r="524" spans="1:83" x14ac:dyDescent="0.2">
      <c r="A524" s="302"/>
      <c r="B524" s="214"/>
      <c r="C524" s="303"/>
      <c r="D524" s="295"/>
      <c r="E524" s="304"/>
      <c r="F524" s="304"/>
      <c r="G524" s="324"/>
      <c r="H524" s="324"/>
      <c r="I524" s="298"/>
      <c r="J524" s="324"/>
      <c r="K524" s="324"/>
      <c r="L524" s="324"/>
      <c r="M524" s="324"/>
      <c r="N524" s="304"/>
      <c r="O524" s="509"/>
      <c r="P524" s="509"/>
      <c r="Q524" s="509"/>
      <c r="R524" s="509"/>
      <c r="S524" s="509"/>
      <c r="T524" s="509"/>
      <c r="U524" s="509"/>
      <c r="V524" s="509"/>
      <c r="W524" s="509"/>
      <c r="X524" s="509"/>
      <c r="Y524" s="509"/>
      <c r="Z524" s="509"/>
      <c r="AA524" s="509"/>
      <c r="AB524" s="324"/>
      <c r="AC524" s="324"/>
      <c r="AD524" s="304"/>
      <c r="AE524" s="304"/>
      <c r="AF524" s="304"/>
      <c r="AG524" s="304"/>
      <c r="AH524" s="304"/>
      <c r="AI524" s="304"/>
      <c r="AJ524" s="304"/>
      <c r="AK524" s="304"/>
      <c r="AL524" s="304"/>
      <c r="AM524" s="304"/>
      <c r="AN524" s="304"/>
      <c r="AO524" s="304"/>
      <c r="AP524" s="212"/>
      <c r="AQ524" s="212"/>
      <c r="AR524" s="212"/>
      <c r="AS524" s="308"/>
      <c r="AT524" s="308"/>
      <c r="AU524" s="307"/>
      <c r="AV524" s="307"/>
      <c r="AW524" s="307"/>
      <c r="AX524" s="307"/>
      <c r="AY524" s="307"/>
      <c r="AZ524" s="307"/>
      <c r="BA524" s="307"/>
      <c r="BB524" s="196"/>
      <c r="BC524" s="196"/>
      <c r="BD524" s="212"/>
      <c r="BE524" s="212"/>
      <c r="BF524" s="212"/>
      <c r="BG524" s="212"/>
      <c r="BH524" s="212"/>
      <c r="BI524" s="212"/>
      <c r="BJ524" s="212"/>
      <c r="BK524" s="212"/>
      <c r="BL524" s="212"/>
      <c r="BM524" s="212"/>
      <c r="BN524" s="212"/>
      <c r="BO524" s="212"/>
      <c r="BP524" s="212"/>
      <c r="BQ524" s="212"/>
      <c r="BR524" s="212"/>
      <c r="BS524" s="212"/>
      <c r="BT524" s="212"/>
      <c r="BU524" s="212"/>
      <c r="BV524" s="212"/>
      <c r="BW524" s="212"/>
      <c r="BX524" s="212"/>
      <c r="BY524" s="212"/>
      <c r="BZ524" s="212"/>
      <c r="CA524" s="212"/>
      <c r="CB524" s="212"/>
      <c r="CC524" s="212"/>
      <c r="CD524" s="212"/>
      <c r="CE524" s="212"/>
    </row>
    <row r="525" spans="1:83" x14ac:dyDescent="0.2">
      <c r="A525" s="302"/>
      <c r="B525" s="214"/>
      <c r="C525" s="303"/>
      <c r="D525" s="295"/>
      <c r="E525" s="304"/>
      <c r="F525" s="304"/>
      <c r="G525" s="324"/>
      <c r="H525" s="324"/>
      <c r="I525" s="298"/>
      <c r="J525" s="324"/>
      <c r="K525" s="324"/>
      <c r="L525" s="324"/>
      <c r="M525" s="324"/>
      <c r="N525" s="304"/>
      <c r="O525" s="509"/>
      <c r="P525" s="509"/>
      <c r="Q525" s="509"/>
      <c r="R525" s="509"/>
      <c r="S525" s="509"/>
      <c r="T525" s="509"/>
      <c r="U525" s="509"/>
      <c r="V525" s="509"/>
      <c r="W525" s="509"/>
      <c r="X525" s="509"/>
      <c r="Y525" s="509"/>
      <c r="Z525" s="509"/>
      <c r="AA525" s="509"/>
      <c r="AB525" s="324"/>
      <c r="AC525" s="324"/>
      <c r="AD525" s="304"/>
      <c r="AE525" s="304"/>
      <c r="AF525" s="304"/>
      <c r="AG525" s="304"/>
      <c r="AH525" s="304"/>
      <c r="AI525" s="304"/>
      <c r="AJ525" s="304"/>
      <c r="AK525" s="304"/>
      <c r="AL525" s="304"/>
      <c r="AM525" s="304"/>
      <c r="AN525" s="304"/>
      <c r="AO525" s="304"/>
      <c r="AP525" s="212"/>
      <c r="AQ525" s="212"/>
      <c r="AR525" s="212"/>
      <c r="AS525" s="308"/>
      <c r="AT525" s="308"/>
      <c r="AU525" s="307"/>
      <c r="AV525" s="307"/>
      <c r="AW525" s="307"/>
      <c r="AX525" s="307"/>
      <c r="AY525" s="307"/>
      <c r="AZ525" s="307"/>
      <c r="BA525" s="307"/>
      <c r="BB525" s="196"/>
      <c r="BC525" s="196"/>
      <c r="BD525" s="212"/>
      <c r="BE525" s="212"/>
      <c r="BF525" s="212"/>
      <c r="BG525" s="212"/>
      <c r="BH525" s="212"/>
      <c r="BI525" s="212"/>
      <c r="BJ525" s="212"/>
      <c r="BK525" s="212"/>
      <c r="BL525" s="212"/>
      <c r="BM525" s="212"/>
      <c r="BN525" s="212"/>
      <c r="BO525" s="212"/>
      <c r="BP525" s="212"/>
      <c r="BQ525" s="212"/>
      <c r="BR525" s="212"/>
      <c r="BS525" s="212"/>
      <c r="BT525" s="212"/>
      <c r="BU525" s="212"/>
      <c r="BV525" s="212"/>
      <c r="BW525" s="212"/>
      <c r="BX525" s="212"/>
      <c r="BY525" s="212"/>
      <c r="BZ525" s="212"/>
      <c r="CA525" s="212"/>
      <c r="CB525" s="212"/>
      <c r="CC525" s="212"/>
      <c r="CD525" s="212"/>
      <c r="CE525" s="212"/>
    </row>
    <row r="526" spans="1:83" x14ac:dyDescent="0.2">
      <c r="A526" s="302"/>
      <c r="B526" s="214"/>
      <c r="C526" s="303"/>
      <c r="D526" s="295"/>
      <c r="E526" s="304"/>
      <c r="F526" s="304"/>
      <c r="G526" s="324"/>
      <c r="H526" s="324"/>
      <c r="I526" s="298"/>
      <c r="J526" s="324"/>
      <c r="K526" s="324"/>
      <c r="L526" s="324"/>
      <c r="M526" s="324"/>
      <c r="N526" s="304"/>
      <c r="O526" s="509"/>
      <c r="P526" s="509"/>
      <c r="Q526" s="509"/>
      <c r="R526" s="509"/>
      <c r="S526" s="509"/>
      <c r="T526" s="509"/>
      <c r="U526" s="509"/>
      <c r="V526" s="509"/>
      <c r="W526" s="509"/>
      <c r="X526" s="509"/>
      <c r="Y526" s="509"/>
      <c r="Z526" s="509"/>
      <c r="AA526" s="509"/>
      <c r="AB526" s="324"/>
      <c r="AC526" s="324"/>
      <c r="AD526" s="304"/>
      <c r="AE526" s="304"/>
      <c r="AF526" s="304"/>
      <c r="AG526" s="304"/>
      <c r="AH526" s="304"/>
      <c r="AI526" s="304"/>
      <c r="AJ526" s="304"/>
      <c r="AK526" s="304"/>
      <c r="AL526" s="304"/>
      <c r="AM526" s="304"/>
      <c r="AN526" s="304"/>
      <c r="AO526" s="304"/>
      <c r="AP526" s="212"/>
      <c r="AQ526" s="212"/>
      <c r="AR526" s="212"/>
      <c r="AS526" s="308"/>
      <c r="AT526" s="308"/>
      <c r="AU526" s="307"/>
      <c r="AV526" s="307"/>
      <c r="AW526" s="307"/>
      <c r="AX526" s="307"/>
      <c r="AY526" s="307"/>
      <c r="AZ526" s="307"/>
      <c r="BA526" s="307"/>
      <c r="BB526" s="196"/>
      <c r="BC526" s="196"/>
      <c r="BD526" s="212"/>
      <c r="BE526" s="212"/>
      <c r="BF526" s="212"/>
      <c r="BG526" s="212"/>
      <c r="BH526" s="212"/>
      <c r="BI526" s="212"/>
      <c r="BJ526" s="212"/>
      <c r="BK526" s="212"/>
      <c r="BL526" s="212"/>
      <c r="BM526" s="212"/>
      <c r="BN526" s="212"/>
      <c r="BO526" s="212"/>
      <c r="BP526" s="212"/>
      <c r="BQ526" s="212"/>
      <c r="BR526" s="212"/>
      <c r="BS526" s="212"/>
      <c r="BT526" s="212"/>
      <c r="BU526" s="212"/>
      <c r="BV526" s="212"/>
      <c r="BW526" s="212"/>
      <c r="BX526" s="212"/>
      <c r="BY526" s="212"/>
      <c r="BZ526" s="212"/>
      <c r="CA526" s="212"/>
      <c r="CB526" s="212"/>
      <c r="CC526" s="212"/>
      <c r="CD526" s="212"/>
      <c r="CE526" s="212"/>
    </row>
    <row r="527" spans="1:83" x14ac:dyDescent="0.2">
      <c r="A527" s="302"/>
      <c r="B527" s="214"/>
      <c r="C527" s="303"/>
      <c r="D527" s="295"/>
      <c r="E527" s="304"/>
      <c r="F527" s="304"/>
      <c r="G527" s="324"/>
      <c r="H527" s="324"/>
      <c r="I527" s="298"/>
      <c r="J527" s="324"/>
      <c r="K527" s="324"/>
      <c r="L527" s="324"/>
      <c r="M527" s="324"/>
      <c r="N527" s="304"/>
      <c r="O527" s="509"/>
      <c r="P527" s="509"/>
      <c r="Q527" s="509"/>
      <c r="R527" s="509"/>
      <c r="S527" s="509"/>
      <c r="T527" s="509"/>
      <c r="U527" s="509"/>
      <c r="V527" s="509"/>
      <c r="W527" s="509"/>
      <c r="X527" s="509"/>
      <c r="Y527" s="509"/>
      <c r="Z527" s="509"/>
      <c r="AA527" s="509"/>
      <c r="AB527" s="324"/>
      <c r="AC527" s="324"/>
      <c r="AD527" s="304"/>
      <c r="AE527" s="304"/>
      <c r="AF527" s="304"/>
      <c r="AG527" s="304"/>
      <c r="AH527" s="304"/>
      <c r="AI527" s="304"/>
      <c r="AJ527" s="304"/>
      <c r="AK527" s="304"/>
      <c r="AL527" s="304"/>
      <c r="AM527" s="304"/>
      <c r="AN527" s="304"/>
      <c r="AO527" s="304"/>
      <c r="AP527" s="212"/>
      <c r="AQ527" s="212"/>
      <c r="AR527" s="212"/>
      <c r="AS527" s="308"/>
      <c r="AT527" s="308"/>
      <c r="AU527" s="307"/>
      <c r="AV527" s="307"/>
      <c r="AW527" s="307"/>
      <c r="AX527" s="307"/>
      <c r="AY527" s="307"/>
      <c r="AZ527" s="307"/>
      <c r="BA527" s="307"/>
      <c r="BB527" s="196"/>
      <c r="BC527" s="196"/>
      <c r="BD527" s="212"/>
      <c r="BE527" s="212"/>
      <c r="BF527" s="212"/>
      <c r="BG527" s="212"/>
      <c r="BH527" s="212"/>
      <c r="BI527" s="212"/>
      <c r="BJ527" s="212"/>
      <c r="BK527" s="212"/>
      <c r="BL527" s="212"/>
      <c r="BM527" s="212"/>
      <c r="BN527" s="212"/>
      <c r="BO527" s="212"/>
      <c r="BP527" s="212"/>
      <c r="BQ527" s="212"/>
      <c r="BR527" s="212"/>
      <c r="BS527" s="212"/>
      <c r="BT527" s="212"/>
      <c r="BU527" s="212"/>
      <c r="BV527" s="212"/>
      <c r="BW527" s="212"/>
      <c r="BX527" s="212"/>
      <c r="BY527" s="212"/>
      <c r="BZ527" s="212"/>
      <c r="CA527" s="212"/>
      <c r="CB527" s="212"/>
      <c r="CC527" s="212"/>
      <c r="CD527" s="212"/>
      <c r="CE527" s="212"/>
    </row>
    <row r="528" spans="1:83" x14ac:dyDescent="0.2">
      <c r="A528" s="302"/>
      <c r="B528" s="214"/>
      <c r="C528" s="303"/>
      <c r="D528" s="295"/>
      <c r="E528" s="304"/>
      <c r="F528" s="304"/>
      <c r="G528" s="324"/>
      <c r="H528" s="324"/>
      <c r="I528" s="298"/>
      <c r="J528" s="324"/>
      <c r="K528" s="324"/>
      <c r="L528" s="324"/>
      <c r="M528" s="324"/>
      <c r="N528" s="304"/>
      <c r="O528" s="509"/>
      <c r="P528" s="509"/>
      <c r="Q528" s="509"/>
      <c r="R528" s="509"/>
      <c r="S528" s="509"/>
      <c r="T528" s="509"/>
      <c r="U528" s="509"/>
      <c r="V528" s="509"/>
      <c r="W528" s="509"/>
      <c r="X528" s="509"/>
      <c r="Y528" s="509"/>
      <c r="Z528" s="509"/>
      <c r="AA528" s="509"/>
      <c r="AB528" s="324"/>
      <c r="AC528" s="324"/>
      <c r="AD528" s="304"/>
      <c r="AE528" s="304"/>
      <c r="AF528" s="304"/>
      <c r="AG528" s="304"/>
      <c r="AH528" s="304"/>
      <c r="AI528" s="304"/>
      <c r="AJ528" s="304"/>
      <c r="AK528" s="304"/>
      <c r="AL528" s="304"/>
      <c r="AM528" s="304"/>
      <c r="AN528" s="304"/>
      <c r="AO528" s="304"/>
      <c r="AP528" s="212"/>
      <c r="AQ528" s="212"/>
      <c r="AR528" s="212"/>
      <c r="AS528" s="308"/>
      <c r="AT528" s="308"/>
      <c r="AU528" s="307"/>
      <c r="AV528" s="307"/>
      <c r="AW528" s="307"/>
      <c r="AX528" s="307"/>
      <c r="AY528" s="307"/>
      <c r="AZ528" s="307"/>
      <c r="BA528" s="307"/>
      <c r="BB528" s="196"/>
      <c r="BC528" s="196"/>
      <c r="BD528" s="212"/>
      <c r="BE528" s="212"/>
      <c r="BF528" s="212"/>
      <c r="BG528" s="212"/>
      <c r="BH528" s="212"/>
      <c r="BI528" s="212"/>
      <c r="BJ528" s="212"/>
      <c r="BK528" s="212"/>
      <c r="BL528" s="212"/>
      <c r="BM528" s="212"/>
      <c r="BN528" s="212"/>
      <c r="BO528" s="212"/>
      <c r="BP528" s="212"/>
      <c r="BQ528" s="212"/>
      <c r="BR528" s="212"/>
      <c r="BS528" s="212"/>
      <c r="BT528" s="212"/>
      <c r="BU528" s="212"/>
      <c r="BV528" s="212"/>
      <c r="BW528" s="212"/>
      <c r="BX528" s="212"/>
      <c r="BY528" s="212"/>
      <c r="BZ528" s="212"/>
      <c r="CA528" s="212"/>
      <c r="CB528" s="212"/>
      <c r="CC528" s="212"/>
      <c r="CD528" s="212"/>
      <c r="CE528" s="212"/>
    </row>
    <row r="529" spans="1:83" x14ac:dyDescent="0.2">
      <c r="A529" s="302"/>
      <c r="B529" s="214"/>
      <c r="C529" s="303"/>
      <c r="D529" s="295"/>
      <c r="E529" s="304"/>
      <c r="F529" s="304"/>
      <c r="G529" s="324"/>
      <c r="H529" s="324"/>
      <c r="I529" s="298"/>
      <c r="J529" s="324"/>
      <c r="K529" s="324"/>
      <c r="L529" s="324"/>
      <c r="M529" s="324"/>
      <c r="N529" s="304"/>
      <c r="O529" s="509"/>
      <c r="P529" s="509"/>
      <c r="Q529" s="509"/>
      <c r="R529" s="509"/>
      <c r="S529" s="509"/>
      <c r="T529" s="509"/>
      <c r="U529" s="509"/>
      <c r="V529" s="509"/>
      <c r="W529" s="509"/>
      <c r="X529" s="509"/>
      <c r="Y529" s="509"/>
      <c r="Z529" s="509"/>
      <c r="AA529" s="509"/>
      <c r="AB529" s="324"/>
      <c r="AC529" s="324"/>
      <c r="AD529" s="304"/>
      <c r="AE529" s="304"/>
      <c r="AF529" s="304"/>
      <c r="AG529" s="304"/>
      <c r="AH529" s="304"/>
      <c r="AI529" s="304"/>
      <c r="AJ529" s="304"/>
      <c r="AK529" s="304"/>
      <c r="AL529" s="304"/>
      <c r="AM529" s="304"/>
      <c r="AN529" s="304"/>
      <c r="AO529" s="304"/>
      <c r="AP529" s="212"/>
      <c r="AQ529" s="212"/>
      <c r="AR529" s="212"/>
      <c r="AS529" s="308"/>
      <c r="AT529" s="308"/>
      <c r="AU529" s="307"/>
      <c r="AV529" s="307"/>
      <c r="AW529" s="307"/>
      <c r="AX529" s="307"/>
      <c r="AY529" s="307"/>
      <c r="AZ529" s="307"/>
      <c r="BA529" s="307"/>
      <c r="BB529" s="196"/>
      <c r="BC529" s="196"/>
      <c r="BD529" s="212"/>
      <c r="BE529" s="212"/>
      <c r="BF529" s="212"/>
      <c r="BG529" s="212"/>
      <c r="BH529" s="212"/>
      <c r="BI529" s="212"/>
      <c r="BJ529" s="212"/>
      <c r="BK529" s="212"/>
      <c r="BL529" s="212"/>
      <c r="BM529" s="212"/>
      <c r="BN529" s="212"/>
      <c r="BO529" s="212"/>
      <c r="BP529" s="212"/>
      <c r="BQ529" s="212"/>
      <c r="BR529" s="212"/>
      <c r="BS529" s="212"/>
      <c r="BT529" s="212"/>
      <c r="BU529" s="212"/>
      <c r="BV529" s="212"/>
      <c r="BW529" s="212"/>
      <c r="BX529" s="212"/>
      <c r="BY529" s="212"/>
      <c r="BZ529" s="212"/>
      <c r="CA529" s="212"/>
      <c r="CB529" s="212"/>
      <c r="CC529" s="212"/>
      <c r="CD529" s="212"/>
      <c r="CE529" s="212"/>
    </row>
    <row r="530" spans="1:83" x14ac:dyDescent="0.2">
      <c r="A530" s="302"/>
      <c r="B530" s="214"/>
      <c r="C530" s="303"/>
      <c r="D530" s="295"/>
      <c r="E530" s="304"/>
      <c r="F530" s="304"/>
      <c r="G530" s="324"/>
      <c r="H530" s="324"/>
      <c r="I530" s="298"/>
      <c r="J530" s="324"/>
      <c r="K530" s="324"/>
      <c r="L530" s="324"/>
      <c r="M530" s="324"/>
      <c r="N530" s="304"/>
      <c r="O530" s="509"/>
      <c r="P530" s="509"/>
      <c r="Q530" s="509"/>
      <c r="R530" s="509"/>
      <c r="S530" s="509"/>
      <c r="T530" s="509"/>
      <c r="U530" s="509"/>
      <c r="V530" s="509"/>
      <c r="W530" s="509"/>
      <c r="X530" s="509"/>
      <c r="Y530" s="509"/>
      <c r="Z530" s="509"/>
      <c r="AA530" s="509"/>
      <c r="AB530" s="324"/>
      <c r="AC530" s="324"/>
      <c r="AD530" s="304"/>
      <c r="AE530" s="304"/>
      <c r="AF530" s="304"/>
      <c r="AG530" s="304"/>
      <c r="AH530" s="304"/>
      <c r="AI530" s="304"/>
      <c r="AJ530" s="304"/>
      <c r="AK530" s="304"/>
      <c r="AL530" s="304"/>
      <c r="AM530" s="304"/>
      <c r="AN530" s="304"/>
      <c r="AO530" s="304"/>
      <c r="AP530" s="212"/>
      <c r="AQ530" s="212"/>
      <c r="AR530" s="212"/>
      <c r="AS530" s="308"/>
      <c r="AT530" s="308"/>
      <c r="AU530" s="307"/>
      <c r="AV530" s="307"/>
      <c r="AW530" s="307"/>
      <c r="AX530" s="307"/>
      <c r="AY530" s="307"/>
      <c r="AZ530" s="307"/>
      <c r="BA530" s="307"/>
      <c r="BB530" s="196"/>
      <c r="BC530" s="196"/>
      <c r="BD530" s="212"/>
      <c r="BE530" s="212"/>
      <c r="BF530" s="212"/>
      <c r="BG530" s="212"/>
      <c r="BH530" s="212"/>
      <c r="BI530" s="212"/>
      <c r="BJ530" s="212"/>
      <c r="BK530" s="212"/>
      <c r="BL530" s="212"/>
      <c r="BM530" s="212"/>
      <c r="BN530" s="212"/>
      <c r="BO530" s="212"/>
      <c r="BP530" s="212"/>
      <c r="BQ530" s="212"/>
      <c r="BR530" s="212"/>
      <c r="BS530" s="212"/>
      <c r="BT530" s="212"/>
      <c r="BU530" s="212"/>
      <c r="BV530" s="212"/>
      <c r="BW530" s="212"/>
      <c r="BX530" s="212"/>
      <c r="BY530" s="212"/>
      <c r="BZ530" s="212"/>
      <c r="CA530" s="212"/>
      <c r="CB530" s="212"/>
      <c r="CC530" s="212"/>
      <c r="CD530" s="212"/>
      <c r="CE530" s="212"/>
    </row>
    <row r="531" spans="1:83" x14ac:dyDescent="0.2">
      <c r="A531" s="302"/>
      <c r="B531" s="214"/>
      <c r="C531" s="303"/>
      <c r="D531" s="295"/>
      <c r="E531" s="304"/>
      <c r="F531" s="304"/>
      <c r="G531" s="324"/>
      <c r="H531" s="324"/>
      <c r="I531" s="298"/>
      <c r="J531" s="324"/>
      <c r="K531" s="324"/>
      <c r="L531" s="324"/>
      <c r="M531" s="324"/>
      <c r="N531" s="304"/>
      <c r="O531" s="509"/>
      <c r="P531" s="509"/>
      <c r="Q531" s="509"/>
      <c r="R531" s="509"/>
      <c r="S531" s="509"/>
      <c r="T531" s="509"/>
      <c r="U531" s="509"/>
      <c r="V531" s="509"/>
      <c r="W531" s="509"/>
      <c r="X531" s="509"/>
      <c r="Y531" s="509"/>
      <c r="Z531" s="509"/>
      <c r="AA531" s="509"/>
      <c r="AB531" s="324"/>
      <c r="AC531" s="324"/>
      <c r="AD531" s="304"/>
      <c r="AE531" s="304"/>
      <c r="AF531" s="304"/>
      <c r="AG531" s="304"/>
      <c r="AH531" s="304"/>
      <c r="AI531" s="304"/>
      <c r="AJ531" s="304"/>
      <c r="AK531" s="304"/>
      <c r="AL531" s="304"/>
      <c r="AM531" s="304"/>
      <c r="AN531" s="304"/>
      <c r="AO531" s="304"/>
      <c r="AP531" s="212"/>
      <c r="AQ531" s="212"/>
      <c r="AR531" s="212"/>
      <c r="AS531" s="308"/>
      <c r="AT531" s="308"/>
      <c r="AU531" s="307"/>
      <c r="AV531" s="307"/>
      <c r="AW531" s="307"/>
      <c r="AX531" s="307"/>
      <c r="AY531" s="307"/>
      <c r="AZ531" s="307"/>
      <c r="BA531" s="307"/>
      <c r="BB531" s="196"/>
      <c r="BC531" s="196"/>
      <c r="BD531" s="212"/>
      <c r="BE531" s="212"/>
      <c r="BF531" s="212"/>
      <c r="BG531" s="212"/>
      <c r="BH531" s="212"/>
      <c r="BI531" s="212"/>
      <c r="BJ531" s="212"/>
      <c r="BK531" s="212"/>
      <c r="BL531" s="212"/>
      <c r="BM531" s="212"/>
      <c r="BN531" s="212"/>
      <c r="BO531" s="212"/>
      <c r="BP531" s="212"/>
      <c r="BQ531" s="212"/>
      <c r="BR531" s="212"/>
      <c r="BS531" s="212"/>
      <c r="BT531" s="212"/>
      <c r="BU531" s="212"/>
      <c r="BV531" s="212"/>
      <c r="BW531" s="212"/>
      <c r="BX531" s="212"/>
      <c r="BY531" s="212"/>
      <c r="BZ531" s="212"/>
      <c r="CA531" s="212"/>
      <c r="CB531" s="212"/>
      <c r="CC531" s="212"/>
      <c r="CD531" s="212"/>
      <c r="CE531" s="212"/>
    </row>
    <row r="532" spans="1:83" x14ac:dyDescent="0.2">
      <c r="A532" s="302"/>
      <c r="B532" s="214"/>
      <c r="C532" s="303"/>
      <c r="D532" s="295"/>
      <c r="E532" s="304"/>
      <c r="F532" s="304"/>
      <c r="G532" s="324"/>
      <c r="H532" s="324"/>
      <c r="I532" s="298"/>
      <c r="J532" s="324"/>
      <c r="K532" s="324"/>
      <c r="L532" s="324"/>
      <c r="M532" s="324"/>
      <c r="N532" s="304"/>
      <c r="O532" s="509"/>
      <c r="P532" s="509"/>
      <c r="Q532" s="509"/>
      <c r="R532" s="509"/>
      <c r="S532" s="509"/>
      <c r="T532" s="509"/>
      <c r="U532" s="509"/>
      <c r="V532" s="509"/>
      <c r="W532" s="509"/>
      <c r="X532" s="509"/>
      <c r="Y532" s="509"/>
      <c r="Z532" s="509"/>
      <c r="AA532" s="509"/>
      <c r="AB532" s="324"/>
      <c r="AC532" s="324"/>
      <c r="AD532" s="304"/>
      <c r="AE532" s="304"/>
      <c r="AF532" s="304"/>
      <c r="AG532" s="304"/>
      <c r="AH532" s="304"/>
      <c r="AI532" s="304"/>
      <c r="AJ532" s="304"/>
      <c r="AK532" s="304"/>
      <c r="AL532" s="304"/>
      <c r="AM532" s="304"/>
      <c r="AN532" s="304"/>
      <c r="AO532" s="304"/>
      <c r="AP532" s="212"/>
      <c r="AQ532" s="212"/>
      <c r="AR532" s="212"/>
      <c r="AS532" s="308"/>
      <c r="AT532" s="308"/>
      <c r="AU532" s="307"/>
      <c r="AV532" s="307"/>
      <c r="AW532" s="307"/>
      <c r="AX532" s="307"/>
      <c r="AY532" s="307"/>
      <c r="AZ532" s="307"/>
      <c r="BA532" s="307"/>
      <c r="BB532" s="196"/>
      <c r="BC532" s="196"/>
      <c r="BD532" s="212"/>
      <c r="BE532" s="212"/>
      <c r="BF532" s="212"/>
      <c r="BG532" s="212"/>
      <c r="BH532" s="212"/>
      <c r="BI532" s="212"/>
      <c r="BJ532" s="212"/>
      <c r="BK532" s="212"/>
      <c r="BL532" s="212"/>
      <c r="BM532" s="212"/>
      <c r="BN532" s="212"/>
      <c r="BO532" s="212"/>
      <c r="BP532" s="212"/>
      <c r="BQ532" s="212"/>
      <c r="BR532" s="212"/>
      <c r="BS532" s="212"/>
      <c r="BT532" s="212"/>
      <c r="BU532" s="212"/>
      <c r="BV532" s="212"/>
      <c r="BW532" s="212"/>
      <c r="BX532" s="212"/>
      <c r="BY532" s="212"/>
      <c r="BZ532" s="212"/>
      <c r="CA532" s="212"/>
      <c r="CB532" s="212"/>
      <c r="CC532" s="212"/>
      <c r="CD532" s="212"/>
      <c r="CE532" s="212"/>
    </row>
    <row r="533" spans="1:83" x14ac:dyDescent="0.2">
      <c r="A533" s="302"/>
      <c r="B533" s="214"/>
      <c r="C533" s="303"/>
      <c r="D533" s="295"/>
      <c r="E533" s="304"/>
      <c r="F533" s="304"/>
      <c r="G533" s="324"/>
      <c r="H533" s="324"/>
      <c r="I533" s="298"/>
      <c r="J533" s="324"/>
      <c r="K533" s="324"/>
      <c r="L533" s="324"/>
      <c r="M533" s="324"/>
      <c r="N533" s="304"/>
      <c r="O533" s="509"/>
      <c r="P533" s="509"/>
      <c r="Q533" s="509"/>
      <c r="R533" s="509"/>
      <c r="S533" s="509"/>
      <c r="T533" s="509"/>
      <c r="U533" s="509"/>
      <c r="V533" s="509"/>
      <c r="W533" s="509"/>
      <c r="X533" s="509"/>
      <c r="Y533" s="509"/>
      <c r="Z533" s="509"/>
      <c r="AA533" s="509"/>
      <c r="AB533" s="324"/>
      <c r="AC533" s="324"/>
      <c r="AD533" s="304"/>
      <c r="AE533" s="304"/>
      <c r="AF533" s="304"/>
      <c r="AG533" s="304"/>
      <c r="AH533" s="304"/>
      <c r="AI533" s="304"/>
      <c r="AJ533" s="304"/>
      <c r="AK533" s="304"/>
      <c r="AL533" s="304"/>
      <c r="AM533" s="304"/>
      <c r="AN533" s="304"/>
      <c r="AO533" s="304"/>
      <c r="AP533" s="212"/>
      <c r="AQ533" s="212"/>
      <c r="AR533" s="212"/>
      <c r="AS533" s="308"/>
      <c r="AT533" s="308"/>
      <c r="AU533" s="307"/>
      <c r="AV533" s="307"/>
      <c r="AW533" s="307"/>
      <c r="AX533" s="307"/>
      <c r="AY533" s="307"/>
      <c r="AZ533" s="307"/>
      <c r="BA533" s="307"/>
      <c r="BB533" s="196"/>
      <c r="BC533" s="196"/>
      <c r="BD533" s="212"/>
      <c r="BE533" s="212"/>
      <c r="BF533" s="212"/>
      <c r="BG533" s="212"/>
      <c r="BH533" s="212"/>
      <c r="BI533" s="212"/>
      <c r="BJ533" s="212"/>
      <c r="BK533" s="212"/>
      <c r="BL533" s="212"/>
      <c r="BM533" s="212"/>
      <c r="BN533" s="212"/>
      <c r="BO533" s="212"/>
      <c r="BP533" s="212"/>
      <c r="BQ533" s="212"/>
      <c r="BR533" s="212"/>
      <c r="BS533" s="212"/>
      <c r="BT533" s="212"/>
      <c r="BU533" s="212"/>
      <c r="BV533" s="212"/>
      <c r="BW533" s="212"/>
      <c r="BX533" s="212"/>
      <c r="BY533" s="212"/>
      <c r="BZ533" s="212"/>
      <c r="CA533" s="212"/>
      <c r="CB533" s="212"/>
      <c r="CC533" s="212"/>
      <c r="CD533" s="212"/>
      <c r="CE533" s="212"/>
    </row>
    <row r="534" spans="1:83" x14ac:dyDescent="0.2">
      <c r="A534" s="302"/>
      <c r="B534" s="214"/>
      <c r="C534" s="303"/>
      <c r="D534" s="295"/>
      <c r="E534" s="304"/>
      <c r="F534" s="304"/>
      <c r="G534" s="324"/>
      <c r="H534" s="324"/>
      <c r="I534" s="298"/>
      <c r="J534" s="324"/>
      <c r="K534" s="324"/>
      <c r="L534" s="324"/>
      <c r="M534" s="324"/>
      <c r="N534" s="304"/>
      <c r="O534" s="509"/>
      <c r="P534" s="509"/>
      <c r="Q534" s="509"/>
      <c r="R534" s="509"/>
      <c r="S534" s="509"/>
      <c r="T534" s="509"/>
      <c r="U534" s="509"/>
      <c r="V534" s="509"/>
      <c r="W534" s="509"/>
      <c r="X534" s="509"/>
      <c r="Y534" s="509"/>
      <c r="Z534" s="509"/>
      <c r="AA534" s="509"/>
      <c r="AB534" s="324"/>
      <c r="AC534" s="324"/>
      <c r="AD534" s="304"/>
      <c r="AE534" s="304"/>
      <c r="AF534" s="304"/>
      <c r="AG534" s="304"/>
      <c r="AH534" s="304"/>
      <c r="AI534" s="304"/>
      <c r="AJ534" s="304"/>
      <c r="AK534" s="304"/>
      <c r="AL534" s="304"/>
      <c r="AM534" s="304"/>
      <c r="AN534" s="304"/>
      <c r="AO534" s="304"/>
      <c r="AP534" s="212"/>
      <c r="AQ534" s="212"/>
      <c r="AR534" s="212"/>
      <c r="AS534" s="308"/>
      <c r="AT534" s="308"/>
      <c r="AU534" s="307"/>
      <c r="AV534" s="307"/>
      <c r="AW534" s="307"/>
      <c r="AX534" s="307"/>
      <c r="AY534" s="307"/>
      <c r="AZ534" s="307"/>
      <c r="BA534" s="307"/>
      <c r="BB534" s="196"/>
      <c r="BC534" s="196"/>
      <c r="BD534" s="212"/>
      <c r="BE534" s="212"/>
      <c r="BF534" s="212"/>
      <c r="BG534" s="212"/>
      <c r="BH534" s="212"/>
      <c r="BI534" s="212"/>
      <c r="BJ534" s="212"/>
      <c r="BK534" s="212"/>
      <c r="BL534" s="212"/>
      <c r="BM534" s="212"/>
      <c r="BN534" s="212"/>
      <c r="BO534" s="212"/>
      <c r="BP534" s="212"/>
      <c r="BQ534" s="212"/>
      <c r="BR534" s="212"/>
      <c r="BS534" s="212"/>
      <c r="BT534" s="212"/>
      <c r="BU534" s="212"/>
      <c r="BV534" s="212"/>
      <c r="BW534" s="212"/>
      <c r="BX534" s="212"/>
      <c r="BY534" s="212"/>
      <c r="BZ534" s="212"/>
      <c r="CA534" s="212"/>
      <c r="CB534" s="212"/>
      <c r="CC534" s="212"/>
      <c r="CD534" s="212"/>
      <c r="CE534" s="212"/>
    </row>
    <row r="535" spans="1:83" x14ac:dyDescent="0.2">
      <c r="A535" s="302"/>
      <c r="B535" s="214"/>
      <c r="C535" s="303"/>
      <c r="D535" s="295"/>
      <c r="E535" s="304"/>
      <c r="F535" s="304"/>
      <c r="G535" s="324"/>
      <c r="H535" s="324"/>
      <c r="I535" s="298"/>
      <c r="J535" s="324"/>
      <c r="K535" s="324"/>
      <c r="L535" s="324"/>
      <c r="M535" s="324"/>
      <c r="N535" s="304"/>
      <c r="O535" s="509"/>
      <c r="P535" s="509"/>
      <c r="Q535" s="509"/>
      <c r="R535" s="509"/>
      <c r="S535" s="509"/>
      <c r="T535" s="509"/>
      <c r="U535" s="509"/>
      <c r="V535" s="509"/>
      <c r="W535" s="509"/>
      <c r="X535" s="509"/>
      <c r="Y535" s="509"/>
      <c r="Z535" s="509"/>
      <c r="AA535" s="509"/>
      <c r="AB535" s="324"/>
      <c r="AC535" s="324"/>
      <c r="AD535" s="304"/>
      <c r="AE535" s="304"/>
      <c r="AF535" s="304"/>
      <c r="AG535" s="304"/>
      <c r="AH535" s="304"/>
      <c r="AI535" s="304"/>
      <c r="AJ535" s="304"/>
      <c r="AK535" s="304"/>
      <c r="AL535" s="304"/>
      <c r="AM535" s="304"/>
      <c r="AN535" s="304"/>
      <c r="AO535" s="304"/>
      <c r="AP535" s="212"/>
      <c r="AQ535" s="212"/>
      <c r="AR535" s="212"/>
      <c r="AS535" s="308"/>
      <c r="AT535" s="308"/>
      <c r="AU535" s="307"/>
      <c r="AV535" s="307"/>
      <c r="AW535" s="307"/>
      <c r="AX535" s="307"/>
      <c r="AY535" s="307"/>
      <c r="AZ535" s="307"/>
      <c r="BA535" s="307"/>
      <c r="BB535" s="196"/>
      <c r="BC535" s="196"/>
      <c r="BD535" s="212"/>
      <c r="BE535" s="212"/>
      <c r="BF535" s="212"/>
      <c r="BG535" s="212"/>
      <c r="BH535" s="212"/>
      <c r="BI535" s="212"/>
      <c r="BJ535" s="212"/>
      <c r="BK535" s="212"/>
      <c r="BL535" s="212"/>
      <c r="BM535" s="212"/>
      <c r="BN535" s="212"/>
      <c r="BO535" s="212"/>
      <c r="BP535" s="212"/>
      <c r="BQ535" s="212"/>
      <c r="BR535" s="212"/>
      <c r="BS535" s="212"/>
      <c r="BT535" s="212"/>
      <c r="BU535" s="212"/>
      <c r="BV535" s="212"/>
      <c r="BW535" s="212"/>
      <c r="BX535" s="212"/>
      <c r="BY535" s="212"/>
      <c r="BZ535" s="212"/>
      <c r="CA535" s="212"/>
      <c r="CB535" s="212"/>
      <c r="CC535" s="212"/>
      <c r="CD535" s="212"/>
      <c r="CE535" s="212"/>
    </row>
    <row r="536" spans="1:83" x14ac:dyDescent="0.2">
      <c r="A536" s="302"/>
      <c r="B536" s="214"/>
      <c r="C536" s="303"/>
      <c r="D536" s="295"/>
      <c r="E536" s="304"/>
      <c r="F536" s="304"/>
      <c r="G536" s="324"/>
      <c r="H536" s="324"/>
      <c r="I536" s="298"/>
      <c r="J536" s="324"/>
      <c r="K536" s="324"/>
      <c r="L536" s="324"/>
      <c r="M536" s="324"/>
      <c r="N536" s="304"/>
      <c r="O536" s="509"/>
      <c r="P536" s="509"/>
      <c r="Q536" s="509"/>
      <c r="R536" s="509"/>
      <c r="S536" s="509"/>
      <c r="T536" s="509"/>
      <c r="U536" s="509"/>
      <c r="V536" s="509"/>
      <c r="W536" s="509"/>
      <c r="X536" s="509"/>
      <c r="Y536" s="509"/>
      <c r="Z536" s="509"/>
      <c r="AA536" s="509"/>
      <c r="AB536" s="324"/>
      <c r="AC536" s="324"/>
      <c r="AD536" s="304"/>
      <c r="AE536" s="304"/>
      <c r="AF536" s="304"/>
      <c r="AG536" s="304"/>
      <c r="AH536" s="304"/>
      <c r="AI536" s="304"/>
      <c r="AJ536" s="304"/>
      <c r="AK536" s="304"/>
      <c r="AL536" s="304"/>
      <c r="AM536" s="304"/>
      <c r="AN536" s="304"/>
      <c r="AO536" s="304"/>
      <c r="AP536" s="212"/>
      <c r="AQ536" s="212"/>
      <c r="AR536" s="212"/>
      <c r="AS536" s="308"/>
      <c r="AT536" s="308"/>
      <c r="AU536" s="307"/>
      <c r="AV536" s="307"/>
      <c r="AW536" s="307"/>
      <c r="AX536" s="307"/>
      <c r="AY536" s="307"/>
      <c r="AZ536" s="307"/>
      <c r="BA536" s="307"/>
      <c r="BB536" s="196"/>
      <c r="BC536" s="196"/>
      <c r="BD536" s="212"/>
      <c r="BE536" s="212"/>
      <c r="BF536" s="212"/>
      <c r="BG536" s="212"/>
      <c r="BH536" s="212"/>
      <c r="BI536" s="212"/>
      <c r="BJ536" s="212"/>
      <c r="BK536" s="212"/>
      <c r="BL536" s="212"/>
      <c r="BM536" s="212"/>
      <c r="BN536" s="212"/>
      <c r="BO536" s="212"/>
      <c r="BP536" s="212"/>
      <c r="BQ536" s="212"/>
      <c r="BR536" s="212"/>
      <c r="BS536" s="212"/>
      <c r="BT536" s="212"/>
      <c r="BU536" s="212"/>
      <c r="BV536" s="212"/>
      <c r="BW536" s="212"/>
      <c r="BX536" s="212"/>
      <c r="BY536" s="212"/>
      <c r="BZ536" s="212"/>
      <c r="CA536" s="212"/>
      <c r="CB536" s="212"/>
      <c r="CC536" s="212"/>
      <c r="CD536" s="212"/>
      <c r="CE536" s="212"/>
    </row>
    <row r="537" spans="1:83" x14ac:dyDescent="0.2">
      <c r="A537" s="302"/>
      <c r="B537" s="214"/>
      <c r="C537" s="303"/>
      <c r="D537" s="295"/>
      <c r="E537" s="304"/>
      <c r="F537" s="304"/>
      <c r="G537" s="324"/>
      <c r="H537" s="324"/>
      <c r="I537" s="298"/>
      <c r="J537" s="324"/>
      <c r="K537" s="324"/>
      <c r="L537" s="324"/>
      <c r="M537" s="324"/>
      <c r="N537" s="304"/>
      <c r="O537" s="509"/>
      <c r="P537" s="509"/>
      <c r="Q537" s="509"/>
      <c r="R537" s="509"/>
      <c r="S537" s="509"/>
      <c r="T537" s="509"/>
      <c r="U537" s="509"/>
      <c r="V537" s="509"/>
      <c r="W537" s="509"/>
      <c r="X537" s="509"/>
      <c r="Y537" s="509"/>
      <c r="Z537" s="509"/>
      <c r="AA537" s="509"/>
      <c r="AB537" s="324"/>
      <c r="AC537" s="324"/>
      <c r="AD537" s="304"/>
      <c r="AE537" s="304"/>
      <c r="AF537" s="304"/>
      <c r="AG537" s="304"/>
      <c r="AH537" s="304"/>
      <c r="AI537" s="304"/>
      <c r="AJ537" s="304"/>
      <c r="AK537" s="304"/>
      <c r="AL537" s="304"/>
      <c r="AM537" s="304"/>
      <c r="AN537" s="304"/>
      <c r="AO537" s="304"/>
      <c r="AP537" s="212"/>
      <c r="AQ537" s="212"/>
      <c r="AR537" s="212"/>
      <c r="AS537" s="308"/>
      <c r="AT537" s="308"/>
      <c r="AU537" s="307"/>
      <c r="AV537" s="307"/>
      <c r="AW537" s="307"/>
      <c r="AX537" s="307"/>
      <c r="AY537" s="307"/>
      <c r="AZ537" s="307"/>
      <c r="BA537" s="307"/>
      <c r="BB537" s="196"/>
      <c r="BC537" s="196"/>
      <c r="BD537" s="212"/>
      <c r="BE537" s="212"/>
      <c r="BF537" s="212"/>
      <c r="BG537" s="212"/>
      <c r="BH537" s="212"/>
      <c r="BI537" s="212"/>
      <c r="BJ537" s="212"/>
      <c r="BK537" s="212"/>
      <c r="BL537" s="212"/>
      <c r="BM537" s="212"/>
      <c r="BN537" s="212"/>
      <c r="BO537" s="212"/>
      <c r="BP537" s="212"/>
      <c r="BQ537" s="212"/>
      <c r="BR537" s="212"/>
      <c r="BS537" s="212"/>
      <c r="BT537" s="212"/>
      <c r="BU537" s="212"/>
      <c r="BV537" s="212"/>
      <c r="BW537" s="212"/>
      <c r="BX537" s="212"/>
      <c r="BY537" s="212"/>
      <c r="BZ537" s="212"/>
      <c r="CA537" s="212"/>
      <c r="CB537" s="212"/>
      <c r="CC537" s="212"/>
      <c r="CD537" s="212"/>
      <c r="CE537" s="212"/>
    </row>
    <row r="538" spans="1:83" x14ac:dyDescent="0.2">
      <c r="A538" s="302"/>
      <c r="B538" s="214"/>
      <c r="C538" s="303"/>
      <c r="D538" s="295"/>
      <c r="E538" s="304"/>
      <c r="F538" s="304"/>
      <c r="G538" s="324"/>
      <c r="H538" s="324"/>
      <c r="I538" s="298"/>
      <c r="J538" s="324"/>
      <c r="K538" s="324"/>
      <c r="L538" s="324"/>
      <c r="M538" s="324"/>
      <c r="N538" s="304"/>
      <c r="O538" s="509"/>
      <c r="P538" s="509"/>
      <c r="Q538" s="509"/>
      <c r="R538" s="509"/>
      <c r="S538" s="509"/>
      <c r="T538" s="509"/>
      <c r="U538" s="509"/>
      <c r="V538" s="509"/>
      <c r="W538" s="509"/>
      <c r="X538" s="509"/>
      <c r="Y538" s="509"/>
      <c r="Z538" s="509"/>
      <c r="AA538" s="509"/>
      <c r="AB538" s="324"/>
      <c r="AC538" s="324"/>
      <c r="AD538" s="304"/>
      <c r="AE538" s="304"/>
      <c r="AF538" s="304"/>
      <c r="AG538" s="304"/>
      <c r="AH538" s="304"/>
      <c r="AI538" s="304"/>
      <c r="AJ538" s="304"/>
      <c r="AK538" s="304"/>
      <c r="AL538" s="304"/>
      <c r="AM538" s="304"/>
      <c r="AN538" s="304"/>
      <c r="AO538" s="304"/>
      <c r="AP538" s="212"/>
      <c r="AQ538" s="212"/>
      <c r="AR538" s="212"/>
      <c r="AS538" s="308"/>
      <c r="AT538" s="308"/>
      <c r="AU538" s="307"/>
      <c r="AV538" s="307"/>
      <c r="AW538" s="307"/>
      <c r="AX538" s="307"/>
      <c r="AY538" s="307"/>
      <c r="AZ538" s="307"/>
      <c r="BA538" s="307"/>
      <c r="BB538" s="196"/>
      <c r="BC538" s="196"/>
      <c r="BD538" s="212"/>
      <c r="BE538" s="212"/>
      <c r="BF538" s="212"/>
      <c r="BG538" s="212"/>
      <c r="BH538" s="212"/>
      <c r="BI538" s="212"/>
      <c r="BJ538" s="212"/>
      <c r="BK538" s="212"/>
      <c r="BL538" s="212"/>
      <c r="BM538" s="212"/>
      <c r="BN538" s="212"/>
      <c r="BO538" s="212"/>
      <c r="BP538" s="212"/>
      <c r="BQ538" s="212"/>
      <c r="BR538" s="212"/>
      <c r="BS538" s="212"/>
      <c r="BT538" s="212"/>
      <c r="BU538" s="212"/>
      <c r="BV538" s="212"/>
      <c r="BW538" s="212"/>
      <c r="BX538" s="212"/>
      <c r="BY538" s="212"/>
      <c r="BZ538" s="212"/>
      <c r="CA538" s="212"/>
      <c r="CB538" s="212"/>
      <c r="CC538" s="212"/>
      <c r="CD538" s="212"/>
      <c r="CE538" s="212"/>
    </row>
    <row r="539" spans="1:83" x14ac:dyDescent="0.2">
      <c r="A539" s="302"/>
      <c r="B539" s="214"/>
      <c r="C539" s="303"/>
      <c r="D539" s="295"/>
      <c r="E539" s="304"/>
      <c r="F539" s="304"/>
      <c r="G539" s="324"/>
      <c r="H539" s="324"/>
      <c r="I539" s="298"/>
      <c r="J539" s="324"/>
      <c r="K539" s="324"/>
      <c r="L539" s="324"/>
      <c r="M539" s="324"/>
      <c r="N539" s="304"/>
      <c r="O539" s="509"/>
      <c r="P539" s="509"/>
      <c r="Q539" s="509"/>
      <c r="R539" s="509"/>
      <c r="S539" s="509"/>
      <c r="T539" s="509"/>
      <c r="U539" s="509"/>
      <c r="V539" s="509"/>
      <c r="W539" s="509"/>
      <c r="X539" s="509"/>
      <c r="Y539" s="509"/>
      <c r="Z539" s="509"/>
      <c r="AA539" s="509"/>
      <c r="AB539" s="324"/>
      <c r="AC539" s="324"/>
      <c r="AD539" s="304"/>
      <c r="AE539" s="304"/>
      <c r="AF539" s="304"/>
      <c r="AG539" s="304"/>
      <c r="AH539" s="304"/>
      <c r="AI539" s="304"/>
      <c r="AJ539" s="304"/>
      <c r="AK539" s="304"/>
      <c r="AL539" s="304"/>
      <c r="AM539" s="304"/>
      <c r="AN539" s="304"/>
      <c r="AO539" s="304"/>
      <c r="AP539" s="212"/>
      <c r="AQ539" s="212"/>
      <c r="AR539" s="212"/>
      <c r="AS539" s="308"/>
      <c r="AT539" s="308"/>
      <c r="AU539" s="307"/>
      <c r="AV539" s="307"/>
      <c r="AW539" s="307"/>
      <c r="AX539" s="307"/>
      <c r="AY539" s="307"/>
      <c r="AZ539" s="307"/>
      <c r="BA539" s="307"/>
      <c r="BB539" s="196"/>
      <c r="BC539" s="196"/>
      <c r="BD539" s="212"/>
      <c r="BE539" s="212"/>
      <c r="BF539" s="212"/>
      <c r="BG539" s="212"/>
      <c r="BH539" s="212"/>
      <c r="BI539" s="212"/>
      <c r="BJ539" s="212"/>
      <c r="BK539" s="212"/>
      <c r="BL539" s="212"/>
      <c r="BM539" s="212"/>
      <c r="BN539" s="212"/>
      <c r="BO539" s="212"/>
      <c r="BP539" s="212"/>
      <c r="BQ539" s="212"/>
      <c r="BR539" s="212"/>
      <c r="BS539" s="212"/>
      <c r="BT539" s="212"/>
      <c r="BU539" s="212"/>
      <c r="BV539" s="212"/>
      <c r="BW539" s="212"/>
      <c r="BX539" s="212"/>
      <c r="BY539" s="212"/>
      <c r="BZ539" s="212"/>
      <c r="CA539" s="212"/>
      <c r="CB539" s="212"/>
      <c r="CC539" s="212"/>
      <c r="CD539" s="212"/>
      <c r="CE539" s="212"/>
    </row>
    <row r="540" spans="1:83" x14ac:dyDescent="0.2">
      <c r="A540" s="302"/>
      <c r="B540" s="214"/>
      <c r="C540" s="303"/>
      <c r="D540" s="295"/>
      <c r="E540" s="304"/>
      <c r="F540" s="304"/>
      <c r="G540" s="324"/>
      <c r="H540" s="324"/>
      <c r="I540" s="298"/>
      <c r="J540" s="324"/>
      <c r="K540" s="324"/>
      <c r="L540" s="324"/>
      <c r="M540" s="324"/>
      <c r="N540" s="304"/>
      <c r="O540" s="509"/>
      <c r="P540" s="509"/>
      <c r="Q540" s="509"/>
      <c r="R540" s="509"/>
      <c r="S540" s="509"/>
      <c r="T540" s="509"/>
      <c r="U540" s="509"/>
      <c r="V540" s="509"/>
      <c r="W540" s="509"/>
      <c r="X540" s="509"/>
      <c r="Y540" s="509"/>
      <c r="Z540" s="509"/>
      <c r="AA540" s="509"/>
      <c r="AB540" s="324"/>
      <c r="AC540" s="324"/>
      <c r="AD540" s="304"/>
      <c r="AE540" s="304"/>
      <c r="AF540" s="304"/>
      <c r="AG540" s="304"/>
      <c r="AH540" s="304"/>
      <c r="AI540" s="304"/>
      <c r="AJ540" s="304"/>
      <c r="AK540" s="304"/>
      <c r="AL540" s="304"/>
      <c r="AM540" s="304"/>
      <c r="AN540" s="304"/>
      <c r="AO540" s="304"/>
      <c r="AP540" s="212"/>
      <c r="AQ540" s="212"/>
      <c r="AR540" s="212"/>
      <c r="AS540" s="308"/>
      <c r="AT540" s="308"/>
      <c r="AU540" s="307"/>
      <c r="AV540" s="307"/>
      <c r="AW540" s="307"/>
      <c r="AX540" s="307"/>
      <c r="AY540" s="307"/>
      <c r="AZ540" s="307"/>
      <c r="BA540" s="307"/>
      <c r="BB540" s="196"/>
      <c r="BC540" s="196"/>
      <c r="BD540" s="212"/>
      <c r="BE540" s="212"/>
      <c r="BF540" s="212"/>
      <c r="BG540" s="212"/>
      <c r="BH540" s="212"/>
      <c r="BI540" s="212"/>
      <c r="BJ540" s="212"/>
      <c r="BK540" s="212"/>
      <c r="BL540" s="212"/>
      <c r="BM540" s="212"/>
      <c r="BN540" s="212"/>
      <c r="BO540" s="212"/>
      <c r="BP540" s="212"/>
      <c r="BQ540" s="212"/>
      <c r="BR540" s="212"/>
      <c r="BS540" s="212"/>
      <c r="BT540" s="212"/>
      <c r="BU540" s="212"/>
      <c r="BV540" s="212"/>
      <c r="BW540" s="212"/>
      <c r="BX540" s="212"/>
      <c r="BY540" s="212"/>
      <c r="BZ540" s="212"/>
      <c r="CA540" s="212"/>
      <c r="CB540" s="212"/>
      <c r="CC540" s="212"/>
      <c r="CD540" s="212"/>
      <c r="CE540" s="212"/>
    </row>
    <row r="541" spans="1:83" x14ac:dyDescent="0.2">
      <c r="A541" s="302"/>
      <c r="B541" s="214"/>
      <c r="C541" s="303"/>
      <c r="D541" s="295"/>
      <c r="E541" s="304"/>
      <c r="F541" s="304"/>
      <c r="G541" s="324"/>
      <c r="H541" s="324"/>
      <c r="I541" s="298"/>
      <c r="J541" s="324"/>
      <c r="K541" s="324"/>
      <c r="L541" s="324"/>
      <c r="M541" s="324"/>
      <c r="N541" s="304"/>
      <c r="O541" s="509"/>
      <c r="P541" s="509"/>
      <c r="Q541" s="509"/>
      <c r="R541" s="509"/>
      <c r="S541" s="509"/>
      <c r="T541" s="509"/>
      <c r="U541" s="509"/>
      <c r="V541" s="509"/>
      <c r="W541" s="509"/>
      <c r="X541" s="509"/>
      <c r="Y541" s="509"/>
      <c r="Z541" s="509"/>
      <c r="AA541" s="509"/>
      <c r="AB541" s="324"/>
      <c r="AC541" s="324"/>
      <c r="AD541" s="304"/>
      <c r="AE541" s="304"/>
      <c r="AF541" s="304"/>
      <c r="AG541" s="304"/>
      <c r="AH541" s="304"/>
      <c r="AI541" s="304"/>
      <c r="AJ541" s="304"/>
      <c r="AK541" s="304"/>
      <c r="AL541" s="304"/>
      <c r="AM541" s="304"/>
      <c r="AN541" s="304"/>
      <c r="AO541" s="304"/>
      <c r="AP541" s="212"/>
      <c r="AQ541" s="212"/>
      <c r="AR541" s="212"/>
      <c r="AS541" s="308"/>
      <c r="AT541" s="308"/>
      <c r="AU541" s="307"/>
      <c r="AV541" s="307"/>
      <c r="AW541" s="307"/>
      <c r="AX541" s="307"/>
      <c r="AY541" s="307"/>
      <c r="AZ541" s="307"/>
      <c r="BA541" s="307"/>
      <c r="BB541" s="196"/>
      <c r="BC541" s="196"/>
      <c r="BD541" s="212"/>
      <c r="BE541" s="212"/>
      <c r="BF541" s="212"/>
      <c r="BG541" s="212"/>
      <c r="BH541" s="212"/>
      <c r="BI541" s="212"/>
      <c r="BJ541" s="212"/>
      <c r="BK541" s="212"/>
      <c r="BL541" s="212"/>
      <c r="BM541" s="212"/>
      <c r="BN541" s="212"/>
      <c r="BO541" s="212"/>
      <c r="BP541" s="212"/>
      <c r="BQ541" s="212"/>
      <c r="BR541" s="212"/>
      <c r="BS541" s="212"/>
      <c r="BT541" s="212"/>
      <c r="BU541" s="212"/>
      <c r="BV541" s="212"/>
      <c r="BW541" s="212"/>
      <c r="BX541" s="212"/>
      <c r="BY541" s="212"/>
      <c r="BZ541" s="212"/>
      <c r="CA541" s="212"/>
      <c r="CB541" s="212"/>
      <c r="CC541" s="212"/>
      <c r="CD541" s="212"/>
      <c r="CE541" s="212"/>
    </row>
    <row r="542" spans="1:83" x14ac:dyDescent="0.2">
      <c r="A542" s="302"/>
      <c r="B542" s="214"/>
      <c r="C542" s="303"/>
      <c r="D542" s="295"/>
      <c r="E542" s="304"/>
      <c r="F542" s="304"/>
      <c r="G542" s="324"/>
      <c r="H542" s="324"/>
      <c r="I542" s="298"/>
      <c r="J542" s="324"/>
      <c r="K542" s="324"/>
      <c r="L542" s="324"/>
      <c r="M542" s="324"/>
      <c r="N542" s="304"/>
      <c r="O542" s="509"/>
      <c r="P542" s="509"/>
      <c r="Q542" s="509"/>
      <c r="R542" s="509"/>
      <c r="S542" s="509"/>
      <c r="T542" s="509"/>
      <c r="U542" s="509"/>
      <c r="V542" s="509"/>
      <c r="W542" s="509"/>
      <c r="X542" s="509"/>
      <c r="Y542" s="509"/>
      <c r="Z542" s="509"/>
      <c r="AA542" s="509"/>
      <c r="AB542" s="324"/>
      <c r="AC542" s="324"/>
      <c r="AD542" s="304"/>
      <c r="AE542" s="304"/>
      <c r="AF542" s="304"/>
      <c r="AG542" s="304"/>
      <c r="AH542" s="304"/>
      <c r="AI542" s="304"/>
      <c r="AJ542" s="304"/>
      <c r="AK542" s="304"/>
      <c r="AL542" s="304"/>
      <c r="AM542" s="304"/>
      <c r="AN542" s="304"/>
      <c r="AO542" s="304"/>
      <c r="AP542" s="212"/>
      <c r="AQ542" s="212"/>
      <c r="AR542" s="212"/>
      <c r="AS542" s="308"/>
      <c r="AT542" s="308"/>
      <c r="AU542" s="307"/>
      <c r="AV542" s="307"/>
      <c r="AW542" s="307"/>
      <c r="AX542" s="307"/>
      <c r="AY542" s="307"/>
      <c r="AZ542" s="307"/>
      <c r="BA542" s="307"/>
      <c r="BB542" s="196"/>
      <c r="BC542" s="196"/>
      <c r="BD542" s="212"/>
      <c r="BE542" s="212"/>
      <c r="BF542" s="212"/>
      <c r="BG542" s="212"/>
      <c r="BH542" s="212"/>
      <c r="BI542" s="212"/>
      <c r="BJ542" s="212"/>
      <c r="BK542" s="212"/>
      <c r="BL542" s="212"/>
      <c r="BM542" s="212"/>
      <c r="BN542" s="212"/>
      <c r="BO542" s="212"/>
      <c r="BP542" s="212"/>
      <c r="BQ542" s="212"/>
      <c r="BR542" s="212"/>
      <c r="BS542" s="212"/>
      <c r="BT542" s="212"/>
      <c r="BU542" s="212"/>
      <c r="BV542" s="212"/>
      <c r="BW542" s="212"/>
      <c r="BX542" s="212"/>
      <c r="BY542" s="212"/>
      <c r="BZ542" s="212"/>
      <c r="CA542" s="212"/>
      <c r="CB542" s="212"/>
      <c r="CC542" s="212"/>
      <c r="CD542" s="212"/>
      <c r="CE542" s="212"/>
    </row>
    <row r="543" spans="1:83" x14ac:dyDescent="0.2">
      <c r="A543" s="302"/>
      <c r="B543" s="214"/>
      <c r="C543" s="303"/>
      <c r="D543" s="295"/>
      <c r="E543" s="304"/>
      <c r="F543" s="304"/>
      <c r="G543" s="324"/>
      <c r="H543" s="324"/>
      <c r="I543" s="298"/>
      <c r="J543" s="324"/>
      <c r="K543" s="324"/>
      <c r="L543" s="324"/>
      <c r="M543" s="324"/>
      <c r="N543" s="304"/>
      <c r="O543" s="509"/>
      <c r="P543" s="509"/>
      <c r="Q543" s="509"/>
      <c r="R543" s="509"/>
      <c r="S543" s="509"/>
      <c r="T543" s="509"/>
      <c r="U543" s="509"/>
      <c r="V543" s="509"/>
      <c r="W543" s="509"/>
      <c r="X543" s="509"/>
      <c r="Y543" s="509"/>
      <c r="Z543" s="509"/>
      <c r="AA543" s="509"/>
      <c r="AB543" s="324"/>
      <c r="AC543" s="324"/>
      <c r="AD543" s="304"/>
      <c r="AE543" s="304"/>
      <c r="AF543" s="304"/>
      <c r="AG543" s="304"/>
      <c r="AH543" s="304"/>
      <c r="AI543" s="304"/>
      <c r="AJ543" s="304"/>
      <c r="AK543" s="304"/>
      <c r="AL543" s="304"/>
      <c r="AM543" s="304"/>
      <c r="AN543" s="304"/>
      <c r="AO543" s="304"/>
      <c r="AP543" s="212"/>
      <c r="AQ543" s="212"/>
      <c r="AR543" s="212"/>
      <c r="AS543" s="308"/>
      <c r="AT543" s="308"/>
      <c r="AU543" s="307"/>
      <c r="AV543" s="307"/>
      <c r="AW543" s="307"/>
      <c r="AX543" s="307"/>
      <c r="AY543" s="307"/>
      <c r="AZ543" s="307"/>
      <c r="BA543" s="307"/>
      <c r="BB543" s="196"/>
      <c r="BC543" s="196"/>
      <c r="BD543" s="212"/>
      <c r="BE543" s="212"/>
      <c r="BF543" s="212"/>
      <c r="BG543" s="212"/>
      <c r="BH543" s="212"/>
      <c r="BI543" s="212"/>
      <c r="BJ543" s="212"/>
      <c r="BK543" s="212"/>
      <c r="BL543" s="212"/>
      <c r="BM543" s="212"/>
      <c r="BN543" s="212"/>
      <c r="BO543" s="212"/>
      <c r="BP543" s="212"/>
      <c r="BQ543" s="212"/>
      <c r="BR543" s="212"/>
      <c r="BS543" s="212"/>
      <c r="BT543" s="212"/>
      <c r="BU543" s="212"/>
      <c r="BV543" s="212"/>
      <c r="BW543" s="212"/>
      <c r="BX543" s="212"/>
      <c r="BY543" s="212"/>
      <c r="BZ543" s="212"/>
      <c r="CA543" s="212"/>
      <c r="CB543" s="212"/>
      <c r="CC543" s="212"/>
      <c r="CD543" s="212"/>
      <c r="CE543" s="212"/>
    </row>
    <row r="544" spans="1:83" x14ac:dyDescent="0.2">
      <c r="A544" s="302"/>
      <c r="B544" s="214"/>
      <c r="C544" s="303"/>
      <c r="D544" s="295"/>
      <c r="E544" s="304"/>
      <c r="F544" s="304"/>
      <c r="G544" s="324"/>
      <c r="H544" s="324"/>
      <c r="I544" s="298"/>
      <c r="J544" s="324"/>
      <c r="K544" s="324"/>
      <c r="L544" s="324"/>
      <c r="M544" s="324"/>
      <c r="N544" s="304"/>
      <c r="O544" s="509"/>
      <c r="P544" s="509"/>
      <c r="Q544" s="509"/>
      <c r="R544" s="509"/>
      <c r="S544" s="509"/>
      <c r="T544" s="509"/>
      <c r="U544" s="509"/>
      <c r="V544" s="509"/>
      <c r="W544" s="509"/>
      <c r="X544" s="509"/>
      <c r="Y544" s="509"/>
      <c r="Z544" s="509"/>
      <c r="AA544" s="509"/>
      <c r="AB544" s="324"/>
      <c r="AC544" s="324"/>
      <c r="AD544" s="304"/>
      <c r="AE544" s="304"/>
      <c r="AF544" s="304"/>
      <c r="AG544" s="304"/>
      <c r="AH544" s="304"/>
      <c r="AI544" s="304"/>
      <c r="AJ544" s="304"/>
      <c r="AK544" s="304"/>
      <c r="AL544" s="304"/>
      <c r="AM544" s="304"/>
      <c r="AN544" s="304"/>
      <c r="AO544" s="304"/>
      <c r="AP544" s="212"/>
      <c r="AQ544" s="212"/>
      <c r="AR544" s="212"/>
      <c r="AS544" s="308"/>
      <c r="AT544" s="308"/>
      <c r="AU544" s="307"/>
      <c r="AV544" s="307"/>
      <c r="AW544" s="307"/>
      <c r="AX544" s="307"/>
      <c r="AY544" s="307"/>
      <c r="AZ544" s="307"/>
      <c r="BA544" s="307"/>
      <c r="BB544" s="196"/>
      <c r="BC544" s="196"/>
      <c r="BD544" s="212"/>
      <c r="BE544" s="212"/>
      <c r="BF544" s="212"/>
      <c r="BG544" s="212"/>
      <c r="BH544" s="212"/>
      <c r="BI544" s="212"/>
      <c r="BJ544" s="212"/>
      <c r="BK544" s="212"/>
      <c r="BL544" s="212"/>
      <c r="BM544" s="212"/>
      <c r="BN544" s="212"/>
      <c r="BO544" s="212"/>
      <c r="BP544" s="212"/>
      <c r="BQ544" s="212"/>
      <c r="BR544" s="212"/>
      <c r="BS544" s="212"/>
      <c r="BT544" s="212"/>
      <c r="BU544" s="212"/>
      <c r="BV544" s="212"/>
      <c r="BW544" s="212"/>
      <c r="BX544" s="212"/>
      <c r="BY544" s="212"/>
      <c r="BZ544" s="212"/>
      <c r="CA544" s="212"/>
      <c r="CB544" s="212"/>
      <c r="CC544" s="212"/>
      <c r="CD544" s="212"/>
      <c r="CE544" s="212"/>
    </row>
    <row r="545" spans="1:83" x14ac:dyDescent="0.2">
      <c r="A545" s="302"/>
      <c r="B545" s="214"/>
      <c r="C545" s="303"/>
      <c r="D545" s="295"/>
      <c r="E545" s="304"/>
      <c r="F545" s="304"/>
      <c r="G545" s="324"/>
      <c r="H545" s="324"/>
      <c r="I545" s="298"/>
      <c r="J545" s="324"/>
      <c r="K545" s="324"/>
      <c r="L545" s="324"/>
      <c r="M545" s="324"/>
      <c r="N545" s="304"/>
      <c r="O545" s="509"/>
      <c r="P545" s="509"/>
      <c r="Q545" s="509"/>
      <c r="R545" s="509"/>
      <c r="S545" s="509"/>
      <c r="T545" s="509"/>
      <c r="U545" s="509"/>
      <c r="V545" s="509"/>
      <c r="W545" s="509"/>
      <c r="X545" s="509"/>
      <c r="Y545" s="509"/>
      <c r="Z545" s="509"/>
      <c r="AA545" s="509"/>
      <c r="AB545" s="324"/>
      <c r="AC545" s="324"/>
      <c r="AD545" s="304"/>
      <c r="AE545" s="304"/>
      <c r="AF545" s="304"/>
      <c r="AG545" s="304"/>
      <c r="AH545" s="304"/>
      <c r="AI545" s="304"/>
      <c r="AJ545" s="304"/>
      <c r="AK545" s="304"/>
      <c r="AL545" s="304"/>
      <c r="AM545" s="304"/>
      <c r="AN545" s="304"/>
      <c r="AO545" s="304"/>
      <c r="AP545" s="212"/>
      <c r="AQ545" s="212"/>
      <c r="AR545" s="212"/>
      <c r="AS545" s="308"/>
      <c r="AT545" s="308"/>
      <c r="AU545" s="307"/>
      <c r="AV545" s="307"/>
      <c r="AW545" s="307"/>
      <c r="AX545" s="307"/>
      <c r="AY545" s="307"/>
      <c r="AZ545" s="307"/>
      <c r="BA545" s="307"/>
      <c r="BB545" s="196"/>
      <c r="BC545" s="196"/>
      <c r="BD545" s="212"/>
      <c r="BE545" s="212"/>
      <c r="BF545" s="212"/>
      <c r="BG545" s="212"/>
      <c r="BH545" s="212"/>
      <c r="BI545" s="212"/>
      <c r="BJ545" s="212"/>
      <c r="BK545" s="212"/>
      <c r="BL545" s="212"/>
      <c r="BM545" s="212"/>
      <c r="BN545" s="212"/>
      <c r="BO545" s="212"/>
      <c r="BP545" s="212"/>
      <c r="BQ545" s="212"/>
      <c r="BR545" s="212"/>
      <c r="BS545" s="212"/>
      <c r="BT545" s="212"/>
      <c r="BU545" s="212"/>
      <c r="BV545" s="212"/>
      <c r="BW545" s="212"/>
      <c r="BX545" s="212"/>
      <c r="BY545" s="212"/>
      <c r="BZ545" s="212"/>
      <c r="CA545" s="212"/>
      <c r="CB545" s="212"/>
      <c r="CC545" s="212"/>
      <c r="CD545" s="212"/>
      <c r="CE545" s="212"/>
    </row>
    <row r="546" spans="1:83" x14ac:dyDescent="0.2">
      <c r="A546" s="302"/>
      <c r="B546" s="214"/>
      <c r="C546" s="303"/>
      <c r="D546" s="295"/>
      <c r="E546" s="304"/>
      <c r="F546" s="304"/>
      <c r="G546" s="324"/>
      <c r="H546" s="324"/>
      <c r="I546" s="298"/>
      <c r="J546" s="324"/>
      <c r="K546" s="324"/>
      <c r="L546" s="324"/>
      <c r="M546" s="324"/>
      <c r="N546" s="304"/>
      <c r="O546" s="509"/>
      <c r="P546" s="509"/>
      <c r="Q546" s="509"/>
      <c r="R546" s="509"/>
      <c r="S546" s="509"/>
      <c r="T546" s="509"/>
      <c r="U546" s="509"/>
      <c r="V546" s="509"/>
      <c r="W546" s="509"/>
      <c r="X546" s="509"/>
      <c r="Y546" s="509"/>
      <c r="Z546" s="509"/>
      <c r="AA546" s="509"/>
      <c r="AB546" s="324"/>
      <c r="AC546" s="324"/>
      <c r="AD546" s="304"/>
      <c r="AE546" s="304"/>
      <c r="AF546" s="304"/>
      <c r="AG546" s="304"/>
      <c r="AH546" s="304"/>
      <c r="AI546" s="304"/>
      <c r="AJ546" s="304"/>
      <c r="AK546" s="304"/>
      <c r="AL546" s="304"/>
      <c r="AM546" s="304"/>
      <c r="AN546" s="304"/>
      <c r="AO546" s="304"/>
      <c r="AP546" s="212"/>
      <c r="AQ546" s="212"/>
      <c r="AR546" s="212"/>
      <c r="AS546" s="308"/>
      <c r="AT546" s="308"/>
      <c r="AU546" s="307"/>
      <c r="AV546" s="307"/>
      <c r="AW546" s="307"/>
      <c r="AX546" s="307"/>
      <c r="AY546" s="307"/>
      <c r="AZ546" s="307"/>
      <c r="BA546" s="307"/>
      <c r="BB546" s="196"/>
      <c r="BC546" s="196"/>
      <c r="BD546" s="212"/>
      <c r="BE546" s="212"/>
      <c r="BF546" s="212"/>
      <c r="BG546" s="212"/>
      <c r="BH546" s="212"/>
      <c r="BI546" s="212"/>
      <c r="BJ546" s="212"/>
      <c r="BK546" s="212"/>
      <c r="BL546" s="212"/>
      <c r="BM546" s="212"/>
      <c r="BN546" s="212"/>
      <c r="BO546" s="212"/>
      <c r="BP546" s="212"/>
      <c r="BQ546" s="212"/>
      <c r="BR546" s="212"/>
      <c r="BS546" s="212"/>
      <c r="BT546" s="212"/>
      <c r="BU546" s="212"/>
      <c r="BV546" s="212"/>
      <c r="BW546" s="212"/>
      <c r="BX546" s="212"/>
      <c r="BY546" s="212"/>
      <c r="BZ546" s="212"/>
      <c r="CA546" s="212"/>
      <c r="CB546" s="212"/>
      <c r="CC546" s="212"/>
      <c r="CD546" s="212"/>
      <c r="CE546" s="212"/>
    </row>
    <row r="547" spans="1:83" x14ac:dyDescent="0.2">
      <c r="A547" s="302"/>
      <c r="B547" s="214"/>
      <c r="C547" s="303"/>
      <c r="D547" s="295"/>
      <c r="E547" s="304"/>
      <c r="F547" s="304"/>
      <c r="G547" s="324"/>
      <c r="H547" s="324"/>
      <c r="I547" s="298"/>
      <c r="J547" s="324"/>
      <c r="K547" s="324"/>
      <c r="L547" s="324"/>
      <c r="M547" s="324"/>
      <c r="N547" s="304"/>
      <c r="O547" s="509"/>
      <c r="P547" s="509"/>
      <c r="Q547" s="509"/>
      <c r="R547" s="509"/>
      <c r="S547" s="509"/>
      <c r="T547" s="509"/>
      <c r="U547" s="509"/>
      <c r="V547" s="509"/>
      <c r="W547" s="509"/>
      <c r="X547" s="509"/>
      <c r="Y547" s="509"/>
      <c r="Z547" s="509"/>
      <c r="AA547" s="509"/>
      <c r="AB547" s="324"/>
      <c r="AC547" s="324"/>
      <c r="AD547" s="304"/>
      <c r="AE547" s="304"/>
      <c r="AF547" s="304"/>
      <c r="AG547" s="304"/>
      <c r="AH547" s="304"/>
      <c r="AI547" s="304"/>
      <c r="AJ547" s="304"/>
      <c r="AK547" s="304"/>
      <c r="AL547" s="304"/>
      <c r="AM547" s="304"/>
      <c r="AN547" s="304"/>
      <c r="AO547" s="304"/>
      <c r="AP547" s="212"/>
      <c r="AQ547" s="212"/>
      <c r="AR547" s="212"/>
      <c r="AS547" s="308"/>
      <c r="AT547" s="308"/>
      <c r="AU547" s="307"/>
      <c r="AV547" s="307"/>
      <c r="AW547" s="307"/>
      <c r="AX547" s="307"/>
      <c r="AY547" s="307"/>
      <c r="AZ547" s="307"/>
      <c r="BA547" s="307"/>
      <c r="BB547" s="196"/>
      <c r="BC547" s="196"/>
      <c r="BD547" s="212"/>
      <c r="BE547" s="212"/>
      <c r="BF547" s="212"/>
      <c r="BG547" s="212"/>
      <c r="BH547" s="212"/>
      <c r="BI547" s="212"/>
      <c r="BJ547" s="212"/>
      <c r="BK547" s="212"/>
      <c r="BL547" s="212"/>
      <c r="BM547" s="212"/>
      <c r="BN547" s="212"/>
      <c r="BO547" s="212"/>
      <c r="BP547" s="212"/>
      <c r="BQ547" s="212"/>
      <c r="BR547" s="212"/>
      <c r="BS547" s="212"/>
      <c r="BT547" s="212"/>
      <c r="BU547" s="212"/>
      <c r="BV547" s="212"/>
      <c r="BW547" s="212"/>
      <c r="BX547" s="212"/>
      <c r="BY547" s="212"/>
      <c r="BZ547" s="212"/>
      <c r="CA547" s="212"/>
      <c r="CB547" s="212"/>
      <c r="CC547" s="212"/>
      <c r="CD547" s="212"/>
      <c r="CE547" s="212"/>
    </row>
    <row r="548" spans="1:83" x14ac:dyDescent="0.2">
      <c r="A548" s="302"/>
      <c r="B548" s="214"/>
      <c r="C548" s="303"/>
      <c r="D548" s="295"/>
      <c r="E548" s="304"/>
      <c r="F548" s="304"/>
      <c r="G548" s="324"/>
      <c r="H548" s="324"/>
      <c r="I548" s="298"/>
      <c r="J548" s="324"/>
      <c r="K548" s="324"/>
      <c r="L548" s="324"/>
      <c r="M548" s="324"/>
      <c r="N548" s="304"/>
      <c r="O548" s="509"/>
      <c r="P548" s="509"/>
      <c r="Q548" s="509"/>
      <c r="R548" s="509"/>
      <c r="S548" s="509"/>
      <c r="T548" s="509"/>
      <c r="U548" s="509"/>
      <c r="V548" s="509"/>
      <c r="W548" s="509"/>
      <c r="X548" s="509"/>
      <c r="Y548" s="509"/>
      <c r="Z548" s="509"/>
      <c r="AA548" s="509"/>
      <c r="AB548" s="324"/>
      <c r="AC548" s="324"/>
      <c r="AD548" s="304"/>
      <c r="AE548" s="304"/>
      <c r="AF548" s="304"/>
      <c r="AG548" s="304"/>
      <c r="AH548" s="304"/>
      <c r="AI548" s="304"/>
      <c r="AJ548" s="304"/>
      <c r="AK548" s="304"/>
      <c r="AL548" s="304"/>
      <c r="AM548" s="304"/>
      <c r="AN548" s="304"/>
      <c r="AO548" s="304"/>
      <c r="AP548" s="212"/>
      <c r="AQ548" s="212"/>
      <c r="AR548" s="212"/>
      <c r="AS548" s="308"/>
      <c r="AT548" s="308"/>
      <c r="AU548" s="307"/>
      <c r="AV548" s="307"/>
      <c r="AW548" s="307"/>
      <c r="AX548" s="307"/>
      <c r="AY548" s="307"/>
      <c r="AZ548" s="307"/>
      <c r="BA548" s="307"/>
      <c r="BB548" s="196"/>
      <c r="BC548" s="196"/>
      <c r="BD548" s="212"/>
      <c r="BE548" s="212"/>
      <c r="BF548" s="212"/>
      <c r="BG548" s="212"/>
      <c r="BH548" s="212"/>
      <c r="BI548" s="212"/>
      <c r="BJ548" s="212"/>
      <c r="BK548" s="212"/>
      <c r="BL548" s="212"/>
      <c r="BM548" s="212"/>
      <c r="BN548" s="212"/>
      <c r="BO548" s="212"/>
      <c r="BP548" s="212"/>
      <c r="BQ548" s="212"/>
      <c r="BR548" s="212"/>
      <c r="BS548" s="212"/>
      <c r="BT548" s="212"/>
      <c r="BU548" s="212"/>
      <c r="BV548" s="212"/>
      <c r="BW548" s="212"/>
      <c r="BX548" s="212"/>
      <c r="BY548" s="212"/>
      <c r="BZ548" s="212"/>
      <c r="CA548" s="212"/>
      <c r="CB548" s="212"/>
      <c r="CC548" s="212"/>
      <c r="CD548" s="212"/>
      <c r="CE548" s="212"/>
    </row>
    <row r="549" spans="1:83" x14ac:dyDescent="0.2">
      <c r="A549" s="302"/>
      <c r="B549" s="214"/>
      <c r="C549" s="303"/>
      <c r="D549" s="295"/>
      <c r="E549" s="304"/>
      <c r="F549" s="304"/>
      <c r="G549" s="324"/>
      <c r="H549" s="324"/>
      <c r="I549" s="298"/>
      <c r="J549" s="324"/>
      <c r="K549" s="324"/>
      <c r="L549" s="324"/>
      <c r="M549" s="324"/>
      <c r="N549" s="304"/>
      <c r="O549" s="509"/>
      <c r="P549" s="509"/>
      <c r="Q549" s="509"/>
      <c r="R549" s="509"/>
      <c r="S549" s="509"/>
      <c r="T549" s="509"/>
      <c r="U549" s="509"/>
      <c r="V549" s="509"/>
      <c r="W549" s="509"/>
      <c r="X549" s="509"/>
      <c r="Y549" s="509"/>
      <c r="Z549" s="509"/>
      <c r="AA549" s="509"/>
      <c r="AB549" s="324"/>
      <c r="AC549" s="324"/>
      <c r="AD549" s="304"/>
      <c r="AE549" s="304"/>
      <c r="AF549" s="304"/>
      <c r="AG549" s="304"/>
      <c r="AH549" s="304"/>
      <c r="AI549" s="304"/>
      <c r="AJ549" s="304"/>
      <c r="AK549" s="304"/>
      <c r="AL549" s="304"/>
      <c r="AM549" s="304"/>
      <c r="AN549" s="304"/>
      <c r="AO549" s="304"/>
      <c r="AP549" s="212"/>
      <c r="AQ549" s="212"/>
      <c r="AR549" s="212"/>
      <c r="AS549" s="308"/>
      <c r="AT549" s="308"/>
      <c r="AU549" s="307"/>
      <c r="AV549" s="307"/>
      <c r="AW549" s="307"/>
      <c r="AX549" s="307"/>
      <c r="AY549" s="307"/>
      <c r="AZ549" s="307"/>
      <c r="BA549" s="307"/>
      <c r="BB549" s="196"/>
      <c r="BC549" s="196"/>
      <c r="BD549" s="212"/>
      <c r="BE549" s="212"/>
      <c r="BF549" s="212"/>
      <c r="BG549" s="212"/>
      <c r="BH549" s="212"/>
      <c r="BI549" s="212"/>
      <c r="BJ549" s="212"/>
      <c r="BK549" s="212"/>
      <c r="BL549" s="212"/>
      <c r="BM549" s="212"/>
      <c r="BN549" s="212"/>
      <c r="BO549" s="212"/>
      <c r="BP549" s="212"/>
      <c r="BQ549" s="212"/>
      <c r="BR549" s="212"/>
      <c r="BS549" s="212"/>
      <c r="BT549" s="212"/>
      <c r="BU549" s="212"/>
      <c r="BV549" s="212"/>
      <c r="BW549" s="212"/>
      <c r="BX549" s="212"/>
      <c r="BY549" s="212"/>
      <c r="BZ549" s="212"/>
      <c r="CA549" s="212"/>
      <c r="CB549" s="212"/>
      <c r="CC549" s="212"/>
      <c r="CD549" s="212"/>
      <c r="CE549" s="212"/>
    </row>
    <row r="550" spans="1:83" x14ac:dyDescent="0.2">
      <c r="A550" s="302"/>
      <c r="B550" s="214"/>
      <c r="C550" s="303"/>
      <c r="D550" s="295"/>
      <c r="E550" s="304"/>
      <c r="F550" s="304"/>
      <c r="G550" s="324"/>
      <c r="H550" s="324"/>
      <c r="I550" s="298"/>
      <c r="J550" s="324"/>
      <c r="K550" s="324"/>
      <c r="L550" s="324"/>
      <c r="M550" s="324"/>
      <c r="N550" s="304"/>
      <c r="O550" s="509"/>
      <c r="P550" s="509"/>
      <c r="Q550" s="509"/>
      <c r="R550" s="509"/>
      <c r="S550" s="509"/>
      <c r="T550" s="509"/>
      <c r="U550" s="509"/>
      <c r="V550" s="509"/>
      <c r="W550" s="509"/>
      <c r="X550" s="509"/>
      <c r="Y550" s="509"/>
      <c r="Z550" s="509"/>
      <c r="AA550" s="509"/>
      <c r="AB550" s="324"/>
      <c r="AC550" s="324"/>
      <c r="AD550" s="304"/>
      <c r="AE550" s="304"/>
      <c r="AF550" s="304"/>
      <c r="AG550" s="304"/>
      <c r="AH550" s="304"/>
      <c r="AI550" s="304"/>
      <c r="AJ550" s="304"/>
      <c r="AK550" s="304"/>
      <c r="AL550" s="304"/>
      <c r="AM550" s="304"/>
      <c r="AN550" s="304"/>
      <c r="AO550" s="304"/>
      <c r="AP550" s="212"/>
      <c r="AQ550" s="212"/>
      <c r="AR550" s="212"/>
      <c r="AS550" s="308"/>
      <c r="AT550" s="308"/>
      <c r="AU550" s="307"/>
      <c r="AV550" s="307"/>
      <c r="AW550" s="307"/>
      <c r="AX550" s="307"/>
      <c r="AY550" s="307"/>
      <c r="AZ550" s="307"/>
      <c r="BA550" s="307"/>
      <c r="BB550" s="196"/>
      <c r="BC550" s="196"/>
      <c r="BD550" s="212"/>
      <c r="BE550" s="212"/>
      <c r="BF550" s="212"/>
      <c r="BG550" s="212"/>
      <c r="BH550" s="212"/>
      <c r="BI550" s="212"/>
      <c r="BJ550" s="212"/>
      <c r="BK550" s="212"/>
      <c r="BL550" s="212"/>
      <c r="BM550" s="212"/>
      <c r="BN550" s="212"/>
      <c r="BO550" s="212"/>
      <c r="BP550" s="212"/>
      <c r="BQ550" s="212"/>
      <c r="BR550" s="212"/>
      <c r="BS550" s="212"/>
      <c r="BT550" s="212"/>
      <c r="BU550" s="212"/>
      <c r="BV550" s="212"/>
      <c r="BW550" s="212"/>
      <c r="BX550" s="212"/>
      <c r="BY550" s="212"/>
      <c r="BZ550" s="212"/>
      <c r="CA550" s="212"/>
      <c r="CB550" s="212"/>
      <c r="CC550" s="212"/>
      <c r="CD550" s="212"/>
      <c r="CE550" s="212"/>
    </row>
    <row r="551" spans="1:83" x14ac:dyDescent="0.2">
      <c r="A551" s="302"/>
      <c r="B551" s="214"/>
      <c r="C551" s="303"/>
      <c r="D551" s="295"/>
      <c r="E551" s="304"/>
      <c r="F551" s="304"/>
      <c r="G551" s="324"/>
      <c r="H551" s="324"/>
      <c r="I551" s="298"/>
      <c r="J551" s="324"/>
      <c r="K551" s="324"/>
      <c r="L551" s="324"/>
      <c r="M551" s="324"/>
      <c r="N551" s="304"/>
      <c r="O551" s="509"/>
      <c r="P551" s="509"/>
      <c r="Q551" s="509"/>
      <c r="R551" s="509"/>
      <c r="S551" s="509"/>
      <c r="T551" s="509"/>
      <c r="U551" s="509"/>
      <c r="V551" s="509"/>
      <c r="W551" s="509"/>
      <c r="X551" s="509"/>
      <c r="Y551" s="509"/>
      <c r="Z551" s="509"/>
      <c r="AA551" s="509"/>
      <c r="AB551" s="324"/>
      <c r="AC551" s="324"/>
      <c r="AD551" s="304"/>
      <c r="AE551" s="304"/>
      <c r="AF551" s="304"/>
      <c r="AG551" s="304"/>
      <c r="AH551" s="304"/>
      <c r="AI551" s="304"/>
      <c r="AJ551" s="304"/>
      <c r="AK551" s="304"/>
      <c r="AL551" s="304"/>
      <c r="AM551" s="304"/>
      <c r="AN551" s="304"/>
      <c r="AO551" s="304"/>
      <c r="AP551" s="212"/>
      <c r="AQ551" s="212"/>
      <c r="AR551" s="212"/>
      <c r="AS551" s="308"/>
      <c r="AT551" s="308"/>
      <c r="AU551" s="307"/>
      <c r="AV551" s="307"/>
      <c r="AW551" s="307"/>
      <c r="AX551" s="307"/>
      <c r="AY551" s="307"/>
      <c r="AZ551" s="307"/>
      <c r="BA551" s="307"/>
      <c r="BB551" s="196"/>
      <c r="BC551" s="196"/>
      <c r="BD551" s="212"/>
      <c r="BE551" s="212"/>
      <c r="BF551" s="212"/>
      <c r="BG551" s="212"/>
      <c r="BH551" s="212"/>
      <c r="BI551" s="212"/>
      <c r="BJ551" s="212"/>
      <c r="BK551" s="212"/>
      <c r="BL551" s="212"/>
      <c r="BM551" s="212"/>
      <c r="BN551" s="212"/>
      <c r="BO551" s="212"/>
      <c r="BP551" s="212"/>
      <c r="BQ551" s="212"/>
      <c r="BR551" s="212"/>
      <c r="BS551" s="212"/>
      <c r="BT551" s="212"/>
      <c r="BU551" s="212"/>
      <c r="BV551" s="212"/>
      <c r="BW551" s="212"/>
      <c r="BX551" s="212"/>
      <c r="BY551" s="212"/>
      <c r="BZ551" s="212"/>
      <c r="CA551" s="212"/>
      <c r="CB551" s="212"/>
      <c r="CC551" s="212"/>
      <c r="CD551" s="212"/>
      <c r="CE551" s="212"/>
    </row>
    <row r="552" spans="1:83" x14ac:dyDescent="0.2">
      <c r="A552" s="302"/>
      <c r="B552" s="214"/>
      <c r="C552" s="303"/>
      <c r="D552" s="295"/>
      <c r="E552" s="304"/>
      <c r="F552" s="304"/>
      <c r="G552" s="324"/>
      <c r="H552" s="324"/>
      <c r="I552" s="298"/>
      <c r="J552" s="324"/>
      <c r="K552" s="324"/>
      <c r="L552" s="324"/>
      <c r="M552" s="324"/>
      <c r="N552" s="304"/>
      <c r="O552" s="509"/>
      <c r="P552" s="509"/>
      <c r="Q552" s="509"/>
      <c r="R552" s="509"/>
      <c r="S552" s="509"/>
      <c r="T552" s="509"/>
      <c r="U552" s="509"/>
      <c r="V552" s="509"/>
      <c r="W552" s="509"/>
      <c r="X552" s="509"/>
      <c r="Y552" s="509"/>
      <c r="Z552" s="509"/>
      <c r="AA552" s="509"/>
      <c r="AB552" s="324"/>
      <c r="AC552" s="324"/>
      <c r="AD552" s="304"/>
      <c r="AE552" s="304"/>
      <c r="AF552" s="304"/>
      <c r="AG552" s="304"/>
      <c r="AH552" s="304"/>
      <c r="AI552" s="304"/>
      <c r="AJ552" s="304"/>
      <c r="AK552" s="304"/>
      <c r="AL552" s="304"/>
      <c r="AM552" s="304"/>
      <c r="AN552" s="304"/>
      <c r="AO552" s="304"/>
      <c r="AP552" s="212"/>
      <c r="AQ552" s="212"/>
      <c r="AR552" s="212"/>
      <c r="AS552" s="308"/>
      <c r="AT552" s="308"/>
      <c r="AU552" s="307"/>
      <c r="AV552" s="307"/>
      <c r="AW552" s="307"/>
      <c r="AX552" s="307"/>
      <c r="AY552" s="307"/>
      <c r="AZ552" s="307"/>
      <c r="BA552" s="307"/>
      <c r="BB552" s="196"/>
      <c r="BC552" s="196"/>
      <c r="BD552" s="212"/>
      <c r="BE552" s="212"/>
      <c r="BF552" s="212"/>
      <c r="BG552" s="212"/>
      <c r="BH552" s="212"/>
      <c r="BI552" s="212"/>
      <c r="BJ552" s="212"/>
      <c r="BK552" s="212"/>
      <c r="BL552" s="212"/>
      <c r="BM552" s="212"/>
      <c r="BN552" s="212"/>
      <c r="BO552" s="212"/>
      <c r="BP552" s="212"/>
      <c r="BQ552" s="212"/>
      <c r="BR552" s="212"/>
      <c r="BS552" s="212"/>
      <c r="BT552" s="212"/>
      <c r="BU552" s="212"/>
      <c r="BV552" s="212"/>
      <c r="BW552" s="212"/>
      <c r="BX552" s="212"/>
      <c r="BY552" s="212"/>
      <c r="BZ552" s="212"/>
      <c r="CA552" s="212"/>
      <c r="CB552" s="212"/>
      <c r="CC552" s="212"/>
      <c r="CD552" s="212"/>
      <c r="CE552" s="212"/>
    </row>
    <row r="553" spans="1:83" x14ac:dyDescent="0.2">
      <c r="A553" s="302"/>
      <c r="B553" s="214"/>
      <c r="C553" s="303"/>
      <c r="D553" s="295"/>
      <c r="E553" s="304"/>
      <c r="F553" s="304"/>
      <c r="G553" s="324"/>
      <c r="H553" s="324"/>
      <c r="I553" s="298"/>
      <c r="J553" s="324"/>
      <c r="K553" s="324"/>
      <c r="L553" s="324"/>
      <c r="M553" s="324"/>
      <c r="N553" s="304"/>
      <c r="O553" s="509"/>
      <c r="P553" s="509"/>
      <c r="Q553" s="509"/>
      <c r="R553" s="509"/>
      <c r="S553" s="509"/>
      <c r="T553" s="509"/>
      <c r="U553" s="509"/>
      <c r="V553" s="509"/>
      <c r="W553" s="509"/>
      <c r="X553" s="509"/>
      <c r="Y553" s="509"/>
      <c r="Z553" s="509"/>
      <c r="AA553" s="509"/>
      <c r="AB553" s="324"/>
      <c r="AC553" s="324"/>
      <c r="AD553" s="304"/>
      <c r="AE553" s="304"/>
      <c r="AF553" s="304"/>
      <c r="AG553" s="304"/>
      <c r="AH553" s="304"/>
      <c r="AI553" s="304"/>
      <c r="AJ553" s="304"/>
      <c r="AK553" s="304"/>
      <c r="AL553" s="304"/>
      <c r="AM553" s="304"/>
      <c r="AN553" s="304"/>
      <c r="AO553" s="304"/>
      <c r="AP553" s="212"/>
      <c r="AQ553" s="212"/>
      <c r="AR553" s="212"/>
      <c r="AS553" s="308"/>
      <c r="AT553" s="308"/>
      <c r="AU553" s="307"/>
      <c r="AV553" s="307"/>
      <c r="AW553" s="307"/>
      <c r="AX553" s="307"/>
      <c r="AY553" s="307"/>
      <c r="AZ553" s="307"/>
      <c r="BA553" s="307"/>
      <c r="BB553" s="196"/>
      <c r="BC553" s="196"/>
      <c r="BD553" s="212"/>
      <c r="BE553" s="212"/>
      <c r="BF553" s="212"/>
      <c r="BG553" s="212"/>
      <c r="BH553" s="212"/>
      <c r="BI553" s="212"/>
      <c r="BJ553" s="212"/>
      <c r="BK553" s="212"/>
      <c r="BL553" s="212"/>
      <c r="BM553" s="212"/>
      <c r="BN553" s="212"/>
      <c r="BO553" s="212"/>
      <c r="BP553" s="212"/>
      <c r="BQ553" s="212"/>
      <c r="BR553" s="212"/>
      <c r="BS553" s="212"/>
      <c r="BT553" s="212"/>
      <c r="BU553" s="212"/>
      <c r="BV553" s="212"/>
      <c r="BW553" s="212"/>
      <c r="BX553" s="212"/>
      <c r="BY553" s="212"/>
      <c r="BZ553" s="212"/>
      <c r="CA553" s="212"/>
      <c r="CB553" s="212"/>
      <c r="CC553" s="212"/>
      <c r="CD553" s="212"/>
      <c r="CE553" s="212"/>
    </row>
    <row r="554" spans="1:83" x14ac:dyDescent="0.2">
      <c r="A554" s="302"/>
      <c r="B554" s="214"/>
      <c r="C554" s="303"/>
      <c r="D554" s="295"/>
      <c r="E554" s="304"/>
      <c r="F554" s="304"/>
      <c r="G554" s="324"/>
      <c r="H554" s="324"/>
      <c r="I554" s="298"/>
      <c r="J554" s="324"/>
      <c r="K554" s="324"/>
      <c r="L554" s="324"/>
      <c r="M554" s="324"/>
      <c r="N554" s="304"/>
      <c r="O554" s="509"/>
      <c r="P554" s="509"/>
      <c r="Q554" s="509"/>
      <c r="R554" s="509"/>
      <c r="S554" s="509"/>
      <c r="T554" s="509"/>
      <c r="U554" s="509"/>
      <c r="V554" s="509"/>
      <c r="W554" s="509"/>
      <c r="X554" s="509"/>
      <c r="Y554" s="509"/>
      <c r="Z554" s="509"/>
      <c r="AA554" s="509"/>
      <c r="AB554" s="324"/>
      <c r="AC554" s="324"/>
      <c r="AD554" s="304"/>
      <c r="AE554" s="304"/>
      <c r="AF554" s="304"/>
      <c r="AG554" s="304"/>
      <c r="AH554" s="304"/>
      <c r="AI554" s="304"/>
      <c r="AJ554" s="304"/>
      <c r="AK554" s="304"/>
      <c r="AL554" s="304"/>
      <c r="AM554" s="304"/>
      <c r="AN554" s="304"/>
      <c r="AO554" s="304"/>
      <c r="AP554" s="212"/>
      <c r="AQ554" s="212"/>
      <c r="AR554" s="212"/>
      <c r="AS554" s="308"/>
      <c r="AT554" s="308"/>
      <c r="AU554" s="307"/>
      <c r="AV554" s="307"/>
      <c r="AW554" s="307"/>
      <c r="AX554" s="307"/>
      <c r="AY554" s="307"/>
      <c r="AZ554" s="307"/>
      <c r="BA554" s="307"/>
      <c r="BB554" s="196"/>
      <c r="BC554" s="196"/>
      <c r="BD554" s="212"/>
      <c r="BE554" s="212"/>
      <c r="BF554" s="212"/>
      <c r="BG554" s="212"/>
      <c r="BH554" s="212"/>
      <c r="BI554" s="212"/>
      <c r="BJ554" s="212"/>
      <c r="BK554" s="212"/>
      <c r="BL554" s="212"/>
      <c r="BM554" s="212"/>
      <c r="BN554" s="212"/>
      <c r="BO554" s="212"/>
      <c r="BP554" s="212"/>
      <c r="BQ554" s="212"/>
      <c r="BR554" s="212"/>
      <c r="BS554" s="212"/>
      <c r="BT554" s="212"/>
      <c r="BU554" s="212"/>
      <c r="BV554" s="212"/>
      <c r="BW554" s="212"/>
      <c r="BX554" s="212"/>
      <c r="BY554" s="212"/>
      <c r="BZ554" s="212"/>
      <c r="CA554" s="212"/>
      <c r="CB554" s="212"/>
      <c r="CC554" s="212"/>
      <c r="CD554" s="212"/>
      <c r="CE554" s="212"/>
    </row>
    <row r="555" spans="1:83" x14ac:dyDescent="0.2">
      <c r="A555" s="302"/>
      <c r="B555" s="214"/>
      <c r="C555" s="303"/>
      <c r="D555" s="295"/>
      <c r="E555" s="304"/>
      <c r="F555" s="304"/>
      <c r="G555" s="324"/>
      <c r="H555" s="324"/>
      <c r="I555" s="298"/>
      <c r="J555" s="324"/>
      <c r="K555" s="324"/>
      <c r="L555" s="324"/>
      <c r="M555" s="324"/>
      <c r="N555" s="304"/>
      <c r="O555" s="509"/>
      <c r="P555" s="509"/>
      <c r="Q555" s="509"/>
      <c r="R555" s="509"/>
      <c r="S555" s="509"/>
      <c r="T555" s="509"/>
      <c r="U555" s="509"/>
      <c r="V555" s="509"/>
      <c r="W555" s="509"/>
      <c r="X555" s="509"/>
      <c r="Y555" s="509"/>
      <c r="Z555" s="509"/>
      <c r="AA555" s="509"/>
      <c r="AB555" s="324"/>
      <c r="AC555" s="324"/>
      <c r="AD555" s="304"/>
      <c r="AE555" s="304"/>
      <c r="AF555" s="304"/>
      <c r="AG555" s="304"/>
      <c r="AH555" s="304"/>
      <c r="AI555" s="304"/>
      <c r="AJ555" s="304"/>
      <c r="AK555" s="304"/>
      <c r="AL555" s="304"/>
      <c r="AM555" s="304"/>
      <c r="AN555" s="304"/>
      <c r="AO555" s="304"/>
      <c r="AP555" s="212"/>
      <c r="AQ555" s="212"/>
      <c r="AR555" s="212"/>
      <c r="AS555" s="308"/>
      <c r="AT555" s="308"/>
      <c r="AU555" s="307"/>
      <c r="AV555" s="307"/>
      <c r="AW555" s="307"/>
      <c r="AX555" s="307"/>
      <c r="AY555" s="307"/>
      <c r="AZ555" s="307"/>
      <c r="BA555" s="307"/>
      <c r="BB555" s="196"/>
      <c r="BC555" s="196"/>
      <c r="BD555" s="212"/>
      <c r="BE555" s="212"/>
      <c r="BF555" s="212"/>
      <c r="BG555" s="212"/>
      <c r="BH555" s="212"/>
      <c r="BI555" s="212"/>
      <c r="BJ555" s="212"/>
      <c r="BK555" s="212"/>
      <c r="BL555" s="212"/>
      <c r="BM555" s="212"/>
      <c r="BN555" s="212"/>
      <c r="BO555" s="212"/>
      <c r="BP555" s="212"/>
      <c r="BQ555" s="212"/>
      <c r="BR555" s="212"/>
      <c r="BS555" s="212"/>
      <c r="BT555" s="212"/>
      <c r="BU555" s="212"/>
      <c r="BV555" s="212"/>
      <c r="BW555" s="212"/>
      <c r="BX555" s="212"/>
      <c r="BY555" s="212"/>
      <c r="BZ555" s="212"/>
      <c r="CA555" s="212"/>
      <c r="CB555" s="212"/>
      <c r="CC555" s="212"/>
      <c r="CD555" s="212"/>
      <c r="CE555" s="212"/>
    </row>
    <row r="556" spans="1:83" x14ac:dyDescent="0.2">
      <c r="A556" s="302"/>
      <c r="B556" s="214"/>
      <c r="C556" s="303"/>
      <c r="D556" s="295"/>
      <c r="E556" s="304"/>
      <c r="F556" s="304"/>
      <c r="G556" s="324"/>
      <c r="H556" s="324"/>
      <c r="I556" s="298"/>
      <c r="J556" s="324"/>
      <c r="K556" s="324"/>
      <c r="L556" s="324"/>
      <c r="M556" s="324"/>
      <c r="N556" s="304"/>
      <c r="O556" s="509"/>
      <c r="P556" s="509"/>
      <c r="Q556" s="509"/>
      <c r="R556" s="509"/>
      <c r="S556" s="509"/>
      <c r="T556" s="509"/>
      <c r="U556" s="509"/>
      <c r="V556" s="509"/>
      <c r="W556" s="509"/>
      <c r="X556" s="509"/>
      <c r="Y556" s="509"/>
      <c r="Z556" s="509"/>
      <c r="AA556" s="509"/>
      <c r="AB556" s="324"/>
      <c r="AC556" s="324"/>
      <c r="AD556" s="304"/>
      <c r="AE556" s="304"/>
      <c r="AF556" s="304"/>
      <c r="AG556" s="304"/>
      <c r="AH556" s="304"/>
      <c r="AI556" s="304"/>
      <c r="AJ556" s="304"/>
      <c r="AK556" s="304"/>
      <c r="AL556" s="304"/>
      <c r="AM556" s="304"/>
      <c r="AN556" s="304"/>
      <c r="AO556" s="304"/>
      <c r="AP556" s="212"/>
      <c r="AQ556" s="212"/>
      <c r="AR556" s="212"/>
      <c r="AS556" s="308"/>
      <c r="AT556" s="308"/>
      <c r="AU556" s="307"/>
      <c r="AV556" s="307"/>
      <c r="AW556" s="307"/>
      <c r="AX556" s="307"/>
      <c r="AY556" s="307"/>
      <c r="AZ556" s="307"/>
      <c r="BA556" s="307"/>
      <c r="BB556" s="196"/>
      <c r="BC556" s="196"/>
      <c r="BD556" s="212"/>
      <c r="BE556" s="212"/>
      <c r="BF556" s="212"/>
      <c r="BG556" s="212"/>
      <c r="BH556" s="212"/>
      <c r="BI556" s="212"/>
      <c r="BJ556" s="212"/>
      <c r="BK556" s="212"/>
      <c r="BL556" s="212"/>
      <c r="BM556" s="212"/>
      <c r="BN556" s="212"/>
      <c r="BO556" s="212"/>
      <c r="BP556" s="212"/>
      <c r="BQ556" s="212"/>
      <c r="BR556" s="212"/>
      <c r="BS556" s="212"/>
      <c r="BT556" s="212"/>
      <c r="BU556" s="212"/>
      <c r="BV556" s="212"/>
      <c r="BW556" s="212"/>
      <c r="BX556" s="212"/>
      <c r="BY556" s="212"/>
      <c r="BZ556" s="212"/>
      <c r="CA556" s="212"/>
      <c r="CB556" s="212"/>
      <c r="CC556" s="212"/>
      <c r="CD556" s="212"/>
      <c r="CE556" s="212"/>
    </row>
    <row r="557" spans="1:83" x14ac:dyDescent="0.2">
      <c r="A557" s="302"/>
      <c r="B557" s="214"/>
      <c r="C557" s="303"/>
      <c r="D557" s="295"/>
      <c r="E557" s="304"/>
      <c r="F557" s="304"/>
      <c r="G557" s="324"/>
      <c r="H557" s="324"/>
      <c r="I557" s="298"/>
      <c r="J557" s="324"/>
      <c r="K557" s="324"/>
      <c r="L557" s="324"/>
      <c r="M557" s="324"/>
      <c r="N557" s="304"/>
      <c r="O557" s="509"/>
      <c r="P557" s="509"/>
      <c r="Q557" s="509"/>
      <c r="R557" s="509"/>
      <c r="S557" s="509"/>
      <c r="T557" s="509"/>
      <c r="U557" s="509"/>
      <c r="V557" s="509"/>
      <c r="W557" s="509"/>
      <c r="X557" s="509"/>
      <c r="Y557" s="509"/>
      <c r="Z557" s="509"/>
      <c r="AA557" s="509"/>
      <c r="AB557" s="324"/>
      <c r="AC557" s="324"/>
      <c r="AD557" s="304"/>
      <c r="AE557" s="304"/>
      <c r="AF557" s="304"/>
      <c r="AG557" s="304"/>
      <c r="AH557" s="304"/>
      <c r="AI557" s="304"/>
      <c r="AJ557" s="304"/>
      <c r="AK557" s="304"/>
      <c r="AL557" s="304"/>
      <c r="AM557" s="304"/>
      <c r="AN557" s="304"/>
      <c r="AO557" s="304"/>
      <c r="AP557" s="212"/>
      <c r="AQ557" s="212"/>
      <c r="AR557" s="212"/>
      <c r="AS557" s="308"/>
      <c r="AT557" s="308"/>
      <c r="AU557" s="307"/>
      <c r="AV557" s="307"/>
      <c r="AW557" s="307"/>
      <c r="AX557" s="307"/>
      <c r="AY557" s="307"/>
      <c r="AZ557" s="307"/>
      <c r="BA557" s="307"/>
      <c r="BB557" s="196"/>
      <c r="BC557" s="196"/>
      <c r="BD557" s="212"/>
      <c r="BE557" s="212"/>
      <c r="BF557" s="212"/>
      <c r="BG557" s="212"/>
      <c r="BH557" s="212"/>
      <c r="BI557" s="212"/>
      <c r="BJ557" s="212"/>
      <c r="BK557" s="212"/>
      <c r="BL557" s="212"/>
      <c r="BM557" s="212"/>
      <c r="BN557" s="212"/>
      <c r="BO557" s="212"/>
      <c r="BP557" s="212"/>
      <c r="BQ557" s="212"/>
      <c r="BR557" s="212"/>
      <c r="BS557" s="212"/>
      <c r="BT557" s="212"/>
      <c r="BU557" s="212"/>
      <c r="BV557" s="212"/>
      <c r="BW557" s="212"/>
      <c r="BX557" s="212"/>
      <c r="BY557" s="212"/>
      <c r="BZ557" s="212"/>
      <c r="CA557" s="212"/>
      <c r="CB557" s="212"/>
      <c r="CC557" s="212"/>
      <c r="CD557" s="212"/>
      <c r="CE557" s="212"/>
    </row>
    <row r="558" spans="1:83" x14ac:dyDescent="0.2">
      <c r="A558" s="302"/>
      <c r="B558" s="214"/>
      <c r="C558" s="303"/>
      <c r="D558" s="295"/>
      <c r="E558" s="304"/>
      <c r="F558" s="304"/>
      <c r="G558" s="324"/>
      <c r="H558" s="324"/>
      <c r="I558" s="298"/>
      <c r="J558" s="324"/>
      <c r="K558" s="324"/>
      <c r="L558" s="324"/>
      <c r="M558" s="324"/>
      <c r="N558" s="304"/>
      <c r="O558" s="509"/>
      <c r="P558" s="509"/>
      <c r="Q558" s="509"/>
      <c r="R558" s="509"/>
      <c r="S558" s="509"/>
      <c r="T558" s="509"/>
      <c r="U558" s="509"/>
      <c r="V558" s="509"/>
      <c r="W558" s="509"/>
      <c r="X558" s="509"/>
      <c r="Y558" s="509"/>
      <c r="Z558" s="509"/>
      <c r="AA558" s="509"/>
      <c r="AB558" s="324"/>
      <c r="AC558" s="324"/>
      <c r="AD558" s="304"/>
      <c r="AE558" s="304"/>
      <c r="AF558" s="304"/>
      <c r="AG558" s="304"/>
      <c r="AH558" s="304"/>
      <c r="AI558" s="304"/>
      <c r="AJ558" s="304"/>
      <c r="AK558" s="304"/>
      <c r="AL558" s="304"/>
      <c r="AM558" s="304"/>
      <c r="AN558" s="304"/>
      <c r="AO558" s="304"/>
      <c r="AP558" s="212"/>
      <c r="AQ558" s="212"/>
      <c r="AR558" s="212"/>
      <c r="AS558" s="308"/>
      <c r="AT558" s="308"/>
      <c r="AU558" s="307"/>
      <c r="AV558" s="307"/>
      <c r="AW558" s="307"/>
      <c r="AX558" s="307"/>
      <c r="AY558" s="307"/>
      <c r="AZ558" s="307"/>
      <c r="BA558" s="307"/>
      <c r="BB558" s="196"/>
      <c r="BC558" s="196"/>
      <c r="BD558" s="212"/>
      <c r="BE558" s="212"/>
      <c r="BF558" s="212"/>
      <c r="BG558" s="212"/>
      <c r="BH558" s="212"/>
      <c r="BI558" s="212"/>
      <c r="BJ558" s="212"/>
      <c r="BK558" s="212"/>
      <c r="BL558" s="212"/>
      <c r="BM558" s="212"/>
      <c r="BN558" s="212"/>
      <c r="BO558" s="212"/>
      <c r="BP558" s="212"/>
      <c r="BQ558" s="212"/>
      <c r="BR558" s="212"/>
      <c r="BS558" s="212"/>
      <c r="BT558" s="212"/>
      <c r="BU558" s="212"/>
      <c r="BV558" s="212"/>
      <c r="BW558" s="212"/>
      <c r="BX558" s="212"/>
      <c r="BY558" s="212"/>
      <c r="BZ558" s="212"/>
      <c r="CA558" s="212"/>
      <c r="CB558" s="212"/>
      <c r="CC558" s="212"/>
      <c r="CD558" s="212"/>
      <c r="CE558" s="212"/>
    </row>
    <row r="559" spans="1:83" x14ac:dyDescent="0.2">
      <c r="A559" s="302"/>
      <c r="B559" s="214"/>
      <c r="C559" s="303"/>
      <c r="D559" s="295"/>
      <c r="E559" s="304"/>
      <c r="F559" s="304"/>
      <c r="G559" s="324"/>
      <c r="H559" s="324"/>
      <c r="I559" s="298"/>
      <c r="J559" s="324"/>
      <c r="K559" s="324"/>
      <c r="L559" s="324"/>
      <c r="M559" s="324"/>
      <c r="N559" s="304"/>
      <c r="O559" s="509"/>
      <c r="P559" s="509"/>
      <c r="Q559" s="509"/>
      <c r="R559" s="509"/>
      <c r="S559" s="509"/>
      <c r="T559" s="509"/>
      <c r="U559" s="509"/>
      <c r="V559" s="509"/>
      <c r="W559" s="509"/>
      <c r="X559" s="509"/>
      <c r="Y559" s="509"/>
      <c r="Z559" s="509"/>
      <c r="AA559" s="509"/>
      <c r="AB559" s="324"/>
      <c r="AC559" s="324"/>
      <c r="AD559" s="304"/>
      <c r="AE559" s="304"/>
      <c r="AF559" s="304"/>
      <c r="AG559" s="304"/>
      <c r="AH559" s="304"/>
      <c r="AI559" s="304"/>
      <c r="AJ559" s="304"/>
      <c r="AK559" s="304"/>
      <c r="AL559" s="304"/>
      <c r="AM559" s="304"/>
      <c r="AN559" s="304"/>
      <c r="AO559" s="304"/>
      <c r="AP559" s="212"/>
      <c r="AQ559" s="212"/>
      <c r="AR559" s="212"/>
      <c r="AS559" s="308"/>
      <c r="AT559" s="308"/>
      <c r="AU559" s="307"/>
      <c r="AV559" s="307"/>
      <c r="AW559" s="307"/>
      <c r="AX559" s="307"/>
      <c r="AY559" s="307"/>
      <c r="AZ559" s="307"/>
      <c r="BA559" s="307"/>
      <c r="BB559" s="196"/>
      <c r="BC559" s="196"/>
      <c r="BD559" s="212"/>
      <c r="BE559" s="212"/>
      <c r="BF559" s="212"/>
      <c r="BG559" s="212"/>
      <c r="BH559" s="212"/>
      <c r="BI559" s="212"/>
      <c r="BJ559" s="212"/>
      <c r="BK559" s="212"/>
      <c r="BL559" s="212"/>
      <c r="BM559" s="212"/>
      <c r="BN559" s="212"/>
      <c r="BO559" s="212"/>
      <c r="BP559" s="212"/>
      <c r="BQ559" s="212"/>
      <c r="BR559" s="212"/>
      <c r="BS559" s="212"/>
      <c r="BT559" s="212"/>
      <c r="BU559" s="212"/>
      <c r="BV559" s="212"/>
      <c r="BW559" s="212"/>
      <c r="BX559" s="212"/>
      <c r="BY559" s="212"/>
      <c r="BZ559" s="212"/>
      <c r="CA559" s="212"/>
      <c r="CB559" s="212"/>
      <c r="CC559" s="212"/>
      <c r="CD559" s="212"/>
      <c r="CE559" s="212"/>
    </row>
    <row r="560" spans="1:83" x14ac:dyDescent="0.2">
      <c r="A560" s="302"/>
      <c r="B560" s="214"/>
      <c r="C560" s="303"/>
      <c r="D560" s="295"/>
      <c r="E560" s="304"/>
      <c r="F560" s="304"/>
      <c r="G560" s="324"/>
      <c r="H560" s="324"/>
      <c r="I560" s="298"/>
      <c r="J560" s="324"/>
      <c r="K560" s="324"/>
      <c r="L560" s="324"/>
      <c r="M560" s="324"/>
      <c r="N560" s="304"/>
      <c r="O560" s="509"/>
      <c r="P560" s="509"/>
      <c r="Q560" s="509"/>
      <c r="R560" s="509"/>
      <c r="S560" s="509"/>
      <c r="T560" s="509"/>
      <c r="U560" s="509"/>
      <c r="V560" s="509"/>
      <c r="W560" s="509"/>
      <c r="X560" s="509"/>
      <c r="Y560" s="509"/>
      <c r="Z560" s="509"/>
      <c r="AA560" s="509"/>
      <c r="AB560" s="324"/>
      <c r="AC560" s="324"/>
      <c r="AD560" s="304"/>
      <c r="AE560" s="304"/>
      <c r="AF560" s="304"/>
      <c r="AG560" s="304"/>
      <c r="AH560" s="304"/>
      <c r="AI560" s="304"/>
      <c r="AJ560" s="304"/>
      <c r="AK560" s="304"/>
      <c r="AL560" s="304"/>
      <c r="AM560" s="304"/>
      <c r="AN560" s="304"/>
      <c r="AO560" s="304"/>
      <c r="AP560" s="212"/>
      <c r="AQ560" s="212"/>
      <c r="AR560" s="212"/>
      <c r="AS560" s="308"/>
      <c r="AT560" s="308"/>
      <c r="AU560" s="307"/>
      <c r="AV560" s="307"/>
      <c r="AW560" s="307"/>
      <c r="AX560" s="307"/>
      <c r="AY560" s="307"/>
      <c r="AZ560" s="307"/>
      <c r="BA560" s="307"/>
      <c r="BB560" s="196"/>
      <c r="BC560" s="196"/>
      <c r="BD560" s="212"/>
      <c r="BE560" s="212"/>
      <c r="BF560" s="212"/>
      <c r="BG560" s="212"/>
      <c r="BH560" s="212"/>
      <c r="BI560" s="212"/>
      <c r="BJ560" s="212"/>
      <c r="BK560" s="212"/>
      <c r="BL560" s="212"/>
      <c r="BM560" s="212"/>
      <c r="BN560" s="212"/>
      <c r="BO560" s="212"/>
      <c r="BP560" s="212"/>
      <c r="BQ560" s="212"/>
      <c r="BR560" s="212"/>
      <c r="BS560" s="212"/>
      <c r="BT560" s="212"/>
      <c r="BU560" s="212"/>
      <c r="BV560" s="212"/>
      <c r="BW560" s="212"/>
      <c r="BX560" s="212"/>
      <c r="BY560" s="212"/>
      <c r="BZ560" s="212"/>
      <c r="CA560" s="212"/>
      <c r="CB560" s="212"/>
      <c r="CC560" s="212"/>
      <c r="CD560" s="212"/>
      <c r="CE560" s="212"/>
    </row>
    <row r="561" spans="1:83" x14ac:dyDescent="0.2">
      <c r="A561" s="302"/>
      <c r="B561" s="214"/>
      <c r="C561" s="303"/>
      <c r="D561" s="295"/>
      <c r="E561" s="304"/>
      <c r="F561" s="304"/>
      <c r="G561" s="324"/>
      <c r="H561" s="324"/>
      <c r="I561" s="298"/>
      <c r="J561" s="324"/>
      <c r="K561" s="324"/>
      <c r="L561" s="324"/>
      <c r="M561" s="324"/>
      <c r="N561" s="304"/>
      <c r="O561" s="509"/>
      <c r="P561" s="509"/>
      <c r="Q561" s="509"/>
      <c r="R561" s="509"/>
      <c r="S561" s="509"/>
      <c r="T561" s="509"/>
      <c r="U561" s="509"/>
      <c r="V561" s="509"/>
      <c r="W561" s="509"/>
      <c r="X561" s="509"/>
      <c r="Y561" s="509"/>
      <c r="Z561" s="509"/>
      <c r="AA561" s="509"/>
      <c r="AB561" s="324"/>
      <c r="AC561" s="324"/>
      <c r="AD561" s="304"/>
      <c r="AE561" s="304"/>
      <c r="AF561" s="304"/>
      <c r="AG561" s="304"/>
      <c r="AH561" s="304"/>
      <c r="AI561" s="304"/>
      <c r="AJ561" s="304"/>
      <c r="AK561" s="304"/>
      <c r="AL561" s="304"/>
      <c r="AM561" s="304"/>
      <c r="AN561" s="304"/>
      <c r="AO561" s="304"/>
      <c r="AP561" s="212"/>
      <c r="AQ561" s="212"/>
      <c r="AR561" s="212"/>
      <c r="AS561" s="308"/>
      <c r="AT561" s="308"/>
      <c r="AU561" s="307"/>
      <c r="AV561" s="307"/>
      <c r="AW561" s="307"/>
      <c r="AX561" s="307"/>
      <c r="AY561" s="307"/>
      <c r="AZ561" s="307"/>
      <c r="BA561" s="307"/>
      <c r="BB561" s="196"/>
      <c r="BC561" s="196"/>
      <c r="BD561" s="212"/>
      <c r="BE561" s="212"/>
      <c r="BF561" s="212"/>
      <c r="BG561" s="212"/>
      <c r="BH561" s="212"/>
      <c r="BI561" s="212"/>
      <c r="BJ561" s="212"/>
      <c r="BK561" s="212"/>
      <c r="BL561" s="212"/>
      <c r="BM561" s="212"/>
      <c r="BN561" s="212"/>
      <c r="BO561" s="212"/>
      <c r="BP561" s="212"/>
      <c r="BQ561" s="212"/>
      <c r="BR561" s="212"/>
      <c r="BS561" s="212"/>
      <c r="BT561" s="212"/>
      <c r="BU561" s="212"/>
      <c r="BV561" s="212"/>
      <c r="BW561" s="212"/>
      <c r="BX561" s="212"/>
      <c r="BY561" s="212"/>
      <c r="BZ561" s="212"/>
      <c r="CA561" s="212"/>
      <c r="CB561" s="212"/>
      <c r="CC561" s="212"/>
      <c r="CD561" s="212"/>
      <c r="CE561" s="212"/>
    </row>
    <row r="562" spans="1:83" x14ac:dyDescent="0.2">
      <c r="A562" s="302"/>
      <c r="B562" s="214"/>
      <c r="C562" s="303"/>
      <c r="D562" s="295"/>
      <c r="E562" s="304"/>
      <c r="F562" s="304"/>
      <c r="G562" s="324"/>
      <c r="H562" s="324"/>
      <c r="I562" s="298"/>
      <c r="J562" s="324"/>
      <c r="K562" s="324"/>
      <c r="L562" s="324"/>
      <c r="M562" s="324"/>
      <c r="N562" s="304"/>
      <c r="O562" s="509"/>
      <c r="P562" s="509"/>
      <c r="Q562" s="509"/>
      <c r="R562" s="509"/>
      <c r="S562" s="509"/>
      <c r="T562" s="509"/>
      <c r="U562" s="509"/>
      <c r="V562" s="509"/>
      <c r="W562" s="509"/>
      <c r="X562" s="509"/>
      <c r="Y562" s="509"/>
      <c r="Z562" s="509"/>
      <c r="AA562" s="509"/>
      <c r="AB562" s="324"/>
      <c r="AC562" s="324"/>
      <c r="AD562" s="304"/>
      <c r="AE562" s="304"/>
      <c r="AF562" s="304"/>
      <c r="AG562" s="304"/>
      <c r="AH562" s="304"/>
      <c r="AI562" s="304"/>
      <c r="AJ562" s="304"/>
      <c r="AK562" s="304"/>
      <c r="AL562" s="304"/>
      <c r="AM562" s="304"/>
      <c r="AN562" s="304"/>
      <c r="AO562" s="304"/>
      <c r="AP562" s="212"/>
      <c r="AQ562" s="212"/>
      <c r="AR562" s="212"/>
      <c r="AS562" s="308"/>
      <c r="AT562" s="308"/>
      <c r="AU562" s="307"/>
      <c r="AV562" s="307"/>
      <c r="AW562" s="307"/>
      <c r="AX562" s="307"/>
      <c r="AY562" s="307"/>
      <c r="AZ562" s="307"/>
      <c r="BA562" s="307"/>
      <c r="BB562" s="196"/>
      <c r="BC562" s="196"/>
      <c r="BD562" s="212"/>
      <c r="BE562" s="212"/>
      <c r="BF562" s="212"/>
      <c r="BG562" s="212"/>
      <c r="BH562" s="212"/>
      <c r="BI562" s="212"/>
      <c r="BJ562" s="212"/>
      <c r="BK562" s="212"/>
      <c r="BL562" s="212"/>
      <c r="BM562" s="212"/>
      <c r="BN562" s="212"/>
      <c r="BO562" s="212"/>
      <c r="BP562" s="212"/>
      <c r="BQ562" s="212"/>
      <c r="BR562" s="212"/>
      <c r="BS562" s="212"/>
      <c r="BT562" s="212"/>
      <c r="BU562" s="212"/>
      <c r="BV562" s="212"/>
      <c r="BW562" s="212"/>
      <c r="BX562" s="212"/>
      <c r="BY562" s="212"/>
      <c r="BZ562" s="212"/>
      <c r="CA562" s="212"/>
      <c r="CB562" s="212"/>
      <c r="CC562" s="212"/>
      <c r="CD562" s="212"/>
      <c r="CE562" s="212"/>
    </row>
    <row r="563" spans="1:83" x14ac:dyDescent="0.2">
      <c r="A563" s="302"/>
      <c r="B563" s="214"/>
      <c r="C563" s="303"/>
      <c r="D563" s="295"/>
      <c r="E563" s="304"/>
      <c r="F563" s="304"/>
      <c r="G563" s="324"/>
      <c r="H563" s="324"/>
      <c r="I563" s="298"/>
      <c r="J563" s="324"/>
      <c r="K563" s="324"/>
      <c r="L563" s="324"/>
      <c r="M563" s="324"/>
      <c r="N563" s="304"/>
      <c r="O563" s="509"/>
      <c r="P563" s="509"/>
      <c r="Q563" s="509"/>
      <c r="R563" s="509"/>
      <c r="S563" s="509"/>
      <c r="T563" s="509"/>
      <c r="U563" s="509"/>
      <c r="V563" s="509"/>
      <c r="W563" s="509"/>
      <c r="X563" s="509"/>
      <c r="Y563" s="509"/>
      <c r="Z563" s="509"/>
      <c r="AA563" s="509"/>
      <c r="AB563" s="324"/>
      <c r="AC563" s="324"/>
      <c r="AD563" s="304"/>
      <c r="AE563" s="304"/>
      <c r="AF563" s="304"/>
      <c r="AG563" s="304"/>
      <c r="AH563" s="304"/>
      <c r="AI563" s="304"/>
      <c r="AJ563" s="304"/>
      <c r="AK563" s="304"/>
      <c r="AL563" s="304"/>
      <c r="AM563" s="304"/>
      <c r="AN563" s="304"/>
      <c r="AO563" s="304"/>
      <c r="AP563" s="212"/>
      <c r="AQ563" s="212"/>
      <c r="AR563" s="212"/>
      <c r="AS563" s="308"/>
      <c r="AT563" s="308"/>
      <c r="AU563" s="307"/>
      <c r="AV563" s="307"/>
      <c r="AW563" s="307"/>
      <c r="AX563" s="307"/>
      <c r="AY563" s="307"/>
      <c r="AZ563" s="307"/>
      <c r="BA563" s="307"/>
      <c r="BB563" s="196"/>
      <c r="BC563" s="196"/>
      <c r="BD563" s="212"/>
      <c r="BE563" s="212"/>
      <c r="BF563" s="212"/>
      <c r="BG563" s="212"/>
      <c r="BH563" s="212"/>
      <c r="BI563" s="212"/>
      <c r="BJ563" s="212"/>
      <c r="BK563" s="212"/>
      <c r="BL563" s="212"/>
      <c r="BM563" s="212"/>
      <c r="BN563" s="212"/>
      <c r="BO563" s="212"/>
      <c r="BP563" s="212"/>
      <c r="BQ563" s="212"/>
      <c r="BR563" s="212"/>
      <c r="BS563" s="212"/>
      <c r="BT563" s="212"/>
      <c r="BU563" s="212"/>
      <c r="BV563" s="212"/>
      <c r="BW563" s="212"/>
      <c r="BX563" s="212"/>
      <c r="BY563" s="212"/>
      <c r="BZ563" s="212"/>
      <c r="CA563" s="212"/>
      <c r="CB563" s="212"/>
      <c r="CC563" s="212"/>
      <c r="CD563" s="212"/>
      <c r="CE563" s="212"/>
    </row>
    <row r="564" spans="1:83" x14ac:dyDescent="0.2">
      <c r="A564" s="302"/>
      <c r="B564" s="214"/>
      <c r="C564" s="303"/>
      <c r="D564" s="295"/>
      <c r="E564" s="304"/>
      <c r="F564" s="304"/>
      <c r="G564" s="324"/>
      <c r="H564" s="324"/>
      <c r="I564" s="298"/>
      <c r="J564" s="324"/>
      <c r="K564" s="324"/>
      <c r="L564" s="324"/>
      <c r="M564" s="324"/>
      <c r="N564" s="304"/>
      <c r="O564" s="509"/>
      <c r="P564" s="509"/>
      <c r="Q564" s="509"/>
      <c r="R564" s="509"/>
      <c r="S564" s="509"/>
      <c r="T564" s="509"/>
      <c r="U564" s="509"/>
      <c r="V564" s="509"/>
      <c r="W564" s="509"/>
      <c r="X564" s="509"/>
      <c r="Y564" s="509"/>
      <c r="Z564" s="509"/>
      <c r="AA564" s="509"/>
      <c r="AB564" s="324"/>
      <c r="AC564" s="324"/>
      <c r="AD564" s="304"/>
      <c r="AE564" s="304"/>
      <c r="AF564" s="304"/>
      <c r="AG564" s="304"/>
      <c r="AH564" s="304"/>
      <c r="AI564" s="304"/>
      <c r="AJ564" s="304"/>
      <c r="AK564" s="304"/>
      <c r="AL564" s="304"/>
      <c r="AM564" s="304"/>
      <c r="AN564" s="304"/>
      <c r="AO564" s="304"/>
      <c r="AP564" s="212"/>
      <c r="AQ564" s="212"/>
      <c r="AR564" s="212"/>
      <c r="AS564" s="308"/>
      <c r="AT564" s="308"/>
      <c r="AU564" s="307"/>
      <c r="AV564" s="307"/>
      <c r="AW564" s="307"/>
      <c r="AX564" s="307"/>
      <c r="AY564" s="307"/>
      <c r="AZ564" s="307"/>
      <c r="BA564" s="307"/>
      <c r="BB564" s="196"/>
      <c r="BC564" s="196"/>
      <c r="BD564" s="212"/>
      <c r="BE564" s="212"/>
      <c r="BF564" s="212"/>
      <c r="BG564" s="212"/>
      <c r="BH564" s="212"/>
      <c r="BI564" s="212"/>
      <c r="BJ564" s="212"/>
      <c r="BK564" s="212"/>
      <c r="BL564" s="212"/>
      <c r="BM564" s="212"/>
      <c r="BN564" s="212"/>
      <c r="BO564" s="212"/>
      <c r="BP564" s="212"/>
      <c r="BQ564" s="212"/>
      <c r="BR564" s="212"/>
      <c r="BS564" s="212"/>
      <c r="BT564" s="212"/>
      <c r="BU564" s="212"/>
      <c r="BV564" s="212"/>
      <c r="BW564" s="212"/>
      <c r="BX564" s="212"/>
      <c r="BY564" s="212"/>
      <c r="BZ564" s="212"/>
      <c r="CA564" s="212"/>
      <c r="CB564" s="212"/>
      <c r="CC564" s="212"/>
      <c r="CD564" s="212"/>
      <c r="CE564" s="212"/>
    </row>
    <row r="565" spans="1:83" x14ac:dyDescent="0.2">
      <c r="A565" s="302"/>
      <c r="B565" s="214"/>
      <c r="C565" s="303"/>
      <c r="D565" s="295"/>
      <c r="E565" s="304"/>
      <c r="F565" s="304"/>
      <c r="G565" s="324"/>
      <c r="H565" s="324"/>
      <c r="I565" s="298"/>
      <c r="J565" s="324"/>
      <c r="K565" s="324"/>
      <c r="L565" s="324"/>
      <c r="M565" s="324"/>
      <c r="N565" s="304"/>
      <c r="O565" s="509"/>
      <c r="P565" s="509"/>
      <c r="Q565" s="509"/>
      <c r="R565" s="509"/>
      <c r="S565" s="509"/>
      <c r="T565" s="509"/>
      <c r="U565" s="509"/>
      <c r="V565" s="509"/>
      <c r="W565" s="509"/>
      <c r="X565" s="509"/>
      <c r="Y565" s="509"/>
      <c r="Z565" s="509"/>
      <c r="AA565" s="509"/>
      <c r="AB565" s="324"/>
      <c r="AC565" s="324"/>
      <c r="AD565" s="304"/>
      <c r="AE565" s="304"/>
      <c r="AF565" s="304"/>
      <c r="AG565" s="304"/>
      <c r="AH565" s="304"/>
      <c r="AI565" s="304"/>
      <c r="AJ565" s="304"/>
      <c r="AK565" s="304"/>
      <c r="AL565" s="304"/>
      <c r="AM565" s="304"/>
      <c r="AN565" s="304"/>
      <c r="AO565" s="304"/>
      <c r="AP565" s="212"/>
      <c r="AQ565" s="212"/>
      <c r="AR565" s="212"/>
      <c r="AS565" s="308"/>
      <c r="AT565" s="308"/>
      <c r="AU565" s="307"/>
      <c r="AV565" s="307"/>
      <c r="AW565" s="307"/>
      <c r="AX565" s="307"/>
      <c r="AY565" s="307"/>
      <c r="AZ565" s="307"/>
      <c r="BA565" s="307"/>
      <c r="BB565" s="196"/>
      <c r="BC565" s="196"/>
      <c r="BD565" s="212"/>
      <c r="BE565" s="212"/>
      <c r="BF565" s="212"/>
      <c r="BG565" s="212"/>
      <c r="BH565" s="212"/>
      <c r="BI565" s="212"/>
      <c r="BJ565" s="212"/>
      <c r="BK565" s="212"/>
      <c r="BL565" s="212"/>
      <c r="BM565" s="212"/>
      <c r="BN565" s="212"/>
      <c r="BO565" s="212"/>
      <c r="BP565" s="212"/>
      <c r="BQ565" s="212"/>
      <c r="BR565" s="212"/>
      <c r="BS565" s="212"/>
      <c r="BT565" s="212"/>
      <c r="BU565" s="212"/>
      <c r="BV565" s="212"/>
      <c r="BW565" s="212"/>
      <c r="BX565" s="212"/>
      <c r="BY565" s="212"/>
      <c r="BZ565" s="212"/>
      <c r="CA565" s="212"/>
      <c r="CB565" s="212"/>
      <c r="CC565" s="212"/>
      <c r="CD565" s="212"/>
      <c r="CE565" s="212"/>
    </row>
    <row r="566" spans="1:83" x14ac:dyDescent="0.2">
      <c r="A566" s="302"/>
      <c r="B566" s="214"/>
      <c r="C566" s="303"/>
      <c r="D566" s="295"/>
      <c r="E566" s="304"/>
      <c r="F566" s="304"/>
      <c r="G566" s="324"/>
      <c r="H566" s="324"/>
      <c r="I566" s="298"/>
      <c r="J566" s="324"/>
      <c r="K566" s="324"/>
      <c r="L566" s="324"/>
      <c r="M566" s="324"/>
      <c r="N566" s="304"/>
      <c r="O566" s="509"/>
      <c r="P566" s="509"/>
      <c r="Q566" s="509"/>
      <c r="R566" s="509"/>
      <c r="S566" s="509"/>
      <c r="T566" s="509"/>
      <c r="U566" s="509"/>
      <c r="V566" s="509"/>
      <c r="W566" s="509"/>
      <c r="X566" s="509"/>
      <c r="Y566" s="509"/>
      <c r="Z566" s="509"/>
      <c r="AA566" s="509"/>
      <c r="AB566" s="324"/>
      <c r="AC566" s="324"/>
      <c r="AD566" s="304"/>
      <c r="AE566" s="304"/>
      <c r="AF566" s="304"/>
      <c r="AG566" s="304"/>
      <c r="AH566" s="304"/>
      <c r="AI566" s="304"/>
      <c r="AJ566" s="304"/>
      <c r="AK566" s="304"/>
      <c r="AL566" s="304"/>
      <c r="AM566" s="304"/>
      <c r="AN566" s="304"/>
      <c r="AO566" s="304"/>
      <c r="AP566" s="212"/>
      <c r="AQ566" s="212"/>
      <c r="AR566" s="212"/>
      <c r="AS566" s="308"/>
      <c r="AT566" s="308"/>
      <c r="AU566" s="307"/>
      <c r="AV566" s="307"/>
      <c r="AW566" s="307"/>
      <c r="AX566" s="307"/>
      <c r="AY566" s="307"/>
      <c r="AZ566" s="307"/>
      <c r="BA566" s="307"/>
      <c r="BB566" s="196"/>
      <c r="BC566" s="196"/>
      <c r="BD566" s="212"/>
      <c r="BE566" s="212"/>
      <c r="BF566" s="212"/>
      <c r="BG566" s="212"/>
      <c r="BH566" s="212"/>
      <c r="BI566" s="212"/>
      <c r="BJ566" s="212"/>
      <c r="BK566" s="212"/>
      <c r="BL566" s="212"/>
      <c r="BM566" s="212"/>
      <c r="BN566" s="212"/>
      <c r="BO566" s="212"/>
      <c r="BP566" s="212"/>
      <c r="BQ566" s="212"/>
      <c r="BR566" s="212"/>
      <c r="BS566" s="212"/>
      <c r="BT566" s="212"/>
      <c r="BU566" s="212"/>
      <c r="BV566" s="212"/>
      <c r="BW566" s="212"/>
      <c r="BX566" s="212"/>
      <c r="BY566" s="212"/>
      <c r="BZ566" s="212"/>
      <c r="CA566" s="212"/>
      <c r="CB566" s="212"/>
      <c r="CC566" s="212"/>
      <c r="CD566" s="212"/>
      <c r="CE566" s="212"/>
    </row>
    <row r="567" spans="1:83" x14ac:dyDescent="0.2">
      <c r="A567" s="302"/>
      <c r="B567" s="214"/>
      <c r="C567" s="303"/>
      <c r="D567" s="295"/>
      <c r="E567" s="304"/>
      <c r="F567" s="304"/>
      <c r="G567" s="324"/>
      <c r="H567" s="324"/>
      <c r="I567" s="298"/>
      <c r="J567" s="324"/>
      <c r="K567" s="324"/>
      <c r="L567" s="324"/>
      <c r="M567" s="324"/>
      <c r="N567" s="304"/>
      <c r="O567" s="509"/>
      <c r="P567" s="509"/>
      <c r="Q567" s="509"/>
      <c r="R567" s="509"/>
      <c r="S567" s="509"/>
      <c r="T567" s="509"/>
      <c r="U567" s="509"/>
      <c r="V567" s="509"/>
      <c r="W567" s="509"/>
      <c r="X567" s="509"/>
      <c r="Y567" s="509"/>
      <c r="Z567" s="509"/>
      <c r="AA567" s="509"/>
      <c r="AB567" s="324"/>
      <c r="AC567" s="324"/>
      <c r="AD567" s="304"/>
      <c r="AE567" s="304"/>
      <c r="AF567" s="304"/>
      <c r="AG567" s="304"/>
      <c r="AH567" s="304"/>
      <c r="AI567" s="304"/>
      <c r="AJ567" s="304"/>
      <c r="AK567" s="304"/>
      <c r="AL567" s="304"/>
      <c r="AM567" s="304"/>
      <c r="AN567" s="304"/>
      <c r="AO567" s="304"/>
      <c r="AP567" s="212"/>
      <c r="AQ567" s="212"/>
      <c r="AR567" s="212"/>
      <c r="AS567" s="308"/>
      <c r="AT567" s="308"/>
      <c r="AU567" s="307"/>
      <c r="AV567" s="307"/>
      <c r="AW567" s="307"/>
      <c r="AX567" s="307"/>
      <c r="AY567" s="307"/>
      <c r="AZ567" s="307"/>
      <c r="BA567" s="307"/>
      <c r="BB567" s="196"/>
      <c r="BC567" s="196"/>
      <c r="BD567" s="212"/>
      <c r="BE567" s="212"/>
      <c r="BF567" s="212"/>
      <c r="BG567" s="212"/>
      <c r="BH567" s="212"/>
      <c r="BI567" s="212"/>
      <c r="BJ567" s="212"/>
      <c r="BK567" s="212"/>
      <c r="BL567" s="212"/>
      <c r="BM567" s="212"/>
      <c r="BN567" s="212"/>
      <c r="BO567" s="212"/>
      <c r="BP567" s="212"/>
      <c r="BQ567" s="212"/>
      <c r="BR567" s="212"/>
      <c r="BS567" s="212"/>
      <c r="BT567" s="212"/>
      <c r="BU567" s="212"/>
      <c r="BV567" s="212"/>
      <c r="BW567" s="212"/>
      <c r="BX567" s="212"/>
      <c r="BY567" s="212"/>
      <c r="BZ567" s="212"/>
      <c r="CA567" s="212"/>
      <c r="CB567" s="212"/>
      <c r="CC567" s="212"/>
      <c r="CD567" s="212"/>
      <c r="CE567" s="212"/>
    </row>
    <row r="568" spans="1:83" x14ac:dyDescent="0.2">
      <c r="A568" s="302"/>
      <c r="B568" s="214"/>
      <c r="C568" s="303"/>
      <c r="D568" s="295"/>
      <c r="E568" s="304"/>
      <c r="F568" s="304"/>
      <c r="G568" s="324"/>
      <c r="H568" s="324"/>
      <c r="I568" s="298"/>
      <c r="J568" s="324"/>
      <c r="K568" s="324"/>
      <c r="L568" s="324"/>
      <c r="M568" s="324"/>
      <c r="N568" s="304"/>
      <c r="O568" s="509"/>
      <c r="P568" s="509"/>
      <c r="Q568" s="509"/>
      <c r="R568" s="509"/>
      <c r="S568" s="509"/>
      <c r="T568" s="509"/>
      <c r="U568" s="509"/>
      <c r="V568" s="509"/>
      <c r="W568" s="509"/>
      <c r="X568" s="509"/>
      <c r="Y568" s="509"/>
      <c r="Z568" s="509"/>
      <c r="AA568" s="509"/>
      <c r="AB568" s="324"/>
      <c r="AC568" s="324"/>
      <c r="AD568" s="304"/>
      <c r="AE568" s="304"/>
      <c r="AF568" s="304"/>
      <c r="AG568" s="304"/>
      <c r="AH568" s="304"/>
      <c r="AI568" s="304"/>
      <c r="AJ568" s="304"/>
      <c r="AK568" s="304"/>
      <c r="AL568" s="304"/>
      <c r="AM568" s="304"/>
      <c r="AN568" s="304"/>
      <c r="AO568" s="304"/>
      <c r="AP568" s="212"/>
      <c r="AQ568" s="212"/>
      <c r="AR568" s="212"/>
      <c r="AS568" s="308"/>
      <c r="AT568" s="308"/>
      <c r="AU568" s="307"/>
      <c r="AV568" s="307"/>
      <c r="AW568" s="307"/>
      <c r="AX568" s="307"/>
      <c r="AY568" s="307"/>
      <c r="AZ568" s="307"/>
      <c r="BA568" s="307"/>
      <c r="BB568" s="196"/>
      <c r="BC568" s="196"/>
      <c r="BD568" s="212"/>
      <c r="BE568" s="212"/>
      <c r="BF568" s="212"/>
      <c r="BG568" s="212"/>
      <c r="BH568" s="212"/>
      <c r="BI568" s="212"/>
      <c r="BJ568" s="212"/>
      <c r="BK568" s="212"/>
      <c r="BL568" s="212"/>
      <c r="BM568" s="212"/>
      <c r="BN568" s="212"/>
      <c r="BO568" s="212"/>
      <c r="BP568" s="212"/>
      <c r="BQ568" s="212"/>
      <c r="BR568" s="212"/>
      <c r="BS568" s="212"/>
      <c r="BT568" s="212"/>
      <c r="BU568" s="212"/>
      <c r="BV568" s="212"/>
      <c r="BW568" s="212"/>
      <c r="BX568" s="212"/>
      <c r="BY568" s="212"/>
      <c r="BZ568" s="212"/>
      <c r="CA568" s="212"/>
      <c r="CB568" s="212"/>
      <c r="CC568" s="212"/>
      <c r="CD568" s="212"/>
      <c r="CE568" s="212"/>
    </row>
    <row r="569" spans="1:83" x14ac:dyDescent="0.2">
      <c r="A569" s="302"/>
      <c r="B569" s="214"/>
      <c r="C569" s="303"/>
      <c r="D569" s="295"/>
      <c r="E569" s="304"/>
      <c r="F569" s="304"/>
      <c r="G569" s="324"/>
      <c r="H569" s="324"/>
      <c r="I569" s="298"/>
      <c r="J569" s="324"/>
      <c r="K569" s="324"/>
      <c r="L569" s="324"/>
      <c r="M569" s="324"/>
      <c r="N569" s="304"/>
      <c r="O569" s="509"/>
      <c r="P569" s="509"/>
      <c r="Q569" s="509"/>
      <c r="R569" s="509"/>
      <c r="S569" s="509"/>
      <c r="T569" s="509"/>
      <c r="U569" s="509"/>
      <c r="V569" s="509"/>
      <c r="W569" s="509"/>
      <c r="X569" s="509"/>
      <c r="Y569" s="509"/>
      <c r="Z569" s="509"/>
      <c r="AA569" s="509"/>
      <c r="AB569" s="324"/>
      <c r="AC569" s="324"/>
      <c r="AD569" s="304"/>
      <c r="AE569" s="304"/>
      <c r="AF569" s="304"/>
      <c r="AG569" s="304"/>
      <c r="AH569" s="304"/>
      <c r="AI569" s="304"/>
      <c r="AJ569" s="304"/>
      <c r="AK569" s="304"/>
      <c r="AL569" s="304"/>
      <c r="AM569" s="304"/>
      <c r="AN569" s="304"/>
      <c r="AO569" s="304"/>
      <c r="AP569" s="212"/>
      <c r="AQ569" s="212"/>
      <c r="AR569" s="212"/>
      <c r="AS569" s="308"/>
      <c r="AT569" s="308"/>
      <c r="AU569" s="307"/>
      <c r="AV569" s="307"/>
      <c r="AW569" s="307"/>
      <c r="AX569" s="307"/>
      <c r="AY569" s="307"/>
      <c r="AZ569" s="307"/>
      <c r="BA569" s="307"/>
      <c r="BB569" s="196"/>
      <c r="BC569" s="196"/>
      <c r="BD569" s="212"/>
      <c r="BE569" s="212"/>
      <c r="BF569" s="212"/>
      <c r="BG569" s="212"/>
      <c r="BH569" s="212"/>
      <c r="BI569" s="212"/>
      <c r="BJ569" s="212"/>
      <c r="BK569" s="212"/>
      <c r="BL569" s="212"/>
      <c r="BM569" s="212"/>
      <c r="BN569" s="212"/>
      <c r="BO569" s="212"/>
      <c r="BP569" s="212"/>
      <c r="BQ569" s="212"/>
      <c r="BR569" s="212"/>
      <c r="BS569" s="212"/>
      <c r="BT569" s="212"/>
      <c r="BU569" s="212"/>
      <c r="BV569" s="212"/>
      <c r="BW569" s="212"/>
      <c r="BX569" s="212"/>
      <c r="BY569" s="212"/>
      <c r="BZ569" s="212"/>
      <c r="CA569" s="212"/>
      <c r="CB569" s="212"/>
      <c r="CC569" s="212"/>
      <c r="CD569" s="212"/>
      <c r="CE569" s="212"/>
    </row>
    <row r="570" spans="1:83" x14ac:dyDescent="0.2">
      <c r="A570" s="302"/>
      <c r="B570" s="214"/>
      <c r="C570" s="303"/>
      <c r="D570" s="295"/>
      <c r="E570" s="304"/>
      <c r="F570" s="304"/>
      <c r="G570" s="324"/>
      <c r="H570" s="324"/>
      <c r="I570" s="298"/>
      <c r="J570" s="324"/>
      <c r="K570" s="324"/>
      <c r="L570" s="324"/>
      <c r="M570" s="324"/>
      <c r="N570" s="304"/>
      <c r="O570" s="509"/>
      <c r="P570" s="509"/>
      <c r="Q570" s="509"/>
      <c r="R570" s="509"/>
      <c r="S570" s="509"/>
      <c r="T570" s="509"/>
      <c r="U570" s="509"/>
      <c r="V570" s="509"/>
      <c r="W570" s="509"/>
      <c r="X570" s="509"/>
      <c r="Y570" s="509"/>
      <c r="Z570" s="509"/>
      <c r="AA570" s="509"/>
      <c r="AB570" s="324"/>
      <c r="AC570" s="324"/>
      <c r="AD570" s="304"/>
      <c r="AE570" s="304"/>
      <c r="AF570" s="304"/>
      <c r="AG570" s="304"/>
      <c r="AH570" s="304"/>
      <c r="AI570" s="304"/>
      <c r="AJ570" s="304"/>
      <c r="AK570" s="304"/>
      <c r="AL570" s="304"/>
      <c r="AM570" s="304"/>
      <c r="AN570" s="304"/>
      <c r="AO570" s="304"/>
      <c r="AP570" s="212"/>
      <c r="AQ570" s="212"/>
      <c r="AR570" s="212"/>
      <c r="AS570" s="308"/>
      <c r="AT570" s="308"/>
      <c r="AU570" s="307"/>
      <c r="AV570" s="307"/>
      <c r="AW570" s="307"/>
      <c r="AX570" s="307"/>
      <c r="AY570" s="307"/>
      <c r="AZ570" s="307"/>
      <c r="BA570" s="307"/>
      <c r="BB570" s="196"/>
      <c r="BC570" s="196"/>
      <c r="BD570" s="212"/>
      <c r="BE570" s="212"/>
      <c r="BF570" s="212"/>
      <c r="BG570" s="212"/>
      <c r="BH570" s="212"/>
      <c r="BI570" s="212"/>
      <c r="BJ570" s="212"/>
      <c r="BK570" s="212"/>
      <c r="BL570" s="212"/>
      <c r="BM570" s="212"/>
      <c r="BN570" s="212"/>
      <c r="BO570" s="212"/>
      <c r="BP570" s="212"/>
      <c r="BQ570" s="212"/>
      <c r="BR570" s="212"/>
      <c r="BS570" s="212"/>
      <c r="BT570" s="212"/>
      <c r="BU570" s="212"/>
      <c r="BV570" s="212"/>
      <c r="BW570" s="212"/>
      <c r="BX570" s="212"/>
      <c r="BY570" s="212"/>
      <c r="BZ570" s="212"/>
      <c r="CA570" s="212"/>
      <c r="CB570" s="212"/>
      <c r="CC570" s="212"/>
      <c r="CD570" s="212"/>
      <c r="CE570" s="212"/>
    </row>
    <row r="571" spans="1:83" x14ac:dyDescent="0.2">
      <c r="A571" s="302"/>
      <c r="B571" s="214"/>
      <c r="C571" s="303"/>
      <c r="D571" s="295"/>
      <c r="E571" s="304"/>
      <c r="F571" s="304"/>
      <c r="G571" s="324"/>
      <c r="H571" s="324"/>
      <c r="I571" s="298"/>
      <c r="J571" s="324"/>
      <c r="K571" s="324"/>
      <c r="L571" s="324"/>
      <c r="M571" s="324"/>
      <c r="N571" s="304"/>
      <c r="O571" s="509"/>
      <c r="P571" s="509"/>
      <c r="Q571" s="509"/>
      <c r="R571" s="509"/>
      <c r="S571" s="509"/>
      <c r="T571" s="509"/>
      <c r="U571" s="509"/>
      <c r="V571" s="509"/>
      <c r="W571" s="509"/>
      <c r="X571" s="509"/>
      <c r="Y571" s="509"/>
      <c r="Z571" s="509"/>
      <c r="AA571" s="509"/>
      <c r="AB571" s="324"/>
      <c r="AC571" s="324"/>
      <c r="AD571" s="304"/>
      <c r="AE571" s="304"/>
      <c r="AF571" s="304"/>
      <c r="AG571" s="304"/>
      <c r="AH571" s="304"/>
      <c r="AI571" s="304"/>
      <c r="AJ571" s="304"/>
      <c r="AK571" s="304"/>
      <c r="AL571" s="304"/>
      <c r="AM571" s="304"/>
      <c r="AN571" s="304"/>
      <c r="AO571" s="304"/>
      <c r="AP571" s="212"/>
      <c r="AQ571" s="212"/>
      <c r="AR571" s="212"/>
      <c r="AS571" s="308"/>
      <c r="AT571" s="308"/>
      <c r="AU571" s="307"/>
      <c r="AV571" s="307"/>
      <c r="AW571" s="307"/>
      <c r="AX571" s="307"/>
      <c r="AY571" s="307"/>
      <c r="AZ571" s="307"/>
      <c r="BA571" s="307"/>
      <c r="BB571" s="196"/>
      <c r="BC571" s="196"/>
      <c r="BD571" s="212"/>
      <c r="BE571" s="212"/>
      <c r="BF571" s="212"/>
      <c r="BG571" s="212"/>
      <c r="BH571" s="212"/>
      <c r="BI571" s="212"/>
      <c r="BJ571" s="212"/>
      <c r="BK571" s="212"/>
      <c r="BL571" s="212"/>
      <c r="BM571" s="212"/>
      <c r="BN571" s="212"/>
      <c r="BO571" s="212"/>
      <c r="BP571" s="212"/>
      <c r="BQ571" s="212"/>
      <c r="BR571" s="212"/>
      <c r="BS571" s="212"/>
      <c r="BT571" s="212"/>
      <c r="BU571" s="212"/>
      <c r="BV571" s="212"/>
      <c r="BW571" s="212"/>
      <c r="BX571" s="212"/>
      <c r="BY571" s="212"/>
      <c r="BZ571" s="212"/>
      <c r="CA571" s="212"/>
      <c r="CB571" s="212"/>
      <c r="CC571" s="212"/>
      <c r="CD571" s="212"/>
      <c r="CE571" s="212"/>
    </row>
    <row r="572" spans="1:83" x14ac:dyDescent="0.2">
      <c r="A572" s="302"/>
      <c r="B572" s="214"/>
      <c r="C572" s="303"/>
      <c r="D572" s="295"/>
      <c r="E572" s="304"/>
      <c r="F572" s="304"/>
      <c r="G572" s="324"/>
      <c r="H572" s="324"/>
      <c r="I572" s="298"/>
      <c r="J572" s="324"/>
      <c r="K572" s="324"/>
      <c r="L572" s="324"/>
      <c r="M572" s="324"/>
      <c r="N572" s="304"/>
      <c r="O572" s="509"/>
      <c r="P572" s="509"/>
      <c r="Q572" s="509"/>
      <c r="R572" s="509"/>
      <c r="S572" s="509"/>
      <c r="T572" s="509"/>
      <c r="U572" s="509"/>
      <c r="V572" s="509"/>
      <c r="W572" s="509"/>
      <c r="X572" s="509"/>
      <c r="Y572" s="509"/>
      <c r="Z572" s="509"/>
      <c r="AA572" s="509"/>
      <c r="AB572" s="324"/>
      <c r="AC572" s="324"/>
      <c r="AD572" s="304"/>
      <c r="AE572" s="304"/>
      <c r="AF572" s="304"/>
      <c r="AG572" s="304"/>
      <c r="AH572" s="304"/>
      <c r="AI572" s="304"/>
      <c r="AJ572" s="304"/>
      <c r="AK572" s="304"/>
      <c r="AL572" s="304"/>
      <c r="AM572" s="304"/>
      <c r="AN572" s="304"/>
      <c r="AO572" s="304"/>
      <c r="AP572" s="212"/>
      <c r="AQ572" s="212"/>
      <c r="AR572" s="212"/>
      <c r="AS572" s="308"/>
      <c r="AT572" s="308"/>
      <c r="AU572" s="307"/>
      <c r="AV572" s="307"/>
      <c r="AW572" s="307"/>
      <c r="AX572" s="307"/>
      <c r="AY572" s="307"/>
      <c r="AZ572" s="307"/>
      <c r="BA572" s="307"/>
      <c r="BB572" s="196"/>
      <c r="BC572" s="196"/>
      <c r="BD572" s="212"/>
      <c r="BE572" s="212"/>
      <c r="BF572" s="212"/>
      <c r="BG572" s="212"/>
      <c r="BH572" s="212"/>
      <c r="BI572" s="212"/>
      <c r="BJ572" s="212"/>
      <c r="BK572" s="212"/>
      <c r="BL572" s="212"/>
      <c r="BM572" s="212"/>
      <c r="BN572" s="212"/>
      <c r="BO572" s="212"/>
      <c r="BP572" s="212"/>
      <c r="BQ572" s="212"/>
      <c r="BR572" s="212"/>
      <c r="BS572" s="212"/>
      <c r="BT572" s="212"/>
      <c r="BU572" s="212"/>
      <c r="BV572" s="212"/>
      <c r="BW572" s="212"/>
      <c r="BX572" s="212"/>
      <c r="BY572" s="212"/>
      <c r="BZ572" s="212"/>
      <c r="CA572" s="212"/>
      <c r="CB572" s="212"/>
      <c r="CC572" s="212"/>
      <c r="CD572" s="212"/>
      <c r="CE572" s="212"/>
    </row>
    <row r="573" spans="1:83" x14ac:dyDescent="0.2">
      <c r="A573" s="302"/>
      <c r="B573" s="214"/>
      <c r="C573" s="303"/>
      <c r="D573" s="295"/>
      <c r="E573" s="304"/>
      <c r="F573" s="304"/>
      <c r="G573" s="324"/>
      <c r="H573" s="324"/>
      <c r="I573" s="298"/>
      <c r="J573" s="324"/>
      <c r="K573" s="324"/>
      <c r="L573" s="324"/>
      <c r="M573" s="324"/>
      <c r="N573" s="304"/>
      <c r="O573" s="509"/>
      <c r="P573" s="509"/>
      <c r="Q573" s="509"/>
      <c r="R573" s="509"/>
      <c r="S573" s="509"/>
      <c r="T573" s="509"/>
      <c r="U573" s="509"/>
      <c r="V573" s="509"/>
      <c r="W573" s="509"/>
      <c r="X573" s="509"/>
      <c r="Y573" s="509"/>
      <c r="Z573" s="509"/>
      <c r="AA573" s="509"/>
      <c r="AB573" s="324"/>
      <c r="AC573" s="324"/>
      <c r="AD573" s="304"/>
      <c r="AE573" s="304"/>
      <c r="AF573" s="304"/>
      <c r="AG573" s="304"/>
      <c r="AH573" s="304"/>
      <c r="AI573" s="304"/>
      <c r="AJ573" s="304"/>
      <c r="AK573" s="304"/>
      <c r="AL573" s="304"/>
      <c r="AM573" s="304"/>
      <c r="AN573" s="304"/>
      <c r="AO573" s="304"/>
      <c r="AP573" s="212"/>
      <c r="AQ573" s="212"/>
      <c r="AR573" s="212"/>
      <c r="AS573" s="308"/>
      <c r="AT573" s="308"/>
      <c r="AU573" s="307"/>
      <c r="AV573" s="307"/>
      <c r="AW573" s="307"/>
      <c r="AX573" s="307"/>
      <c r="AY573" s="307"/>
      <c r="AZ573" s="307"/>
      <c r="BA573" s="307"/>
      <c r="BB573" s="196"/>
      <c r="BC573" s="196"/>
      <c r="BD573" s="212"/>
      <c r="BE573" s="212"/>
      <c r="BF573" s="212"/>
      <c r="BG573" s="212"/>
      <c r="BH573" s="212"/>
      <c r="BI573" s="212"/>
      <c r="BJ573" s="212"/>
      <c r="BK573" s="212"/>
      <c r="BL573" s="212"/>
      <c r="BM573" s="212"/>
      <c r="BN573" s="212"/>
      <c r="BO573" s="212"/>
      <c r="BP573" s="212"/>
      <c r="BQ573" s="212"/>
      <c r="BR573" s="212"/>
      <c r="BS573" s="212"/>
      <c r="BT573" s="212"/>
      <c r="BU573" s="212"/>
      <c r="BV573" s="212"/>
      <c r="BW573" s="212"/>
      <c r="BX573" s="212"/>
      <c r="BY573" s="212"/>
      <c r="BZ573" s="212"/>
      <c r="CA573" s="212"/>
      <c r="CB573" s="212"/>
      <c r="CC573" s="212"/>
      <c r="CD573" s="212"/>
      <c r="CE573" s="212"/>
    </row>
    <row r="574" spans="1:83" x14ac:dyDescent="0.2">
      <c r="A574" s="302"/>
      <c r="B574" s="214"/>
      <c r="C574" s="303"/>
      <c r="D574" s="295"/>
      <c r="E574" s="304"/>
      <c r="F574" s="304"/>
      <c r="G574" s="324"/>
      <c r="H574" s="324"/>
      <c r="I574" s="298"/>
      <c r="J574" s="324"/>
      <c r="K574" s="324"/>
      <c r="L574" s="324"/>
      <c r="M574" s="324"/>
      <c r="N574" s="304"/>
      <c r="O574" s="509"/>
      <c r="P574" s="509"/>
      <c r="Q574" s="509"/>
      <c r="R574" s="509"/>
      <c r="S574" s="509"/>
      <c r="T574" s="509"/>
      <c r="U574" s="509"/>
      <c r="V574" s="509"/>
      <c r="W574" s="509"/>
      <c r="X574" s="509"/>
      <c r="Y574" s="509"/>
      <c r="Z574" s="509"/>
      <c r="AA574" s="509"/>
      <c r="AB574" s="324"/>
      <c r="AC574" s="324"/>
      <c r="AD574" s="304"/>
      <c r="AE574" s="304"/>
      <c r="AF574" s="304"/>
      <c r="AG574" s="304"/>
      <c r="AH574" s="304"/>
      <c r="AI574" s="304"/>
      <c r="AJ574" s="304"/>
      <c r="AK574" s="304"/>
      <c r="AL574" s="304"/>
      <c r="AM574" s="304"/>
      <c r="AN574" s="304"/>
      <c r="AO574" s="304"/>
      <c r="AP574" s="212"/>
      <c r="AQ574" s="212"/>
      <c r="AR574" s="212"/>
      <c r="AS574" s="308"/>
      <c r="AT574" s="308"/>
      <c r="AU574" s="307"/>
      <c r="AV574" s="307"/>
      <c r="AW574" s="307"/>
      <c r="AX574" s="307"/>
      <c r="AY574" s="307"/>
      <c r="AZ574" s="307"/>
      <c r="BA574" s="307"/>
      <c r="BB574" s="196"/>
      <c r="BC574" s="196"/>
      <c r="BD574" s="212"/>
      <c r="BE574" s="212"/>
      <c r="BF574" s="212"/>
      <c r="BG574" s="212"/>
      <c r="BH574" s="212"/>
      <c r="BI574" s="212"/>
      <c r="BJ574" s="212"/>
      <c r="BK574" s="212"/>
      <c r="BL574" s="212"/>
      <c r="BM574" s="212"/>
      <c r="BN574" s="212"/>
      <c r="BO574" s="212"/>
      <c r="BP574" s="212"/>
      <c r="BQ574" s="212"/>
      <c r="BR574" s="212"/>
      <c r="BS574" s="212"/>
      <c r="BT574" s="212"/>
      <c r="BU574" s="212"/>
      <c r="BV574" s="212"/>
      <c r="BW574" s="212"/>
      <c r="BX574" s="212"/>
      <c r="BY574" s="212"/>
      <c r="BZ574" s="212"/>
      <c r="CA574" s="212"/>
      <c r="CB574" s="212"/>
      <c r="CC574" s="212"/>
      <c r="CD574" s="212"/>
      <c r="CE574" s="212"/>
    </row>
    <row r="575" spans="1:83" x14ac:dyDescent="0.2">
      <c r="A575" s="302"/>
      <c r="B575" s="214"/>
      <c r="C575" s="303"/>
      <c r="D575" s="295"/>
      <c r="E575" s="304"/>
      <c r="F575" s="304"/>
      <c r="G575" s="324"/>
      <c r="H575" s="324"/>
      <c r="I575" s="298"/>
      <c r="J575" s="324"/>
      <c r="K575" s="324"/>
      <c r="L575" s="324"/>
      <c r="M575" s="324"/>
      <c r="N575" s="304"/>
      <c r="O575" s="509"/>
      <c r="P575" s="509"/>
      <c r="Q575" s="509"/>
      <c r="R575" s="509"/>
      <c r="S575" s="509"/>
      <c r="T575" s="509"/>
      <c r="U575" s="509"/>
      <c r="V575" s="509"/>
      <c r="W575" s="509"/>
      <c r="X575" s="509"/>
      <c r="Y575" s="509"/>
      <c r="Z575" s="509"/>
      <c r="AA575" s="509"/>
      <c r="AB575" s="324"/>
      <c r="AC575" s="324"/>
      <c r="AD575" s="304"/>
      <c r="AE575" s="304"/>
      <c r="AF575" s="304"/>
      <c r="AG575" s="304"/>
      <c r="AH575" s="304"/>
      <c r="AI575" s="304"/>
      <c r="AJ575" s="304"/>
      <c r="AK575" s="304"/>
      <c r="AL575" s="304"/>
      <c r="AM575" s="304"/>
      <c r="AN575" s="304"/>
      <c r="AO575" s="304"/>
      <c r="AP575" s="212"/>
      <c r="AQ575" s="212"/>
      <c r="AR575" s="212"/>
      <c r="AS575" s="308"/>
      <c r="AT575" s="308"/>
      <c r="AU575" s="307"/>
      <c r="AV575" s="307"/>
      <c r="AW575" s="307"/>
      <c r="AX575" s="307"/>
      <c r="AY575" s="307"/>
      <c r="AZ575" s="307"/>
      <c r="BA575" s="307"/>
      <c r="BB575" s="196"/>
      <c r="BC575" s="196"/>
      <c r="BD575" s="212"/>
      <c r="BE575" s="212"/>
      <c r="BF575" s="212"/>
      <c r="BG575" s="212"/>
      <c r="BH575" s="212"/>
      <c r="BI575" s="212"/>
      <c r="BJ575" s="212"/>
      <c r="BK575" s="212"/>
      <c r="BL575" s="212"/>
      <c r="BM575" s="212"/>
      <c r="BN575" s="212"/>
      <c r="BO575" s="212"/>
      <c r="BP575" s="212"/>
      <c r="BQ575" s="212"/>
      <c r="BR575" s="212"/>
      <c r="BS575" s="212"/>
      <c r="BT575" s="212"/>
      <c r="BU575" s="212"/>
      <c r="BV575" s="212"/>
      <c r="BW575" s="212"/>
      <c r="BX575" s="212"/>
      <c r="BY575" s="212"/>
      <c r="BZ575" s="212"/>
      <c r="CA575" s="212"/>
      <c r="CB575" s="212"/>
      <c r="CC575" s="212"/>
      <c r="CD575" s="212"/>
      <c r="CE575" s="212"/>
    </row>
    <row r="576" spans="1:83" x14ac:dyDescent="0.2">
      <c r="A576" s="302"/>
      <c r="B576" s="214"/>
      <c r="C576" s="303"/>
      <c r="D576" s="295"/>
      <c r="E576" s="304"/>
      <c r="F576" s="304"/>
      <c r="G576" s="324"/>
      <c r="H576" s="324"/>
      <c r="I576" s="298"/>
      <c r="J576" s="324"/>
      <c r="K576" s="324"/>
      <c r="L576" s="324"/>
      <c r="M576" s="324"/>
      <c r="N576" s="304"/>
      <c r="O576" s="509"/>
      <c r="P576" s="509"/>
      <c r="Q576" s="509"/>
      <c r="R576" s="509"/>
      <c r="S576" s="509"/>
      <c r="T576" s="509"/>
      <c r="U576" s="509"/>
      <c r="V576" s="509"/>
      <c r="W576" s="509"/>
      <c r="X576" s="509"/>
      <c r="Y576" s="509"/>
      <c r="Z576" s="509"/>
      <c r="AA576" s="509"/>
      <c r="AB576" s="324"/>
      <c r="AC576" s="324"/>
      <c r="AD576" s="304"/>
      <c r="AE576" s="304"/>
      <c r="AF576" s="304"/>
      <c r="AG576" s="304"/>
      <c r="AH576" s="304"/>
      <c r="AI576" s="304"/>
      <c r="AJ576" s="304"/>
      <c r="AK576" s="304"/>
      <c r="AL576" s="304"/>
      <c r="AM576" s="304"/>
      <c r="AN576" s="304"/>
      <c r="AO576" s="304"/>
      <c r="AP576" s="212"/>
      <c r="AQ576" s="212"/>
      <c r="AR576" s="212"/>
      <c r="AS576" s="308"/>
      <c r="AT576" s="308"/>
      <c r="AU576" s="307"/>
      <c r="AV576" s="307"/>
      <c r="AW576" s="307"/>
      <c r="AX576" s="307"/>
      <c r="AY576" s="307"/>
      <c r="AZ576" s="307"/>
      <c r="BA576" s="307"/>
      <c r="BB576" s="196"/>
      <c r="BC576" s="196"/>
      <c r="BD576" s="212"/>
      <c r="BE576" s="212"/>
      <c r="BF576" s="212"/>
      <c r="BG576" s="212"/>
      <c r="BH576" s="212"/>
      <c r="BI576" s="212"/>
      <c r="BJ576" s="212"/>
      <c r="BK576" s="212"/>
      <c r="BL576" s="212"/>
      <c r="BM576" s="212"/>
      <c r="BN576" s="212"/>
      <c r="BO576" s="212"/>
      <c r="BP576" s="212"/>
      <c r="BQ576" s="212"/>
      <c r="BR576" s="212"/>
      <c r="BS576" s="212"/>
      <c r="BT576" s="212"/>
      <c r="BU576" s="212"/>
      <c r="BV576" s="212"/>
      <c r="BW576" s="212"/>
      <c r="BX576" s="212"/>
      <c r="BY576" s="212"/>
      <c r="BZ576" s="212"/>
      <c r="CA576" s="212"/>
      <c r="CB576" s="212"/>
      <c r="CC576" s="212"/>
      <c r="CD576" s="212"/>
      <c r="CE576" s="212"/>
    </row>
    <row r="577" spans="1:83" x14ac:dyDescent="0.2">
      <c r="A577" s="302"/>
      <c r="B577" s="214"/>
      <c r="C577" s="303"/>
      <c r="D577" s="295"/>
      <c r="E577" s="304"/>
      <c r="F577" s="304"/>
      <c r="G577" s="324"/>
      <c r="H577" s="324"/>
      <c r="I577" s="298"/>
      <c r="J577" s="324"/>
      <c r="K577" s="324"/>
      <c r="L577" s="324"/>
      <c r="M577" s="324"/>
      <c r="N577" s="304"/>
      <c r="O577" s="509"/>
      <c r="P577" s="509"/>
      <c r="Q577" s="509"/>
      <c r="R577" s="509"/>
      <c r="S577" s="509"/>
      <c r="T577" s="509"/>
      <c r="U577" s="509"/>
      <c r="V577" s="509"/>
      <c r="W577" s="509"/>
      <c r="X577" s="509"/>
      <c r="Y577" s="509"/>
      <c r="Z577" s="509"/>
      <c r="AA577" s="509"/>
      <c r="AB577" s="324"/>
      <c r="AC577" s="324"/>
      <c r="AD577" s="304"/>
      <c r="AE577" s="304"/>
      <c r="AF577" s="304"/>
      <c r="AG577" s="304"/>
      <c r="AH577" s="304"/>
      <c r="AI577" s="304"/>
      <c r="AJ577" s="304"/>
      <c r="AK577" s="304"/>
      <c r="AL577" s="304"/>
      <c r="AM577" s="304"/>
      <c r="AN577" s="304"/>
      <c r="AO577" s="304"/>
      <c r="AP577" s="212"/>
      <c r="AQ577" s="212"/>
      <c r="AR577" s="212"/>
      <c r="AS577" s="308"/>
      <c r="AT577" s="308"/>
      <c r="AU577" s="307"/>
      <c r="AV577" s="307"/>
      <c r="AW577" s="307"/>
      <c r="AX577" s="307"/>
      <c r="AY577" s="307"/>
      <c r="AZ577" s="307"/>
      <c r="BA577" s="307"/>
      <c r="BB577" s="196"/>
      <c r="BC577" s="196"/>
      <c r="BD577" s="212"/>
      <c r="BE577" s="212"/>
      <c r="BF577" s="212"/>
      <c r="BG577" s="212"/>
      <c r="BH577" s="212"/>
      <c r="BI577" s="212"/>
      <c r="BJ577" s="212"/>
      <c r="BK577" s="212"/>
      <c r="BL577" s="212"/>
      <c r="BM577" s="212"/>
      <c r="BN577" s="212"/>
      <c r="BO577" s="212"/>
      <c r="BP577" s="212"/>
      <c r="BQ577" s="212"/>
      <c r="BR577" s="212"/>
      <c r="BS577" s="212"/>
      <c r="BT577" s="212"/>
      <c r="BU577" s="212"/>
      <c r="BV577" s="212"/>
      <c r="BW577" s="212"/>
      <c r="BX577" s="212"/>
      <c r="BY577" s="212"/>
      <c r="BZ577" s="212"/>
      <c r="CA577" s="212"/>
      <c r="CB577" s="212"/>
      <c r="CC577" s="212"/>
      <c r="CD577" s="212"/>
      <c r="CE577" s="212"/>
    </row>
    <row r="578" spans="1:83" x14ac:dyDescent="0.2">
      <c r="A578" s="302"/>
      <c r="B578" s="214"/>
      <c r="C578" s="303"/>
      <c r="D578" s="295"/>
      <c r="E578" s="304"/>
      <c r="F578" s="304"/>
      <c r="G578" s="324"/>
      <c r="H578" s="324"/>
      <c r="I578" s="298"/>
      <c r="J578" s="324"/>
      <c r="K578" s="324"/>
      <c r="L578" s="324"/>
      <c r="M578" s="324"/>
      <c r="N578" s="304"/>
      <c r="O578" s="509"/>
      <c r="P578" s="509"/>
      <c r="Q578" s="509"/>
      <c r="R578" s="509"/>
      <c r="S578" s="509"/>
      <c r="T578" s="509"/>
      <c r="U578" s="509"/>
      <c r="V578" s="509"/>
      <c r="W578" s="509"/>
      <c r="X578" s="509"/>
      <c r="Y578" s="509"/>
      <c r="Z578" s="509"/>
      <c r="AA578" s="509"/>
      <c r="AB578" s="324"/>
      <c r="AC578" s="324"/>
      <c r="AD578" s="304"/>
      <c r="AE578" s="304"/>
      <c r="AF578" s="304"/>
      <c r="AG578" s="304"/>
      <c r="AH578" s="304"/>
      <c r="AI578" s="304"/>
      <c r="AJ578" s="304"/>
      <c r="AK578" s="304"/>
      <c r="AL578" s="304"/>
      <c r="AM578" s="304"/>
      <c r="AN578" s="304"/>
      <c r="AO578" s="304"/>
      <c r="AP578" s="212"/>
      <c r="AQ578" s="212"/>
      <c r="AR578" s="212"/>
      <c r="AS578" s="308"/>
      <c r="AT578" s="308"/>
      <c r="AU578" s="307"/>
      <c r="AV578" s="307"/>
      <c r="AW578" s="307"/>
      <c r="AX578" s="307"/>
      <c r="AY578" s="307"/>
      <c r="AZ578" s="307"/>
      <c r="BA578" s="307"/>
      <c r="BB578" s="196"/>
      <c r="BC578" s="196"/>
      <c r="BD578" s="212"/>
      <c r="BE578" s="212"/>
      <c r="BF578" s="212"/>
      <c r="BG578" s="212"/>
      <c r="BH578" s="212"/>
      <c r="BI578" s="212"/>
      <c r="BJ578" s="212"/>
      <c r="BK578" s="212"/>
      <c r="BL578" s="212"/>
      <c r="BM578" s="212"/>
      <c r="BN578" s="212"/>
      <c r="BO578" s="212"/>
      <c r="BP578" s="212"/>
      <c r="BQ578" s="212"/>
      <c r="BR578" s="212"/>
      <c r="BS578" s="212"/>
      <c r="BT578" s="212"/>
      <c r="BU578" s="212"/>
      <c r="BV578" s="212"/>
      <c r="BW578" s="212"/>
      <c r="BX578" s="212"/>
      <c r="BY578" s="212"/>
      <c r="BZ578" s="212"/>
      <c r="CA578" s="212"/>
      <c r="CB578" s="212"/>
      <c r="CC578" s="212"/>
      <c r="CD578" s="212"/>
      <c r="CE578" s="212"/>
    </row>
    <row r="579" spans="1:83" x14ac:dyDescent="0.2">
      <c r="A579" s="302"/>
      <c r="B579" s="214"/>
      <c r="C579" s="303"/>
      <c r="D579" s="295"/>
      <c r="E579" s="304"/>
      <c r="F579" s="304"/>
      <c r="G579" s="324"/>
      <c r="H579" s="324"/>
      <c r="I579" s="298"/>
      <c r="J579" s="324"/>
      <c r="K579" s="324"/>
      <c r="L579" s="324"/>
      <c r="M579" s="324"/>
      <c r="N579" s="304"/>
      <c r="O579" s="509"/>
      <c r="P579" s="509"/>
      <c r="Q579" s="509"/>
      <c r="R579" s="509"/>
      <c r="S579" s="509"/>
      <c r="T579" s="509"/>
      <c r="U579" s="509"/>
      <c r="V579" s="509"/>
      <c r="W579" s="509"/>
      <c r="X579" s="509"/>
      <c r="Y579" s="509"/>
      <c r="Z579" s="509"/>
      <c r="AA579" s="509"/>
      <c r="AB579" s="324"/>
      <c r="AC579" s="324"/>
      <c r="AD579" s="304"/>
      <c r="AE579" s="304"/>
      <c r="AF579" s="304"/>
      <c r="AG579" s="304"/>
      <c r="AH579" s="304"/>
      <c r="AI579" s="304"/>
      <c r="AJ579" s="304"/>
      <c r="AK579" s="304"/>
      <c r="AL579" s="304"/>
      <c r="AM579" s="304"/>
      <c r="AN579" s="304"/>
      <c r="AO579" s="304"/>
      <c r="AP579" s="212"/>
      <c r="AQ579" s="212"/>
      <c r="AR579" s="212"/>
      <c r="AS579" s="308"/>
      <c r="AT579" s="308"/>
      <c r="AU579" s="307"/>
      <c r="AV579" s="307"/>
      <c r="AW579" s="307"/>
      <c r="AX579" s="307"/>
      <c r="AY579" s="307"/>
      <c r="AZ579" s="307"/>
      <c r="BA579" s="307"/>
      <c r="BB579" s="196"/>
      <c r="BC579" s="196"/>
      <c r="BD579" s="212"/>
      <c r="BE579" s="212"/>
      <c r="BF579" s="212"/>
      <c r="BG579" s="212"/>
      <c r="BH579" s="212"/>
      <c r="BI579" s="212"/>
      <c r="BJ579" s="212"/>
      <c r="BK579" s="212"/>
      <c r="BL579" s="212"/>
      <c r="BM579" s="212"/>
      <c r="BN579" s="212"/>
      <c r="BO579" s="212"/>
      <c r="BP579" s="212"/>
      <c r="BQ579" s="212"/>
      <c r="BR579" s="212"/>
      <c r="BS579" s="212"/>
      <c r="BT579" s="212"/>
      <c r="BU579" s="212"/>
      <c r="BV579" s="212"/>
      <c r="BW579" s="212"/>
      <c r="BX579" s="212"/>
      <c r="BY579" s="212"/>
      <c r="BZ579" s="212"/>
      <c r="CA579" s="212"/>
      <c r="CB579" s="212"/>
      <c r="CC579" s="212"/>
      <c r="CD579" s="212"/>
      <c r="CE579" s="212"/>
    </row>
    <row r="580" spans="1:83" x14ac:dyDescent="0.2">
      <c r="A580" s="302"/>
      <c r="B580" s="214"/>
      <c r="C580" s="303"/>
      <c r="D580" s="295"/>
      <c r="E580" s="304"/>
      <c r="F580" s="304"/>
      <c r="G580" s="324"/>
      <c r="H580" s="324"/>
      <c r="I580" s="298"/>
      <c r="J580" s="324"/>
      <c r="K580" s="324"/>
      <c r="L580" s="324"/>
      <c r="M580" s="324"/>
      <c r="N580" s="304"/>
      <c r="O580" s="509"/>
      <c r="P580" s="509"/>
      <c r="Q580" s="509"/>
      <c r="R580" s="509"/>
      <c r="S580" s="509"/>
      <c r="T580" s="509"/>
      <c r="U580" s="509"/>
      <c r="V580" s="509"/>
      <c r="W580" s="509"/>
      <c r="X580" s="509"/>
      <c r="Y580" s="509"/>
      <c r="Z580" s="509"/>
      <c r="AA580" s="509"/>
      <c r="AB580" s="324"/>
      <c r="AC580" s="324"/>
      <c r="AD580" s="304"/>
      <c r="AE580" s="304"/>
      <c r="AF580" s="304"/>
      <c r="AG580" s="304"/>
      <c r="AH580" s="304"/>
      <c r="AI580" s="304"/>
      <c r="AJ580" s="304"/>
      <c r="AK580" s="304"/>
      <c r="AL580" s="304"/>
      <c r="AM580" s="304"/>
      <c r="AN580" s="304"/>
      <c r="AO580" s="304"/>
      <c r="AP580" s="212"/>
      <c r="AQ580" s="212"/>
      <c r="AR580" s="212"/>
      <c r="AS580" s="308"/>
      <c r="AT580" s="308"/>
      <c r="AU580" s="307"/>
      <c r="AV580" s="307"/>
      <c r="AW580" s="307"/>
      <c r="AX580" s="307"/>
      <c r="AY580" s="307"/>
      <c r="AZ580" s="307"/>
      <c r="BA580" s="307"/>
      <c r="BB580" s="196"/>
      <c r="BC580" s="196"/>
      <c r="BD580" s="212"/>
      <c r="BE580" s="212"/>
      <c r="BF580" s="212"/>
      <c r="BG580" s="212"/>
      <c r="BH580" s="212"/>
      <c r="BI580" s="212"/>
      <c r="BJ580" s="212"/>
      <c r="BK580" s="212"/>
      <c r="BL580" s="212"/>
      <c r="BM580" s="212"/>
      <c r="BN580" s="212"/>
      <c r="BO580" s="212"/>
      <c r="BP580" s="212"/>
      <c r="BQ580" s="212"/>
      <c r="BR580" s="212"/>
      <c r="BS580" s="212"/>
      <c r="BT580" s="212"/>
      <c r="BU580" s="212"/>
      <c r="BV580" s="212"/>
      <c r="BW580" s="212"/>
      <c r="BX580" s="212"/>
      <c r="BY580" s="212"/>
      <c r="BZ580" s="212"/>
      <c r="CA580" s="212"/>
      <c r="CB580" s="212"/>
      <c r="CC580" s="212"/>
      <c r="CD580" s="212"/>
      <c r="CE580" s="212"/>
    </row>
    <row r="581" spans="1:83" x14ac:dyDescent="0.2">
      <c r="A581" s="302"/>
      <c r="B581" s="214"/>
      <c r="C581" s="303"/>
      <c r="D581" s="295"/>
      <c r="E581" s="304"/>
      <c r="F581" s="304"/>
      <c r="G581" s="324"/>
      <c r="H581" s="324"/>
      <c r="I581" s="298"/>
      <c r="J581" s="324"/>
      <c r="K581" s="324"/>
      <c r="L581" s="324"/>
      <c r="M581" s="324"/>
      <c r="N581" s="304"/>
      <c r="O581" s="509"/>
      <c r="P581" s="509"/>
      <c r="Q581" s="509"/>
      <c r="R581" s="509"/>
      <c r="S581" s="509"/>
      <c r="T581" s="509"/>
      <c r="U581" s="509"/>
      <c r="V581" s="509"/>
      <c r="W581" s="509"/>
      <c r="X581" s="509"/>
      <c r="Y581" s="509"/>
      <c r="Z581" s="509"/>
      <c r="AA581" s="509"/>
      <c r="AB581" s="324"/>
      <c r="AC581" s="324"/>
      <c r="AD581" s="304"/>
      <c r="AE581" s="304"/>
      <c r="AF581" s="304"/>
      <c r="AG581" s="304"/>
      <c r="AH581" s="304"/>
      <c r="AI581" s="304"/>
      <c r="AJ581" s="304"/>
      <c r="AK581" s="304"/>
      <c r="AL581" s="304"/>
      <c r="AM581" s="304"/>
      <c r="AN581" s="304"/>
      <c r="AO581" s="304"/>
      <c r="AP581" s="212"/>
      <c r="AQ581" s="212"/>
      <c r="AR581" s="212"/>
      <c r="AS581" s="308"/>
      <c r="AT581" s="308"/>
      <c r="AU581" s="307"/>
      <c r="AV581" s="307"/>
      <c r="AW581" s="307"/>
      <c r="AX581" s="307"/>
      <c r="AY581" s="307"/>
      <c r="AZ581" s="307"/>
      <c r="BA581" s="307"/>
      <c r="BB581" s="212"/>
      <c r="BC581" s="215"/>
      <c r="BD581" s="212"/>
      <c r="BE581" s="212"/>
      <c r="BF581" s="212"/>
      <c r="BG581" s="212"/>
      <c r="BH581" s="212"/>
      <c r="BI581" s="212"/>
      <c r="BJ581" s="212"/>
      <c r="BK581" s="212"/>
      <c r="BL581" s="212"/>
      <c r="BM581" s="212"/>
      <c r="BN581" s="212"/>
      <c r="BO581" s="212"/>
      <c r="BP581" s="212"/>
      <c r="BQ581" s="212"/>
      <c r="BR581" s="212"/>
      <c r="BS581" s="212"/>
      <c r="BT581" s="212"/>
      <c r="BU581" s="212"/>
      <c r="BV581" s="212"/>
      <c r="BW581" s="212"/>
      <c r="BX581" s="212"/>
      <c r="BY581" s="212"/>
      <c r="BZ581" s="212"/>
      <c r="CA581" s="212"/>
      <c r="CB581" s="212"/>
      <c r="CC581" s="212"/>
      <c r="CD581" s="212"/>
      <c r="CE581" s="212"/>
    </row>
    <row r="582" spans="1:83" x14ac:dyDescent="0.2">
      <c r="A582" s="302"/>
      <c r="B582" s="214"/>
      <c r="C582" s="303"/>
      <c r="D582" s="295"/>
      <c r="E582" s="304"/>
      <c r="F582" s="304"/>
      <c r="G582" s="324"/>
      <c r="H582" s="324"/>
      <c r="I582" s="298"/>
      <c r="J582" s="324"/>
      <c r="K582" s="324"/>
      <c r="L582" s="324"/>
      <c r="M582" s="324"/>
      <c r="N582" s="304"/>
      <c r="O582" s="509"/>
      <c r="P582" s="509"/>
      <c r="Q582" s="509"/>
      <c r="R582" s="509"/>
      <c r="S582" s="509"/>
      <c r="T582" s="509"/>
      <c r="U582" s="509"/>
      <c r="V582" s="509"/>
      <c r="W582" s="509"/>
      <c r="X582" s="509"/>
      <c r="Y582" s="509"/>
      <c r="Z582" s="509"/>
      <c r="AA582" s="509"/>
      <c r="AB582" s="324"/>
      <c r="AC582" s="324"/>
      <c r="AD582" s="304"/>
      <c r="AE582" s="304"/>
      <c r="AF582" s="304"/>
      <c r="AG582" s="304"/>
      <c r="AH582" s="304"/>
      <c r="AI582" s="304"/>
      <c r="AJ582" s="304"/>
      <c r="AK582" s="304"/>
      <c r="AL582" s="304"/>
      <c r="AM582" s="304"/>
      <c r="AN582" s="304"/>
      <c r="AO582" s="304"/>
      <c r="AP582" s="212"/>
      <c r="AQ582" s="212"/>
      <c r="AR582" s="212"/>
      <c r="AS582" s="308"/>
      <c r="AT582" s="308"/>
      <c r="AU582" s="307"/>
      <c r="AV582" s="307"/>
      <c r="AW582" s="307"/>
      <c r="AX582" s="307"/>
      <c r="AY582" s="307"/>
      <c r="AZ582" s="307"/>
      <c r="BA582" s="307"/>
      <c r="BB582" s="212"/>
      <c r="BC582" s="215"/>
      <c r="BD582" s="212"/>
      <c r="BE582" s="212"/>
      <c r="BF582" s="212"/>
      <c r="BG582" s="212"/>
      <c r="BH582" s="212"/>
      <c r="BI582" s="212"/>
      <c r="BJ582" s="212"/>
      <c r="BK582" s="212"/>
      <c r="BL582" s="212"/>
      <c r="BM582" s="212"/>
      <c r="BN582" s="212"/>
      <c r="BO582" s="212"/>
      <c r="BP582" s="212"/>
      <c r="BQ582" s="212"/>
      <c r="BR582" s="212"/>
      <c r="BS582" s="212"/>
      <c r="BT582" s="212"/>
      <c r="BU582" s="212"/>
      <c r="BV582" s="212"/>
      <c r="BW582" s="212"/>
      <c r="BX582" s="212"/>
      <c r="BY582" s="212"/>
      <c r="BZ582" s="212"/>
      <c r="CA582" s="212"/>
      <c r="CB582" s="212"/>
      <c r="CC582" s="212"/>
      <c r="CD582" s="212"/>
      <c r="CE582" s="212"/>
    </row>
    <row r="583" spans="1:83" x14ac:dyDescent="0.2">
      <c r="A583" s="302"/>
      <c r="B583" s="214"/>
      <c r="C583" s="303"/>
      <c r="D583" s="295"/>
      <c r="E583" s="304"/>
      <c r="F583" s="304"/>
      <c r="G583" s="324"/>
      <c r="H583" s="324"/>
      <c r="I583" s="298"/>
      <c r="J583" s="324"/>
      <c r="K583" s="324"/>
      <c r="L583" s="324"/>
      <c r="M583" s="324"/>
      <c r="N583" s="304"/>
      <c r="O583" s="509"/>
      <c r="P583" s="509"/>
      <c r="Q583" s="509"/>
      <c r="R583" s="509"/>
      <c r="S583" s="509"/>
      <c r="T583" s="509"/>
      <c r="U583" s="509"/>
      <c r="V583" s="509"/>
      <c r="W583" s="509"/>
      <c r="X583" s="509"/>
      <c r="Y583" s="509"/>
      <c r="Z583" s="509"/>
      <c r="AA583" s="509"/>
      <c r="AB583" s="324"/>
      <c r="AC583" s="324"/>
      <c r="AD583" s="304"/>
      <c r="AE583" s="304"/>
      <c r="AF583" s="304"/>
      <c r="AG583" s="304"/>
      <c r="AH583" s="304"/>
      <c r="AI583" s="304"/>
      <c r="AJ583" s="304"/>
      <c r="AK583" s="304"/>
      <c r="AL583" s="304"/>
      <c r="AM583" s="304"/>
      <c r="AN583" s="304"/>
      <c r="AO583" s="304"/>
      <c r="AP583" s="212"/>
      <c r="AQ583" s="212"/>
      <c r="AR583" s="212"/>
      <c r="AS583" s="308"/>
      <c r="AT583" s="308"/>
      <c r="AU583" s="307"/>
      <c r="AV583" s="307"/>
      <c r="AW583" s="307"/>
      <c r="AX583" s="307"/>
      <c r="AY583" s="307"/>
      <c r="AZ583" s="307"/>
      <c r="BA583" s="307"/>
      <c r="BB583" s="212"/>
      <c r="BC583" s="215"/>
      <c r="BD583" s="212"/>
      <c r="BE583" s="212"/>
      <c r="BF583" s="212"/>
      <c r="BG583" s="212"/>
      <c r="BH583" s="212"/>
      <c r="BI583" s="212"/>
      <c r="BJ583" s="212"/>
      <c r="BK583" s="212"/>
      <c r="BL583" s="212"/>
      <c r="BM583" s="212"/>
      <c r="BN583" s="212"/>
      <c r="BO583" s="212"/>
      <c r="BP583" s="212"/>
      <c r="BQ583" s="212"/>
      <c r="BR583" s="212"/>
      <c r="BS583" s="212"/>
      <c r="BT583" s="212"/>
      <c r="BU583" s="212"/>
      <c r="BV583" s="212"/>
      <c r="BW583" s="212"/>
      <c r="BX583" s="212"/>
      <c r="BY583" s="212"/>
      <c r="BZ583" s="212"/>
      <c r="CA583" s="212"/>
      <c r="CB583" s="212"/>
      <c r="CC583" s="212"/>
      <c r="CD583" s="212"/>
      <c r="CE583" s="212"/>
    </row>
    <row r="584" spans="1:83" x14ac:dyDescent="0.2">
      <c r="A584" s="302"/>
      <c r="B584" s="214"/>
      <c r="C584" s="303"/>
      <c r="D584" s="295"/>
      <c r="E584" s="304"/>
      <c r="F584" s="304"/>
      <c r="G584" s="324"/>
      <c r="H584" s="324"/>
      <c r="I584" s="298"/>
      <c r="J584" s="324"/>
      <c r="K584" s="324"/>
      <c r="L584" s="324"/>
      <c r="M584" s="324"/>
      <c r="N584" s="304"/>
      <c r="O584" s="509"/>
      <c r="P584" s="509"/>
      <c r="Q584" s="509"/>
      <c r="R584" s="509"/>
      <c r="S584" s="509"/>
      <c r="T584" s="509"/>
      <c r="U584" s="509"/>
      <c r="V584" s="509"/>
      <c r="W584" s="509"/>
      <c r="X584" s="509"/>
      <c r="Y584" s="509"/>
      <c r="Z584" s="509"/>
      <c r="AA584" s="509"/>
      <c r="AB584" s="324"/>
      <c r="AC584" s="324"/>
      <c r="AD584" s="304"/>
      <c r="AE584" s="304"/>
      <c r="AF584" s="304"/>
      <c r="AG584" s="304"/>
      <c r="AH584" s="304"/>
      <c r="AI584" s="304"/>
      <c r="AJ584" s="304"/>
      <c r="AK584" s="304"/>
      <c r="AL584" s="304"/>
      <c r="AM584" s="304"/>
      <c r="AN584" s="304"/>
      <c r="AO584" s="304"/>
      <c r="AP584" s="212"/>
      <c r="AQ584" s="212"/>
      <c r="AR584" s="212"/>
      <c r="AS584" s="308"/>
      <c r="AT584" s="308"/>
      <c r="AU584" s="307"/>
      <c r="AV584" s="307"/>
      <c r="AW584" s="307"/>
      <c r="AX584" s="307"/>
      <c r="AY584" s="307"/>
      <c r="AZ584" s="307"/>
      <c r="BA584" s="307"/>
      <c r="BB584" s="212"/>
      <c r="BC584" s="215"/>
      <c r="BD584" s="212"/>
      <c r="BE584" s="212"/>
      <c r="BF584" s="212"/>
      <c r="BG584" s="212"/>
      <c r="BH584" s="212"/>
      <c r="BI584" s="212"/>
      <c r="BJ584" s="212"/>
      <c r="BK584" s="212"/>
      <c r="BL584" s="212"/>
      <c r="BM584" s="212"/>
      <c r="BN584" s="212"/>
      <c r="BO584" s="212"/>
      <c r="BP584" s="212"/>
      <c r="BQ584" s="212"/>
      <c r="BR584" s="212"/>
      <c r="BS584" s="212"/>
      <c r="BT584" s="212"/>
      <c r="BU584" s="212"/>
      <c r="BV584" s="212"/>
      <c r="BW584" s="212"/>
      <c r="BX584" s="212"/>
      <c r="BY584" s="212"/>
      <c r="BZ584" s="212"/>
      <c r="CA584" s="212"/>
      <c r="CB584" s="212"/>
      <c r="CC584" s="212"/>
      <c r="CD584" s="212"/>
      <c r="CE584" s="212"/>
    </row>
    <row r="585" spans="1:83" x14ac:dyDescent="0.2">
      <c r="A585" s="302"/>
      <c r="B585" s="214"/>
      <c r="C585" s="303"/>
      <c r="D585" s="295"/>
      <c r="E585" s="304"/>
      <c r="F585" s="304"/>
      <c r="G585" s="324"/>
      <c r="H585" s="324"/>
      <c r="I585" s="298"/>
      <c r="J585" s="324"/>
      <c r="K585" s="324"/>
      <c r="L585" s="324"/>
      <c r="M585" s="324"/>
      <c r="N585" s="304"/>
      <c r="O585" s="509"/>
      <c r="P585" s="509"/>
      <c r="Q585" s="509"/>
      <c r="R585" s="509"/>
      <c r="S585" s="509"/>
      <c r="T585" s="509"/>
      <c r="U585" s="509"/>
      <c r="V585" s="509"/>
      <c r="W585" s="509"/>
      <c r="X585" s="509"/>
      <c r="Y585" s="509"/>
      <c r="Z585" s="509"/>
      <c r="AA585" s="509"/>
      <c r="AB585" s="324"/>
      <c r="AC585" s="324"/>
      <c r="AD585" s="304"/>
      <c r="AE585" s="304"/>
      <c r="AF585" s="304"/>
      <c r="AG585" s="304"/>
      <c r="AH585" s="304"/>
      <c r="AI585" s="304"/>
      <c r="AJ585" s="304"/>
      <c r="AK585" s="304"/>
      <c r="AL585" s="304"/>
      <c r="AM585" s="304"/>
      <c r="AN585" s="304"/>
      <c r="AO585" s="304"/>
      <c r="AP585" s="212"/>
      <c r="AQ585" s="212"/>
      <c r="AR585" s="212"/>
      <c r="AS585" s="308"/>
      <c r="AT585" s="308"/>
      <c r="AU585" s="307"/>
      <c r="AV585" s="307"/>
      <c r="AW585" s="307"/>
      <c r="AX585" s="307"/>
      <c r="AY585" s="307"/>
      <c r="AZ585" s="307"/>
      <c r="BA585" s="307"/>
      <c r="BB585" s="212"/>
      <c r="BC585" s="215"/>
      <c r="BD585" s="212"/>
      <c r="BE585" s="212"/>
      <c r="BF585" s="212"/>
      <c r="BG585" s="212"/>
      <c r="BH585" s="212"/>
      <c r="BI585" s="212"/>
      <c r="BJ585" s="212"/>
      <c r="BK585" s="212"/>
      <c r="BL585" s="212"/>
      <c r="BM585" s="212"/>
      <c r="BN585" s="212"/>
      <c r="BO585" s="212"/>
      <c r="BP585" s="212"/>
      <c r="BQ585" s="212"/>
      <c r="BR585" s="212"/>
      <c r="BS585" s="212"/>
      <c r="BT585" s="212"/>
      <c r="BU585" s="212"/>
      <c r="BV585" s="212"/>
      <c r="BW585" s="212"/>
      <c r="BX585" s="212"/>
      <c r="BY585" s="212"/>
      <c r="BZ585" s="212"/>
      <c r="CA585" s="212"/>
      <c r="CB585" s="212"/>
      <c r="CC585" s="212"/>
      <c r="CD585" s="212"/>
      <c r="CE585" s="212"/>
    </row>
    <row r="586" spans="1:83" x14ac:dyDescent="0.2">
      <c r="A586" s="302"/>
      <c r="B586" s="214"/>
      <c r="C586" s="303"/>
      <c r="D586" s="295"/>
      <c r="E586" s="304"/>
      <c r="F586" s="304"/>
      <c r="G586" s="324"/>
      <c r="H586" s="324"/>
      <c r="I586" s="298"/>
      <c r="J586" s="324"/>
      <c r="K586" s="324"/>
      <c r="L586" s="324"/>
      <c r="M586" s="324"/>
      <c r="N586" s="304"/>
      <c r="O586" s="509"/>
      <c r="P586" s="509"/>
      <c r="Q586" s="509"/>
      <c r="R586" s="509"/>
      <c r="S586" s="509"/>
      <c r="T586" s="509"/>
      <c r="U586" s="509"/>
      <c r="V586" s="509"/>
      <c r="W586" s="509"/>
      <c r="X586" s="509"/>
      <c r="Y586" s="509"/>
      <c r="Z586" s="509"/>
      <c r="AA586" s="509"/>
      <c r="AB586" s="324"/>
      <c r="AC586" s="324"/>
      <c r="AD586" s="304"/>
      <c r="AE586" s="304"/>
      <c r="AF586" s="304"/>
      <c r="AG586" s="304"/>
      <c r="AH586" s="304"/>
      <c r="AI586" s="304"/>
      <c r="AJ586" s="304"/>
      <c r="AK586" s="304"/>
      <c r="AL586" s="304"/>
      <c r="AM586" s="304"/>
      <c r="AN586" s="304"/>
      <c r="AO586" s="304"/>
      <c r="AP586" s="212"/>
      <c r="AQ586" s="212"/>
      <c r="AR586" s="212"/>
      <c r="AS586" s="308"/>
      <c r="AT586" s="308"/>
      <c r="AU586" s="307"/>
      <c r="AV586" s="307"/>
      <c r="AW586" s="307"/>
      <c r="AX586" s="307"/>
      <c r="AY586" s="307"/>
      <c r="AZ586" s="307"/>
      <c r="BA586" s="307"/>
      <c r="BB586" s="212"/>
      <c r="BC586" s="215"/>
      <c r="BD586" s="212"/>
      <c r="BE586" s="212"/>
      <c r="BF586" s="212"/>
      <c r="BG586" s="212"/>
      <c r="BH586" s="212"/>
      <c r="BI586" s="212"/>
      <c r="BJ586" s="212"/>
      <c r="BK586" s="212"/>
      <c r="BL586" s="212"/>
      <c r="BM586" s="212"/>
      <c r="BN586" s="212"/>
      <c r="BO586" s="212"/>
      <c r="BP586" s="212"/>
      <c r="BQ586" s="212"/>
      <c r="BR586" s="212"/>
      <c r="BS586" s="212"/>
      <c r="BT586" s="212"/>
      <c r="BU586" s="212"/>
      <c r="BV586" s="212"/>
      <c r="BW586" s="212"/>
      <c r="BX586" s="212"/>
      <c r="BY586" s="212"/>
      <c r="BZ586" s="212"/>
      <c r="CA586" s="212"/>
      <c r="CB586" s="212"/>
      <c r="CC586" s="212"/>
      <c r="CD586" s="212"/>
      <c r="CE586" s="212"/>
    </row>
    <row r="587" spans="1:83" x14ac:dyDescent="0.2">
      <c r="A587" s="302"/>
      <c r="B587" s="214"/>
      <c r="C587" s="303"/>
      <c r="D587" s="295"/>
      <c r="E587" s="304"/>
      <c r="F587" s="304"/>
      <c r="G587" s="324"/>
      <c r="H587" s="324"/>
      <c r="I587" s="298"/>
      <c r="J587" s="324"/>
      <c r="K587" s="324"/>
      <c r="L587" s="324"/>
      <c r="M587" s="324"/>
      <c r="N587" s="304"/>
      <c r="O587" s="509"/>
      <c r="P587" s="509"/>
      <c r="Q587" s="509"/>
      <c r="R587" s="509"/>
      <c r="S587" s="509"/>
      <c r="T587" s="509"/>
      <c r="U587" s="509"/>
      <c r="V587" s="509"/>
      <c r="W587" s="509"/>
      <c r="X587" s="509"/>
      <c r="Y587" s="509"/>
      <c r="Z587" s="509"/>
      <c r="AA587" s="509"/>
      <c r="AB587" s="324"/>
      <c r="AC587" s="324"/>
      <c r="AD587" s="304"/>
      <c r="AE587" s="304"/>
      <c r="AF587" s="304"/>
      <c r="AG587" s="304"/>
      <c r="AH587" s="304"/>
      <c r="AI587" s="304"/>
      <c r="AJ587" s="304"/>
      <c r="AK587" s="304"/>
      <c r="AL587" s="304"/>
      <c r="AM587" s="304"/>
      <c r="AN587" s="304"/>
      <c r="AO587" s="304"/>
      <c r="AP587" s="212"/>
      <c r="AQ587" s="212"/>
      <c r="AR587" s="212"/>
      <c r="AS587" s="308"/>
      <c r="AT587" s="308"/>
      <c r="AU587" s="307"/>
      <c r="AV587" s="307"/>
      <c r="AW587" s="307"/>
      <c r="AX587" s="307"/>
      <c r="AY587" s="307"/>
      <c r="AZ587" s="307"/>
      <c r="BA587" s="307"/>
      <c r="BB587" s="212"/>
      <c r="BC587" s="215"/>
      <c r="BD587" s="212"/>
      <c r="BE587" s="212"/>
      <c r="BF587" s="212"/>
      <c r="BG587" s="212"/>
      <c r="BH587" s="212"/>
      <c r="BI587" s="212"/>
      <c r="BJ587" s="212"/>
      <c r="BK587" s="212"/>
      <c r="BL587" s="212"/>
      <c r="BM587" s="212"/>
      <c r="BN587" s="212"/>
      <c r="BO587" s="212"/>
      <c r="BP587" s="212"/>
      <c r="BQ587" s="212"/>
      <c r="BR587" s="212"/>
      <c r="BS587" s="212"/>
      <c r="BT587" s="212"/>
      <c r="BU587" s="212"/>
      <c r="BV587" s="212"/>
      <c r="BW587" s="212"/>
      <c r="BX587" s="212"/>
      <c r="BY587" s="212"/>
      <c r="BZ587" s="212"/>
      <c r="CA587" s="212"/>
      <c r="CB587" s="212"/>
      <c r="CC587" s="212"/>
      <c r="CD587" s="212"/>
      <c r="CE587" s="212"/>
    </row>
    <row r="588" spans="1:83" x14ac:dyDescent="0.2">
      <c r="A588" s="302"/>
      <c r="B588" s="214"/>
      <c r="C588" s="303"/>
      <c r="D588" s="295"/>
      <c r="E588" s="304"/>
      <c r="F588" s="304"/>
      <c r="G588" s="324"/>
      <c r="H588" s="324"/>
      <c r="I588" s="298"/>
      <c r="J588" s="324"/>
      <c r="K588" s="324"/>
      <c r="L588" s="324"/>
      <c r="M588" s="324"/>
      <c r="N588" s="304"/>
      <c r="O588" s="509"/>
      <c r="P588" s="509"/>
      <c r="Q588" s="509"/>
      <c r="R588" s="509"/>
      <c r="S588" s="509"/>
      <c r="T588" s="509"/>
      <c r="U588" s="509"/>
      <c r="V588" s="509"/>
      <c r="W588" s="509"/>
      <c r="X588" s="509"/>
      <c r="Y588" s="509"/>
      <c r="Z588" s="509"/>
      <c r="AA588" s="509"/>
      <c r="AB588" s="324"/>
      <c r="AC588" s="324"/>
      <c r="AD588" s="304"/>
      <c r="AE588" s="304"/>
      <c r="AF588" s="304"/>
      <c r="AG588" s="304"/>
      <c r="AH588" s="304"/>
      <c r="AI588" s="304"/>
      <c r="AJ588" s="304"/>
      <c r="AK588" s="304"/>
      <c r="AL588" s="304"/>
      <c r="AM588" s="304"/>
      <c r="AN588" s="304"/>
      <c r="AO588" s="304"/>
      <c r="AP588" s="212"/>
      <c r="AQ588" s="212"/>
      <c r="AR588" s="212"/>
      <c r="AS588" s="308"/>
      <c r="AT588" s="308"/>
      <c r="AU588" s="307"/>
      <c r="AV588" s="307"/>
      <c r="AW588" s="307"/>
      <c r="AX588" s="307"/>
      <c r="AY588" s="307"/>
      <c r="AZ588" s="307"/>
      <c r="BA588" s="307"/>
      <c r="BB588" s="212"/>
      <c r="BC588" s="215"/>
      <c r="BD588" s="212"/>
      <c r="BE588" s="212"/>
      <c r="BF588" s="212"/>
      <c r="BG588" s="212"/>
      <c r="BH588" s="212"/>
      <c r="BI588" s="212"/>
      <c r="BJ588" s="212"/>
      <c r="BK588" s="212"/>
      <c r="BL588" s="212"/>
      <c r="BM588" s="212"/>
      <c r="BN588" s="212"/>
      <c r="BO588" s="212"/>
      <c r="BP588" s="212"/>
      <c r="BQ588" s="212"/>
      <c r="BR588" s="212"/>
      <c r="BS588" s="212"/>
      <c r="BT588" s="212"/>
      <c r="BU588" s="212"/>
      <c r="BV588" s="212"/>
      <c r="BW588" s="212"/>
      <c r="BX588" s="212"/>
      <c r="BY588" s="212"/>
      <c r="BZ588" s="212"/>
      <c r="CA588" s="212"/>
      <c r="CB588" s="212"/>
      <c r="CC588" s="212"/>
      <c r="CD588" s="212"/>
      <c r="CE588" s="212"/>
    </row>
    <row r="589" spans="1:83" x14ac:dyDescent="0.2">
      <c r="A589" s="302"/>
      <c r="B589" s="214"/>
      <c r="C589" s="303"/>
      <c r="D589" s="295"/>
      <c r="E589" s="304"/>
      <c r="F589" s="304"/>
      <c r="G589" s="324"/>
      <c r="H589" s="324"/>
      <c r="I589" s="298"/>
      <c r="J589" s="324"/>
      <c r="K589" s="324"/>
      <c r="L589" s="324"/>
      <c r="M589" s="324"/>
      <c r="N589" s="304"/>
      <c r="O589" s="509"/>
      <c r="P589" s="509"/>
      <c r="Q589" s="509"/>
      <c r="R589" s="509"/>
      <c r="S589" s="509"/>
      <c r="T589" s="509"/>
      <c r="U589" s="509"/>
      <c r="V589" s="509"/>
      <c r="W589" s="509"/>
      <c r="X589" s="509"/>
      <c r="Y589" s="509"/>
      <c r="Z589" s="509"/>
      <c r="AA589" s="509"/>
      <c r="AB589" s="324"/>
      <c r="AC589" s="324"/>
      <c r="AD589" s="304"/>
      <c r="AE589" s="304"/>
      <c r="AF589" s="304"/>
      <c r="AG589" s="304"/>
      <c r="AH589" s="304"/>
      <c r="AI589" s="304"/>
      <c r="AJ589" s="304"/>
      <c r="AK589" s="304"/>
      <c r="AL589" s="304"/>
      <c r="AM589" s="304"/>
      <c r="AN589" s="304"/>
      <c r="AO589" s="304"/>
      <c r="AP589" s="212"/>
      <c r="AQ589" s="212"/>
      <c r="AR589" s="212"/>
      <c r="AS589" s="308"/>
      <c r="AT589" s="308"/>
      <c r="AU589" s="307"/>
      <c r="AV589" s="307"/>
      <c r="AW589" s="307"/>
      <c r="AX589" s="307"/>
      <c r="AY589" s="307"/>
      <c r="AZ589" s="307"/>
      <c r="BA589" s="307"/>
      <c r="BB589" s="212"/>
      <c r="BC589" s="215"/>
      <c r="BD589" s="212"/>
      <c r="BE589" s="212"/>
      <c r="BF589" s="212"/>
      <c r="BG589" s="212"/>
      <c r="BH589" s="212"/>
      <c r="BI589" s="212"/>
      <c r="BJ589" s="212"/>
      <c r="BK589" s="212"/>
      <c r="BL589" s="212"/>
      <c r="BM589" s="212"/>
      <c r="BN589" s="212"/>
      <c r="BO589" s="212"/>
      <c r="BP589" s="212"/>
      <c r="BQ589" s="212"/>
      <c r="BR589" s="212"/>
      <c r="BS589" s="212"/>
      <c r="BT589" s="212"/>
      <c r="BU589" s="212"/>
      <c r="BV589" s="212"/>
      <c r="BW589" s="212"/>
      <c r="BX589" s="212"/>
      <c r="BY589" s="212"/>
      <c r="BZ589" s="212"/>
      <c r="CA589" s="212"/>
      <c r="CB589" s="212"/>
      <c r="CC589" s="212"/>
      <c r="CD589" s="212"/>
      <c r="CE589" s="212"/>
    </row>
    <row r="590" spans="1:83" x14ac:dyDescent="0.2">
      <c r="A590" s="302"/>
      <c r="B590" s="214"/>
      <c r="C590" s="303"/>
      <c r="D590" s="295"/>
      <c r="E590" s="304"/>
      <c r="F590" s="304"/>
      <c r="G590" s="324"/>
      <c r="H590" s="324"/>
      <c r="I590" s="298"/>
      <c r="J590" s="324"/>
      <c r="K590" s="324"/>
      <c r="L590" s="324"/>
      <c r="M590" s="324"/>
      <c r="N590" s="304"/>
      <c r="O590" s="509"/>
      <c r="P590" s="509"/>
      <c r="Q590" s="509"/>
      <c r="R590" s="509"/>
      <c r="S590" s="509"/>
      <c r="T590" s="509"/>
      <c r="U590" s="509"/>
      <c r="V590" s="509"/>
      <c r="W590" s="509"/>
      <c r="X590" s="509"/>
      <c r="Y590" s="509"/>
      <c r="Z590" s="509"/>
      <c r="AA590" s="509"/>
      <c r="AB590" s="324"/>
      <c r="AC590" s="324"/>
      <c r="AD590" s="304"/>
      <c r="AE590" s="304"/>
      <c r="AF590" s="304"/>
      <c r="AG590" s="304"/>
      <c r="AH590" s="304"/>
      <c r="AI590" s="304"/>
      <c r="AJ590" s="304"/>
      <c r="AK590" s="304"/>
      <c r="AL590" s="304"/>
      <c r="AM590" s="304"/>
      <c r="AN590" s="304"/>
      <c r="AO590" s="304"/>
      <c r="AP590" s="212"/>
      <c r="AQ590" s="212"/>
      <c r="AR590" s="212"/>
      <c r="AS590" s="308"/>
      <c r="AT590" s="308"/>
      <c r="AU590" s="307"/>
      <c r="AV590" s="307"/>
      <c r="AW590" s="307"/>
      <c r="AX590" s="307"/>
      <c r="AY590" s="307"/>
      <c r="AZ590" s="307"/>
      <c r="BA590" s="307"/>
      <c r="BB590" s="212"/>
      <c r="BC590" s="215"/>
      <c r="BD590" s="212"/>
      <c r="BE590" s="212"/>
      <c r="BF590" s="212"/>
      <c r="BG590" s="212"/>
      <c r="BH590" s="212"/>
      <c r="BI590" s="212"/>
      <c r="BJ590" s="212"/>
      <c r="BK590" s="212"/>
      <c r="BL590" s="212"/>
      <c r="BM590" s="212"/>
      <c r="BN590" s="212"/>
      <c r="BO590" s="212"/>
      <c r="BP590" s="212"/>
      <c r="BQ590" s="212"/>
      <c r="BR590" s="212"/>
      <c r="BS590" s="212"/>
      <c r="BT590" s="212"/>
      <c r="BU590" s="212"/>
      <c r="BV590" s="212"/>
      <c r="BW590" s="212"/>
      <c r="BX590" s="212"/>
      <c r="BY590" s="212"/>
      <c r="BZ590" s="212"/>
      <c r="CA590" s="212"/>
      <c r="CB590" s="212"/>
      <c r="CC590" s="212"/>
      <c r="CD590" s="212"/>
      <c r="CE590" s="212"/>
    </row>
    <row r="591" spans="1:83" x14ac:dyDescent="0.2">
      <c r="A591" s="302"/>
      <c r="B591" s="214"/>
      <c r="C591" s="303"/>
      <c r="D591" s="295"/>
      <c r="E591" s="304"/>
      <c r="F591" s="304"/>
      <c r="G591" s="324"/>
      <c r="H591" s="324"/>
      <c r="I591" s="298"/>
      <c r="J591" s="324"/>
      <c r="K591" s="324"/>
      <c r="L591" s="324"/>
      <c r="M591" s="324"/>
      <c r="N591" s="304"/>
      <c r="O591" s="509"/>
      <c r="P591" s="509"/>
      <c r="Q591" s="509"/>
      <c r="R591" s="509"/>
      <c r="S591" s="509"/>
      <c r="T591" s="509"/>
      <c r="U591" s="509"/>
      <c r="V591" s="509"/>
      <c r="W591" s="509"/>
      <c r="X591" s="509"/>
      <c r="Y591" s="509"/>
      <c r="Z591" s="509"/>
      <c r="AA591" s="509"/>
      <c r="AB591" s="324"/>
      <c r="AC591" s="324"/>
      <c r="AD591" s="304"/>
      <c r="AE591" s="304"/>
      <c r="AF591" s="304"/>
      <c r="AG591" s="304"/>
      <c r="AH591" s="304"/>
      <c r="AI591" s="304"/>
      <c r="AJ591" s="304"/>
      <c r="AK591" s="304"/>
      <c r="AL591" s="304"/>
      <c r="AM591" s="304"/>
      <c r="AN591" s="304"/>
      <c r="AO591" s="304"/>
      <c r="AP591" s="212"/>
      <c r="AQ591" s="212"/>
      <c r="AR591" s="212"/>
      <c r="AS591" s="308"/>
      <c r="AT591" s="308"/>
      <c r="AU591" s="307"/>
      <c r="AV591" s="307"/>
      <c r="AW591" s="307"/>
      <c r="AX591" s="307"/>
      <c r="AY591" s="307"/>
      <c r="AZ591" s="307"/>
      <c r="BA591" s="307"/>
      <c r="BB591" s="212"/>
      <c r="BC591" s="215"/>
      <c r="BD591" s="212"/>
      <c r="BE591" s="212"/>
      <c r="BF591" s="212"/>
      <c r="BG591" s="212"/>
      <c r="BH591" s="212"/>
      <c r="BI591" s="212"/>
      <c r="BJ591" s="212"/>
      <c r="BK591" s="212"/>
      <c r="BL591" s="212"/>
      <c r="BM591" s="212"/>
      <c r="BN591" s="212"/>
      <c r="BO591" s="212"/>
      <c r="BP591" s="212"/>
      <c r="BQ591" s="212"/>
      <c r="BR591" s="212"/>
      <c r="BS591" s="212"/>
      <c r="BT591" s="212"/>
      <c r="BU591" s="212"/>
      <c r="BV591" s="212"/>
      <c r="BW591" s="212"/>
      <c r="BX591" s="212"/>
      <c r="BY591" s="212"/>
      <c r="BZ591" s="212"/>
      <c r="CA591" s="212"/>
      <c r="CB591" s="212"/>
      <c r="CC591" s="212"/>
      <c r="CD591" s="212"/>
      <c r="CE591" s="212"/>
    </row>
    <row r="592" spans="1:83" x14ac:dyDescent="0.2">
      <c r="A592" s="302"/>
      <c r="B592" s="214"/>
      <c r="C592" s="303"/>
      <c r="D592" s="295"/>
      <c r="E592" s="304"/>
      <c r="F592" s="304"/>
      <c r="G592" s="324"/>
      <c r="H592" s="324"/>
      <c r="I592" s="298"/>
      <c r="J592" s="324"/>
      <c r="K592" s="324"/>
      <c r="L592" s="324"/>
      <c r="M592" s="324"/>
      <c r="N592" s="304"/>
      <c r="O592" s="509"/>
      <c r="P592" s="509"/>
      <c r="Q592" s="509"/>
      <c r="R592" s="509"/>
      <c r="S592" s="509"/>
      <c r="T592" s="509"/>
      <c r="U592" s="509"/>
      <c r="V592" s="509"/>
      <c r="W592" s="509"/>
      <c r="X592" s="509"/>
      <c r="Y592" s="509"/>
      <c r="Z592" s="509"/>
      <c r="AA592" s="509"/>
      <c r="AB592" s="324"/>
      <c r="AC592" s="324"/>
      <c r="AD592" s="304"/>
      <c r="AE592" s="304"/>
      <c r="AF592" s="304"/>
      <c r="AG592" s="304"/>
      <c r="AH592" s="304"/>
      <c r="AI592" s="304"/>
      <c r="AJ592" s="304"/>
      <c r="AK592" s="304"/>
      <c r="AL592" s="304"/>
      <c r="AM592" s="304"/>
      <c r="AN592" s="304"/>
      <c r="AO592" s="304"/>
      <c r="AP592" s="212"/>
      <c r="AQ592" s="212"/>
      <c r="AR592" s="212"/>
      <c r="AS592" s="308"/>
      <c r="AT592" s="308"/>
      <c r="AU592" s="307"/>
      <c r="AV592" s="307"/>
      <c r="AW592" s="307"/>
      <c r="AX592" s="307"/>
      <c r="AY592" s="307"/>
      <c r="AZ592" s="307"/>
      <c r="BA592" s="307"/>
      <c r="BB592" s="212"/>
      <c r="BC592" s="215"/>
      <c r="BD592" s="212"/>
      <c r="BE592" s="212"/>
      <c r="BF592" s="212"/>
      <c r="BG592" s="212"/>
      <c r="BH592" s="212"/>
      <c r="BI592" s="212"/>
      <c r="BJ592" s="212"/>
      <c r="BK592" s="212"/>
      <c r="BL592" s="212"/>
      <c r="BM592" s="212"/>
      <c r="BN592" s="212"/>
      <c r="BO592" s="212"/>
      <c r="BP592" s="212"/>
      <c r="BQ592" s="212"/>
      <c r="BR592" s="212"/>
      <c r="BS592" s="212"/>
      <c r="BT592" s="212"/>
      <c r="BU592" s="212"/>
      <c r="BV592" s="212"/>
      <c r="BW592" s="212"/>
      <c r="BX592" s="212"/>
      <c r="BY592" s="212"/>
      <c r="BZ592" s="212"/>
      <c r="CA592" s="212"/>
      <c r="CB592" s="212"/>
      <c r="CC592" s="212"/>
      <c r="CD592" s="212"/>
      <c r="CE592" s="212"/>
    </row>
    <row r="593" spans="1:83" x14ac:dyDescent="0.2">
      <c r="A593" s="302"/>
      <c r="B593" s="214"/>
      <c r="C593" s="303"/>
      <c r="D593" s="295"/>
      <c r="E593" s="304"/>
      <c r="F593" s="304"/>
      <c r="G593" s="324"/>
      <c r="H593" s="324"/>
      <c r="I593" s="298"/>
      <c r="J593" s="324"/>
      <c r="K593" s="324"/>
      <c r="L593" s="324"/>
      <c r="M593" s="324"/>
      <c r="N593" s="304"/>
      <c r="O593" s="509"/>
      <c r="P593" s="509"/>
      <c r="Q593" s="509"/>
      <c r="R593" s="509"/>
      <c r="S593" s="509"/>
      <c r="T593" s="509"/>
      <c r="U593" s="509"/>
      <c r="V593" s="509"/>
      <c r="W593" s="509"/>
      <c r="X593" s="509"/>
      <c r="Y593" s="509"/>
      <c r="Z593" s="509"/>
      <c r="AA593" s="509"/>
      <c r="AB593" s="324"/>
      <c r="AC593" s="324"/>
      <c r="AD593" s="304"/>
      <c r="AE593" s="304"/>
      <c r="AF593" s="304"/>
      <c r="AG593" s="304"/>
      <c r="AH593" s="304"/>
      <c r="AI593" s="304"/>
      <c r="AJ593" s="304"/>
      <c r="AK593" s="304"/>
      <c r="AL593" s="304"/>
      <c r="AM593" s="304"/>
      <c r="AN593" s="304"/>
      <c r="AO593" s="304"/>
      <c r="AP593" s="212"/>
      <c r="AQ593" s="212"/>
      <c r="AR593" s="212"/>
      <c r="AS593" s="308"/>
      <c r="AT593" s="308"/>
      <c r="AU593" s="307"/>
      <c r="AV593" s="307"/>
      <c r="AW593" s="307"/>
      <c r="AX593" s="307"/>
      <c r="AY593" s="307"/>
      <c r="AZ593" s="307"/>
      <c r="BA593" s="307"/>
      <c r="BB593" s="212"/>
      <c r="BC593" s="215"/>
      <c r="BD593" s="212"/>
      <c r="BE593" s="212"/>
      <c r="BF593" s="212"/>
      <c r="BG593" s="212"/>
      <c r="BH593" s="212"/>
      <c r="BI593" s="212"/>
      <c r="BJ593" s="212"/>
      <c r="BK593" s="212"/>
      <c r="BL593" s="212"/>
      <c r="BM593" s="212"/>
      <c r="BN593" s="212"/>
      <c r="BO593" s="212"/>
      <c r="BP593" s="212"/>
      <c r="BQ593" s="212"/>
      <c r="BR593" s="212"/>
      <c r="BS593" s="212"/>
      <c r="BT593" s="212"/>
      <c r="BU593" s="212"/>
      <c r="BV593" s="212"/>
      <c r="BW593" s="212"/>
      <c r="BX593" s="212"/>
      <c r="BY593" s="212"/>
      <c r="BZ593" s="212"/>
      <c r="CA593" s="212"/>
      <c r="CB593" s="212"/>
      <c r="CC593" s="212"/>
      <c r="CD593" s="212"/>
      <c r="CE593" s="212"/>
    </row>
    <row r="594" spans="1:83" x14ac:dyDescent="0.2">
      <c r="A594" s="302"/>
      <c r="B594" s="214"/>
      <c r="C594" s="303"/>
      <c r="D594" s="295"/>
      <c r="E594" s="304"/>
      <c r="F594" s="304"/>
      <c r="G594" s="324"/>
      <c r="H594" s="324"/>
      <c r="I594" s="298"/>
      <c r="J594" s="324"/>
      <c r="K594" s="324"/>
      <c r="L594" s="324"/>
      <c r="M594" s="324"/>
      <c r="N594" s="304"/>
      <c r="O594" s="509"/>
      <c r="P594" s="509"/>
      <c r="Q594" s="509"/>
      <c r="R594" s="509"/>
      <c r="S594" s="509"/>
      <c r="T594" s="509"/>
      <c r="U594" s="509"/>
      <c r="V594" s="509"/>
      <c r="W594" s="509"/>
      <c r="X594" s="509"/>
      <c r="Y594" s="509"/>
      <c r="Z594" s="509"/>
      <c r="AA594" s="509"/>
      <c r="AB594" s="324"/>
      <c r="AC594" s="324"/>
      <c r="AD594" s="304"/>
      <c r="AE594" s="304"/>
      <c r="AF594" s="304"/>
      <c r="AG594" s="304"/>
      <c r="AH594" s="304"/>
      <c r="AI594" s="304"/>
      <c r="AJ594" s="304"/>
      <c r="AK594" s="304"/>
      <c r="AL594" s="304"/>
      <c r="AM594" s="304"/>
      <c r="AN594" s="304"/>
      <c r="AO594" s="304"/>
      <c r="AP594" s="212"/>
      <c r="AQ594" s="212"/>
      <c r="AR594" s="212"/>
      <c r="AS594" s="308"/>
      <c r="AT594" s="308"/>
      <c r="AU594" s="307"/>
      <c r="AV594" s="307"/>
      <c r="AW594" s="307"/>
      <c r="AX594" s="307"/>
      <c r="AY594" s="307"/>
      <c r="AZ594" s="307"/>
      <c r="BA594" s="307"/>
      <c r="BB594" s="212"/>
      <c r="BC594" s="215"/>
      <c r="BD594" s="212"/>
      <c r="BE594" s="212"/>
      <c r="BF594" s="212"/>
      <c r="BG594" s="212"/>
      <c r="BH594" s="212"/>
      <c r="BI594" s="212"/>
      <c r="BJ594" s="212"/>
      <c r="BK594" s="212"/>
      <c r="BL594" s="212"/>
      <c r="BM594" s="212"/>
      <c r="BN594" s="212"/>
      <c r="BO594" s="212"/>
      <c r="BP594" s="212"/>
      <c r="BQ594" s="212"/>
      <c r="BR594" s="212"/>
      <c r="BS594" s="212"/>
      <c r="BT594" s="212"/>
      <c r="BU594" s="212"/>
      <c r="BV594" s="212"/>
      <c r="BW594" s="212"/>
      <c r="BX594" s="212"/>
      <c r="BY594" s="212"/>
      <c r="BZ594" s="212"/>
      <c r="CA594" s="212"/>
      <c r="CB594" s="212"/>
      <c r="CC594" s="212"/>
      <c r="CD594" s="212"/>
      <c r="CE594" s="212"/>
    </row>
    <row r="595" spans="1:83" x14ac:dyDescent="0.2">
      <c r="A595" s="302"/>
      <c r="B595" s="214"/>
      <c r="C595" s="303"/>
      <c r="D595" s="295"/>
      <c r="E595" s="304"/>
      <c r="F595" s="304"/>
      <c r="G595" s="324"/>
      <c r="H595" s="324"/>
      <c r="I595" s="298"/>
      <c r="J595" s="324"/>
      <c r="K595" s="324"/>
      <c r="L595" s="324"/>
      <c r="M595" s="324"/>
      <c r="N595" s="304"/>
      <c r="O595" s="509"/>
      <c r="P595" s="509"/>
      <c r="Q595" s="509"/>
      <c r="R595" s="509"/>
      <c r="S595" s="509"/>
      <c r="T595" s="509"/>
      <c r="U595" s="509"/>
      <c r="V595" s="509"/>
      <c r="W595" s="509"/>
      <c r="X595" s="509"/>
      <c r="Y595" s="509"/>
      <c r="Z595" s="509"/>
      <c r="AA595" s="509"/>
      <c r="AB595" s="324"/>
      <c r="AC595" s="324"/>
      <c r="AD595" s="304"/>
      <c r="AE595" s="304"/>
      <c r="AF595" s="304"/>
      <c r="AG595" s="304"/>
      <c r="AH595" s="304"/>
      <c r="AI595" s="304"/>
      <c r="AJ595" s="304"/>
      <c r="AK595" s="304"/>
      <c r="AL595" s="304"/>
      <c r="AM595" s="304"/>
      <c r="AN595" s="304"/>
      <c r="AO595" s="304"/>
      <c r="AP595" s="212"/>
      <c r="AQ595" s="212"/>
      <c r="AR595" s="212"/>
      <c r="AS595" s="308"/>
      <c r="AT595" s="308"/>
      <c r="AU595" s="307"/>
      <c r="AV595" s="307"/>
      <c r="AW595" s="307"/>
      <c r="AX595" s="307"/>
      <c r="AY595" s="307"/>
      <c r="AZ595" s="307"/>
      <c r="BA595" s="307"/>
      <c r="BB595" s="212"/>
      <c r="BC595" s="215"/>
      <c r="BD595" s="212"/>
      <c r="BE595" s="212"/>
      <c r="BF595" s="212"/>
      <c r="BG595" s="212"/>
      <c r="BH595" s="212"/>
      <c r="BI595" s="212"/>
      <c r="BJ595" s="212"/>
      <c r="BK595" s="212"/>
      <c r="BL595" s="212"/>
      <c r="BM595" s="212"/>
      <c r="BN595" s="212"/>
      <c r="BO595" s="212"/>
      <c r="BP595" s="212"/>
      <c r="BQ595" s="212"/>
      <c r="BR595" s="212"/>
      <c r="BS595" s="212"/>
      <c r="BT595" s="212"/>
      <c r="BU595" s="212"/>
      <c r="BV595" s="212"/>
      <c r="BW595" s="212"/>
      <c r="BX595" s="212"/>
      <c r="BY595" s="212"/>
      <c r="BZ595" s="212"/>
      <c r="CA595" s="212"/>
      <c r="CB595" s="212"/>
      <c r="CC595" s="212"/>
      <c r="CD595" s="212"/>
      <c r="CE595" s="212"/>
    </row>
    <row r="596" spans="1:83" x14ac:dyDescent="0.2">
      <c r="A596" s="302"/>
      <c r="B596" s="214"/>
      <c r="C596" s="303"/>
      <c r="D596" s="295"/>
      <c r="E596" s="304"/>
      <c r="F596" s="304"/>
      <c r="G596" s="324"/>
      <c r="H596" s="324"/>
      <c r="I596" s="298"/>
      <c r="J596" s="324"/>
      <c r="K596" s="324"/>
      <c r="L596" s="324"/>
      <c r="M596" s="324"/>
      <c r="N596" s="304"/>
      <c r="O596" s="509"/>
      <c r="P596" s="509"/>
      <c r="Q596" s="509"/>
      <c r="R596" s="509"/>
      <c r="S596" s="509"/>
      <c r="T596" s="509"/>
      <c r="U596" s="509"/>
      <c r="V596" s="509"/>
      <c r="W596" s="509"/>
      <c r="X596" s="509"/>
      <c r="Y596" s="509"/>
      <c r="Z596" s="509"/>
      <c r="AA596" s="509"/>
      <c r="AB596" s="324"/>
      <c r="AC596" s="324"/>
      <c r="AD596" s="304"/>
      <c r="AE596" s="304"/>
      <c r="AF596" s="304"/>
      <c r="AG596" s="304"/>
      <c r="AH596" s="304"/>
      <c r="AI596" s="304"/>
      <c r="AJ596" s="304"/>
      <c r="AK596" s="304"/>
      <c r="AL596" s="304"/>
      <c r="AM596" s="304"/>
      <c r="AN596" s="304"/>
      <c r="AO596" s="304"/>
      <c r="AP596" s="212"/>
      <c r="AQ596" s="212"/>
      <c r="AR596" s="212"/>
      <c r="AS596" s="308"/>
      <c r="AT596" s="308"/>
      <c r="AU596" s="307"/>
      <c r="AV596" s="307"/>
      <c r="AW596" s="307"/>
      <c r="AX596" s="307"/>
      <c r="AY596" s="307"/>
      <c r="AZ596" s="307"/>
      <c r="BA596" s="307"/>
      <c r="BB596" s="212"/>
      <c r="BC596" s="215"/>
      <c r="BD596" s="212"/>
      <c r="BE596" s="212"/>
      <c r="BF596" s="212"/>
      <c r="BG596" s="212"/>
      <c r="BH596" s="212"/>
      <c r="BI596" s="212"/>
      <c r="BJ596" s="212"/>
      <c r="BK596" s="212"/>
      <c r="BL596" s="212"/>
      <c r="BM596" s="212"/>
      <c r="BN596" s="212"/>
      <c r="BO596" s="212"/>
      <c r="BP596" s="212"/>
      <c r="BQ596" s="212"/>
      <c r="BR596" s="212"/>
      <c r="BS596" s="212"/>
      <c r="BT596" s="212"/>
      <c r="BU596" s="212"/>
      <c r="BV596" s="212"/>
      <c r="BW596" s="212"/>
      <c r="BX596" s="212"/>
      <c r="BY596" s="212"/>
      <c r="BZ596" s="212"/>
      <c r="CA596" s="212"/>
      <c r="CB596" s="212"/>
      <c r="CC596" s="212"/>
      <c r="CD596" s="212"/>
      <c r="CE596" s="212"/>
    </row>
    <row r="597" spans="1:83" x14ac:dyDescent="0.2">
      <c r="A597" s="302"/>
      <c r="B597" s="214"/>
      <c r="C597" s="303"/>
      <c r="D597" s="295"/>
      <c r="E597" s="304"/>
      <c r="F597" s="304"/>
      <c r="G597" s="324"/>
      <c r="H597" s="324"/>
      <c r="I597" s="298"/>
      <c r="J597" s="324"/>
      <c r="K597" s="324"/>
      <c r="L597" s="324"/>
      <c r="M597" s="324"/>
      <c r="N597" s="304"/>
      <c r="O597" s="509"/>
      <c r="P597" s="509"/>
      <c r="Q597" s="509"/>
      <c r="R597" s="509"/>
      <c r="S597" s="509"/>
      <c r="T597" s="509"/>
      <c r="U597" s="509"/>
      <c r="V597" s="509"/>
      <c r="W597" s="509"/>
      <c r="X597" s="509"/>
      <c r="Y597" s="509"/>
      <c r="Z597" s="509"/>
      <c r="AA597" s="509"/>
      <c r="AB597" s="324"/>
      <c r="AC597" s="324"/>
      <c r="AD597" s="304"/>
      <c r="AE597" s="304"/>
      <c r="AF597" s="304"/>
      <c r="AG597" s="304"/>
      <c r="AH597" s="304"/>
      <c r="AI597" s="304"/>
      <c r="AJ597" s="304"/>
      <c r="AK597" s="304"/>
      <c r="AL597" s="304"/>
      <c r="AM597" s="304"/>
      <c r="AN597" s="304"/>
      <c r="AO597" s="304"/>
      <c r="AP597" s="212"/>
      <c r="AQ597" s="212"/>
      <c r="AR597" s="212"/>
      <c r="AS597" s="308"/>
      <c r="AT597" s="308"/>
      <c r="AU597" s="307"/>
      <c r="AV597" s="307"/>
      <c r="AW597" s="307"/>
      <c r="AX597" s="307"/>
      <c r="AY597" s="307"/>
      <c r="AZ597" s="307"/>
      <c r="BA597" s="307"/>
      <c r="BB597" s="212"/>
      <c r="BC597" s="215"/>
      <c r="BD597" s="212"/>
      <c r="BE597" s="212"/>
      <c r="BF597" s="212"/>
      <c r="BG597" s="212"/>
      <c r="BH597" s="212"/>
      <c r="BI597" s="212"/>
      <c r="BJ597" s="212"/>
      <c r="BK597" s="212"/>
      <c r="BL597" s="212"/>
      <c r="BM597" s="212"/>
      <c r="BN597" s="212"/>
      <c r="BO597" s="212"/>
      <c r="BP597" s="212"/>
      <c r="BQ597" s="212"/>
      <c r="BR597" s="212"/>
      <c r="BS597" s="212"/>
      <c r="BT597" s="212"/>
      <c r="BU597" s="212"/>
      <c r="BV597" s="212"/>
      <c r="BW597" s="212"/>
      <c r="BX597" s="212"/>
      <c r="BY597" s="212"/>
      <c r="BZ597" s="212"/>
      <c r="CA597" s="212"/>
      <c r="CB597" s="212"/>
      <c r="CC597" s="212"/>
      <c r="CD597" s="212"/>
      <c r="CE597" s="212"/>
    </row>
    <row r="598" spans="1:83" x14ac:dyDescent="0.2">
      <c r="A598" s="302"/>
      <c r="B598" s="214"/>
      <c r="C598" s="303"/>
      <c r="D598" s="295"/>
      <c r="E598" s="304"/>
      <c r="F598" s="304"/>
      <c r="G598" s="324"/>
      <c r="H598" s="324"/>
      <c r="I598" s="298"/>
      <c r="J598" s="324"/>
      <c r="K598" s="324"/>
      <c r="L598" s="324"/>
      <c r="M598" s="324"/>
      <c r="N598" s="304"/>
      <c r="O598" s="509"/>
      <c r="P598" s="509"/>
      <c r="Q598" s="509"/>
      <c r="R598" s="509"/>
      <c r="S598" s="509"/>
      <c r="T598" s="509"/>
      <c r="U598" s="509"/>
      <c r="V598" s="509"/>
      <c r="W598" s="509"/>
      <c r="X598" s="509"/>
      <c r="Y598" s="509"/>
      <c r="Z598" s="509"/>
      <c r="AA598" s="509"/>
      <c r="AB598" s="324"/>
      <c r="AC598" s="324"/>
      <c r="AD598" s="304"/>
      <c r="AE598" s="304"/>
      <c r="AF598" s="304"/>
      <c r="AG598" s="304"/>
      <c r="AH598" s="304"/>
      <c r="AI598" s="304"/>
      <c r="AJ598" s="304"/>
      <c r="AK598" s="304"/>
      <c r="AL598" s="304"/>
      <c r="AM598" s="304"/>
      <c r="AN598" s="304"/>
      <c r="AO598" s="304"/>
      <c r="AP598" s="212"/>
      <c r="AQ598" s="212"/>
      <c r="AR598" s="212"/>
      <c r="AS598" s="308"/>
      <c r="AT598" s="308"/>
      <c r="AU598" s="307"/>
      <c r="AV598" s="307"/>
      <c r="AW598" s="307"/>
      <c r="AX598" s="307"/>
      <c r="AY598" s="307"/>
      <c r="AZ598" s="307"/>
      <c r="BA598" s="307"/>
      <c r="BB598" s="212"/>
      <c r="BC598" s="215"/>
      <c r="BD598" s="212"/>
      <c r="BE598" s="212"/>
      <c r="BF598" s="212"/>
      <c r="BG598" s="212"/>
      <c r="BH598" s="212"/>
      <c r="BI598" s="212"/>
      <c r="BJ598" s="212"/>
      <c r="BK598" s="212"/>
      <c r="BL598" s="212"/>
      <c r="BM598" s="212"/>
      <c r="BN598" s="212"/>
      <c r="BO598" s="212"/>
      <c r="BP598" s="212"/>
      <c r="BQ598" s="212"/>
      <c r="BR598" s="212"/>
      <c r="BS598" s="212"/>
      <c r="BT598" s="212"/>
      <c r="BU598" s="212"/>
      <c r="BV598" s="212"/>
      <c r="BW598" s="212"/>
      <c r="BX598" s="212"/>
      <c r="BY598" s="212"/>
      <c r="BZ598" s="212"/>
      <c r="CA598" s="212"/>
      <c r="CB598" s="212"/>
      <c r="CC598" s="212"/>
      <c r="CD598" s="212"/>
      <c r="CE598" s="212"/>
    </row>
    <row r="599" spans="1:83" x14ac:dyDescent="0.2">
      <c r="A599" s="302"/>
      <c r="B599" s="214"/>
      <c r="C599" s="303"/>
      <c r="D599" s="295"/>
      <c r="E599" s="304"/>
      <c r="F599" s="304"/>
      <c r="G599" s="324"/>
      <c r="H599" s="324"/>
      <c r="I599" s="298"/>
      <c r="J599" s="324"/>
      <c r="K599" s="324"/>
      <c r="L599" s="324"/>
      <c r="M599" s="324"/>
      <c r="N599" s="304"/>
      <c r="O599" s="509"/>
      <c r="P599" s="509"/>
      <c r="Q599" s="509"/>
      <c r="R599" s="509"/>
      <c r="S599" s="509"/>
      <c r="T599" s="509"/>
      <c r="U599" s="509"/>
      <c r="V599" s="509"/>
      <c r="W599" s="509"/>
      <c r="X599" s="509"/>
      <c r="Y599" s="509"/>
      <c r="Z599" s="509"/>
      <c r="AA599" s="509"/>
      <c r="AB599" s="324"/>
      <c r="AC599" s="324"/>
      <c r="AD599" s="304"/>
      <c r="AE599" s="304"/>
      <c r="AF599" s="304"/>
      <c r="AG599" s="304"/>
      <c r="AH599" s="304"/>
      <c r="AI599" s="304"/>
      <c r="AJ599" s="304"/>
      <c r="AK599" s="304"/>
      <c r="AL599" s="304"/>
      <c r="AM599" s="304"/>
      <c r="AN599" s="304"/>
      <c r="AO599" s="304"/>
      <c r="AP599" s="212"/>
      <c r="AQ599" s="212"/>
      <c r="AR599" s="212"/>
      <c r="AS599" s="308"/>
      <c r="AT599" s="308"/>
      <c r="AU599" s="307"/>
      <c r="AV599" s="307"/>
      <c r="AW599" s="307"/>
      <c r="AX599" s="307"/>
      <c r="AY599" s="307"/>
      <c r="AZ599" s="307"/>
      <c r="BA599" s="307"/>
      <c r="BB599" s="212"/>
      <c r="BC599" s="215"/>
      <c r="BD599" s="212"/>
      <c r="BE599" s="212"/>
      <c r="BF599" s="212"/>
      <c r="BG599" s="212"/>
      <c r="BH599" s="212"/>
      <c r="BI599" s="212"/>
      <c r="BJ599" s="212"/>
      <c r="BK599" s="212"/>
      <c r="BL599" s="212"/>
      <c r="BM599" s="212"/>
      <c r="BN599" s="212"/>
      <c r="BO599" s="212"/>
      <c r="BP599" s="212"/>
      <c r="BQ599" s="212"/>
      <c r="BR599" s="212"/>
      <c r="BS599" s="212"/>
      <c r="BT599" s="212"/>
      <c r="BU599" s="212"/>
      <c r="BV599" s="212"/>
      <c r="BW599" s="212"/>
      <c r="BX599" s="212"/>
      <c r="BY599" s="212"/>
      <c r="BZ599" s="212"/>
      <c r="CA599" s="212"/>
      <c r="CB599" s="212"/>
      <c r="CC599" s="212"/>
      <c r="CD599" s="212"/>
      <c r="CE599" s="212"/>
    </row>
    <row r="600" spans="1:83" x14ac:dyDescent="0.2">
      <c r="A600" s="302"/>
      <c r="B600" s="214"/>
      <c r="C600" s="303"/>
      <c r="D600" s="295"/>
      <c r="E600" s="304"/>
      <c r="F600" s="304"/>
      <c r="G600" s="324"/>
      <c r="H600" s="324"/>
      <c r="I600" s="298"/>
      <c r="J600" s="324"/>
      <c r="K600" s="324"/>
      <c r="L600" s="324"/>
      <c r="M600" s="324"/>
      <c r="N600" s="304"/>
      <c r="O600" s="509"/>
      <c r="P600" s="509"/>
      <c r="Q600" s="509"/>
      <c r="R600" s="509"/>
      <c r="S600" s="509"/>
      <c r="T600" s="509"/>
      <c r="U600" s="509"/>
      <c r="V600" s="509"/>
      <c r="W600" s="509"/>
      <c r="X600" s="509"/>
      <c r="Y600" s="509"/>
      <c r="Z600" s="509"/>
      <c r="AA600" s="509"/>
      <c r="AB600" s="324"/>
      <c r="AC600" s="324"/>
      <c r="AD600" s="304"/>
      <c r="AE600" s="304"/>
      <c r="AF600" s="304"/>
      <c r="AG600" s="304"/>
      <c r="AH600" s="304"/>
      <c r="AI600" s="304"/>
      <c r="AJ600" s="304"/>
      <c r="AK600" s="304"/>
      <c r="AL600" s="304"/>
      <c r="AM600" s="304"/>
      <c r="AN600" s="304"/>
      <c r="AO600" s="304"/>
      <c r="AP600" s="212"/>
      <c r="AQ600" s="212"/>
      <c r="AR600" s="212"/>
      <c r="AS600" s="308"/>
      <c r="AT600" s="308"/>
      <c r="AU600" s="307"/>
      <c r="AV600" s="307"/>
      <c r="AW600" s="307"/>
      <c r="AX600" s="307"/>
      <c r="AY600" s="307"/>
      <c r="AZ600" s="307"/>
      <c r="BA600" s="307"/>
      <c r="BB600" s="212"/>
      <c r="BC600" s="215"/>
      <c r="BD600" s="212"/>
      <c r="BE600" s="212"/>
      <c r="BF600" s="212"/>
      <c r="BG600" s="212"/>
      <c r="BH600" s="212"/>
      <c r="BI600" s="212"/>
      <c r="BJ600" s="212"/>
      <c r="BK600" s="212"/>
      <c r="BL600" s="212"/>
      <c r="BM600" s="212"/>
      <c r="BN600" s="212"/>
      <c r="BO600" s="212"/>
      <c r="BP600" s="212"/>
      <c r="BQ600" s="212"/>
      <c r="BR600" s="212"/>
      <c r="BS600" s="212"/>
      <c r="BT600" s="212"/>
      <c r="BU600" s="212"/>
      <c r="BV600" s="212"/>
      <c r="BW600" s="212"/>
      <c r="BX600" s="212"/>
      <c r="BY600" s="212"/>
      <c r="BZ600" s="212"/>
      <c r="CA600" s="212"/>
      <c r="CB600" s="212"/>
      <c r="CC600" s="212"/>
      <c r="CD600" s="212"/>
      <c r="CE600" s="212"/>
    </row>
    <row r="601" spans="1:83" x14ac:dyDescent="0.2">
      <c r="A601" s="302"/>
      <c r="B601" s="214"/>
      <c r="C601" s="303"/>
      <c r="D601" s="295"/>
      <c r="E601" s="304"/>
      <c r="F601" s="304"/>
      <c r="G601" s="324"/>
      <c r="H601" s="324"/>
      <c r="I601" s="298"/>
      <c r="J601" s="324"/>
      <c r="K601" s="324"/>
      <c r="L601" s="324"/>
      <c r="M601" s="324"/>
      <c r="N601" s="304"/>
      <c r="O601" s="509"/>
      <c r="P601" s="509"/>
      <c r="Q601" s="509"/>
      <c r="R601" s="509"/>
      <c r="S601" s="509"/>
      <c r="T601" s="509"/>
      <c r="U601" s="509"/>
      <c r="V601" s="509"/>
      <c r="W601" s="509"/>
      <c r="X601" s="509"/>
      <c r="Y601" s="509"/>
      <c r="Z601" s="509"/>
      <c r="AA601" s="509"/>
      <c r="AB601" s="324"/>
      <c r="AC601" s="324"/>
      <c r="AD601" s="304"/>
      <c r="AE601" s="304"/>
      <c r="AF601" s="304"/>
      <c r="AG601" s="304"/>
      <c r="AH601" s="304"/>
      <c r="AI601" s="304"/>
      <c r="AJ601" s="304"/>
      <c r="AK601" s="304"/>
      <c r="AL601" s="304"/>
      <c r="AM601" s="304"/>
      <c r="AN601" s="304"/>
      <c r="AO601" s="304"/>
      <c r="AP601" s="212"/>
      <c r="AQ601" s="212"/>
      <c r="AR601" s="212"/>
      <c r="AS601" s="308"/>
      <c r="AT601" s="308"/>
      <c r="AU601" s="307"/>
      <c r="AV601" s="307"/>
      <c r="AW601" s="307"/>
      <c r="AX601" s="307"/>
      <c r="AY601" s="307"/>
      <c r="AZ601" s="307"/>
      <c r="BA601" s="307"/>
      <c r="BB601" s="212"/>
      <c r="BC601" s="215"/>
      <c r="BD601" s="212"/>
      <c r="BE601" s="212"/>
      <c r="BF601" s="212"/>
      <c r="BG601" s="212"/>
      <c r="BH601" s="212"/>
      <c r="BI601" s="212"/>
      <c r="BJ601" s="212"/>
      <c r="BK601" s="212"/>
      <c r="BL601" s="212"/>
      <c r="BM601" s="212"/>
      <c r="BN601" s="212"/>
      <c r="BO601" s="212"/>
      <c r="BP601" s="212"/>
      <c r="BQ601" s="212"/>
      <c r="BR601" s="212"/>
      <c r="BS601" s="212"/>
      <c r="BT601" s="212"/>
      <c r="BU601" s="212"/>
      <c r="BV601" s="212"/>
      <c r="BW601" s="212"/>
      <c r="BX601" s="212"/>
      <c r="BY601" s="212"/>
      <c r="BZ601" s="212"/>
      <c r="CA601" s="212"/>
      <c r="CB601" s="212"/>
      <c r="CC601" s="212"/>
      <c r="CD601" s="212"/>
      <c r="CE601" s="212"/>
    </row>
    <row r="602" spans="1:83" x14ac:dyDescent="0.2">
      <c r="A602" s="302"/>
      <c r="B602" s="214"/>
      <c r="C602" s="303"/>
      <c r="D602" s="295"/>
      <c r="E602" s="304"/>
      <c r="F602" s="304"/>
      <c r="G602" s="324"/>
      <c r="H602" s="324"/>
      <c r="I602" s="298"/>
      <c r="J602" s="324"/>
      <c r="K602" s="324"/>
      <c r="L602" s="324"/>
      <c r="M602" s="324"/>
      <c r="N602" s="304"/>
      <c r="O602" s="509"/>
      <c r="P602" s="509"/>
      <c r="Q602" s="509"/>
      <c r="R602" s="509"/>
      <c r="S602" s="509"/>
      <c r="T602" s="509"/>
      <c r="U602" s="509"/>
      <c r="V602" s="509"/>
      <c r="W602" s="509"/>
      <c r="X602" s="509"/>
      <c r="Y602" s="509"/>
      <c r="Z602" s="509"/>
      <c r="AA602" s="509"/>
      <c r="AB602" s="324"/>
      <c r="AC602" s="324"/>
      <c r="AD602" s="304"/>
      <c r="AE602" s="304"/>
      <c r="AF602" s="304"/>
      <c r="AG602" s="304"/>
      <c r="AH602" s="304"/>
      <c r="AI602" s="304"/>
      <c r="AJ602" s="304"/>
      <c r="AK602" s="304"/>
      <c r="AL602" s="304"/>
      <c r="AM602" s="304"/>
      <c r="AN602" s="304"/>
      <c r="AO602" s="304"/>
      <c r="AP602" s="212"/>
      <c r="AQ602" s="212"/>
      <c r="AR602" s="212"/>
      <c r="AS602" s="308"/>
      <c r="AT602" s="308"/>
      <c r="AU602" s="307"/>
      <c r="AV602" s="307"/>
      <c r="AW602" s="307"/>
      <c r="AX602" s="307"/>
      <c r="AY602" s="307"/>
      <c r="AZ602" s="307"/>
      <c r="BA602" s="307"/>
      <c r="BB602" s="212"/>
      <c r="BC602" s="215"/>
      <c r="BD602" s="212"/>
      <c r="BE602" s="212"/>
      <c r="BF602" s="212"/>
      <c r="BG602" s="212"/>
      <c r="BH602" s="212"/>
      <c r="BI602" s="212"/>
      <c r="BJ602" s="212"/>
      <c r="BK602" s="212"/>
      <c r="BL602" s="212"/>
      <c r="BM602" s="212"/>
      <c r="BN602" s="212"/>
      <c r="BO602" s="212"/>
      <c r="BP602" s="212"/>
      <c r="BQ602" s="212"/>
      <c r="BR602" s="212"/>
      <c r="BS602" s="212"/>
      <c r="BT602" s="212"/>
      <c r="BU602" s="212"/>
      <c r="BV602" s="212"/>
      <c r="BW602" s="212"/>
      <c r="BX602" s="212"/>
      <c r="BY602" s="212"/>
      <c r="BZ602" s="212"/>
      <c r="CA602" s="212"/>
      <c r="CB602" s="212"/>
      <c r="CC602" s="212"/>
      <c r="CD602" s="212"/>
      <c r="CE602" s="212"/>
    </row>
  </sheetData>
  <sheetProtection algorithmName="SHA-512" hashValue="mRXSgPFpd3wCaS+e+9cVuRNX6cbKHYD1+IC11lCNrBb2IHYJQVAoe5BdJYYnWHB7g5xF0CGJKgC6VzA+71lBBw==" saltValue="9FvDHv79pNIYt6K3gkOzQw==" spinCount="100000" sheet="1" formatCells="0" formatColumns="0" formatRows="0" insertColumns="0" insertRows="0"/>
  <dataConsolidate/>
  <mergeCells count="1867">
    <mergeCell ref="AA118:AA119"/>
    <mergeCell ref="Z120:Z121"/>
    <mergeCell ref="AA122:AA123"/>
    <mergeCell ref="Z150:Z151"/>
    <mergeCell ref="AA150:AA151"/>
    <mergeCell ref="AA152:AA153"/>
    <mergeCell ref="AA108:AA109"/>
    <mergeCell ref="AA110:AA111"/>
    <mergeCell ref="Z80:Z81"/>
    <mergeCell ref="AA80:AA81"/>
    <mergeCell ref="Z82:Z83"/>
    <mergeCell ref="Z86:Z87"/>
    <mergeCell ref="AA86:AA87"/>
    <mergeCell ref="AA114:AA115"/>
    <mergeCell ref="AA112:AA113"/>
    <mergeCell ref="AA96:AA97"/>
    <mergeCell ref="Z98:Z99"/>
    <mergeCell ref="AA98:AA99"/>
    <mergeCell ref="AA100:AA101"/>
    <mergeCell ref="Z102:Z103"/>
    <mergeCell ref="AA102:AA103"/>
    <mergeCell ref="Z106:Z107"/>
    <mergeCell ref="AA106:AA107"/>
    <mergeCell ref="Z104:Z105"/>
    <mergeCell ref="AA104:AA105"/>
    <mergeCell ref="AA126:AA127"/>
    <mergeCell ref="Z90:Z91"/>
    <mergeCell ref="Z152:Z153"/>
    <mergeCell ref="AA128:AA129"/>
    <mergeCell ref="AA132:AA133"/>
    <mergeCell ref="Z134:Z135"/>
    <mergeCell ref="Z126:Z127"/>
    <mergeCell ref="Z52:Z53"/>
    <mergeCell ref="AA52:AA53"/>
    <mergeCell ref="A54:A55"/>
    <mergeCell ref="B54:B55"/>
    <mergeCell ref="F38:F39"/>
    <mergeCell ref="F48:F49"/>
    <mergeCell ref="F50:F51"/>
    <mergeCell ref="F52:F53"/>
    <mergeCell ref="F46:F47"/>
    <mergeCell ref="Z100:Z101"/>
    <mergeCell ref="Z112:Z113"/>
    <mergeCell ref="R102:R103"/>
    <mergeCell ref="Q98:Q99"/>
    <mergeCell ref="R98:R99"/>
    <mergeCell ref="P100:P101"/>
    <mergeCell ref="Q100:Q101"/>
    <mergeCell ref="R100:R101"/>
    <mergeCell ref="P106:P107"/>
    <mergeCell ref="Q106:Q107"/>
    <mergeCell ref="R106:R107"/>
    <mergeCell ref="P108:P109"/>
    <mergeCell ref="Q108:Q109"/>
    <mergeCell ref="R108:R109"/>
    <mergeCell ref="Q88:Q89"/>
    <mergeCell ref="R88:R89"/>
    <mergeCell ref="AA60:AA61"/>
    <mergeCell ref="Q92:Q93"/>
    <mergeCell ref="AA88:AA89"/>
    <mergeCell ref="Z92:Z93"/>
    <mergeCell ref="R92:R93"/>
    <mergeCell ref="P94:P95"/>
    <mergeCell ref="Q96:Q97"/>
    <mergeCell ref="O1:R1"/>
    <mergeCell ref="T1:X1"/>
    <mergeCell ref="O2:R2"/>
    <mergeCell ref="Z166:Z167"/>
    <mergeCell ref="AA166:AA167"/>
    <mergeCell ref="Z156:Z157"/>
    <mergeCell ref="AA156:AA157"/>
    <mergeCell ref="Z158:Z159"/>
    <mergeCell ref="AA158:AA159"/>
    <mergeCell ref="Z160:Z161"/>
    <mergeCell ref="AA160:AA161"/>
    <mergeCell ref="Z162:Z163"/>
    <mergeCell ref="AA162:AA163"/>
    <mergeCell ref="Z164:Z165"/>
    <mergeCell ref="AA164:AA165"/>
    <mergeCell ref="Z140:Z141"/>
    <mergeCell ref="AA140:AA141"/>
    <mergeCell ref="Z144:Z145"/>
    <mergeCell ref="AA144:AA145"/>
    <mergeCell ref="Z148:Z149"/>
    <mergeCell ref="P162:P163"/>
    <mergeCell ref="Q162:Q163"/>
    <mergeCell ref="R162:R163"/>
    <mergeCell ref="P164:P165"/>
    <mergeCell ref="Q164:Q165"/>
    <mergeCell ref="R164:R165"/>
    <mergeCell ref="Q166:Q167"/>
    <mergeCell ref="R166:R167"/>
    <mergeCell ref="Z32:Z33"/>
    <mergeCell ref="Z48:Z49"/>
    <mergeCell ref="Z88:Z89"/>
    <mergeCell ref="AA84:AA85"/>
    <mergeCell ref="P156:P157"/>
    <mergeCell ref="Q156:Q157"/>
    <mergeCell ref="R156:R157"/>
    <mergeCell ref="P158:P159"/>
    <mergeCell ref="Q158:Q159"/>
    <mergeCell ref="R158:R159"/>
    <mergeCell ref="P160:P161"/>
    <mergeCell ref="Q160:Q161"/>
    <mergeCell ref="R160:R161"/>
    <mergeCell ref="P148:P149"/>
    <mergeCell ref="Z56:Z57"/>
    <mergeCell ref="Z108:Z109"/>
    <mergeCell ref="Z110:Z111"/>
    <mergeCell ref="Z114:Z115"/>
    <mergeCell ref="Z118:Z119"/>
    <mergeCell ref="Q148:Q149"/>
    <mergeCell ref="R148:R149"/>
    <mergeCell ref="P150:P151"/>
    <mergeCell ref="Q150:Q151"/>
    <mergeCell ref="R150:R151"/>
    <mergeCell ref="P152:P153"/>
    <mergeCell ref="Q152:Q153"/>
    <mergeCell ref="R152:R153"/>
    <mergeCell ref="P138:P139"/>
    <mergeCell ref="Q138:Q139"/>
    <mergeCell ref="R138:R139"/>
    <mergeCell ref="P140:P141"/>
    <mergeCell ref="Q140:Q141"/>
    <mergeCell ref="R140:R141"/>
    <mergeCell ref="P144:P145"/>
    <mergeCell ref="Q144:Q145"/>
    <mergeCell ref="Z128:Z129"/>
    <mergeCell ref="R144:R145"/>
    <mergeCell ref="Q112:Q113"/>
    <mergeCell ref="R112:R113"/>
    <mergeCell ref="P114:P115"/>
    <mergeCell ref="Q114:Q115"/>
    <mergeCell ref="R114:R115"/>
    <mergeCell ref="P118:P119"/>
    <mergeCell ref="Q118:Q119"/>
    <mergeCell ref="R118:R119"/>
    <mergeCell ref="Q126:Q127"/>
    <mergeCell ref="R126:R127"/>
    <mergeCell ref="P128:P129"/>
    <mergeCell ref="Q128:Q129"/>
    <mergeCell ref="R128:R129"/>
    <mergeCell ref="P132:P133"/>
    <mergeCell ref="Q132:Q133"/>
    <mergeCell ref="R132:R133"/>
    <mergeCell ref="P136:P137"/>
    <mergeCell ref="Q136:Q137"/>
    <mergeCell ref="Q130:Q131"/>
    <mergeCell ref="R130:R131"/>
    <mergeCell ref="P32:P33"/>
    <mergeCell ref="Q32:Q33"/>
    <mergeCell ref="R32:R33"/>
    <mergeCell ref="P34:P35"/>
    <mergeCell ref="Q34:Q35"/>
    <mergeCell ref="R34:R35"/>
    <mergeCell ref="P36:P37"/>
    <mergeCell ref="Q36:Q37"/>
    <mergeCell ref="R36:R37"/>
    <mergeCell ref="P38:P39"/>
    <mergeCell ref="Q38:Q39"/>
    <mergeCell ref="R38:R39"/>
    <mergeCell ref="P46:P47"/>
    <mergeCell ref="Q46:Q47"/>
    <mergeCell ref="R46:R47"/>
    <mergeCell ref="P48:P49"/>
    <mergeCell ref="Q48:Q49"/>
    <mergeCell ref="R48:R49"/>
    <mergeCell ref="P40:P41"/>
    <mergeCell ref="P42:P43"/>
    <mergeCell ref="P44:P45"/>
    <mergeCell ref="Q40:Q41"/>
    <mergeCell ref="R40:R41"/>
    <mergeCell ref="Q42:Q43"/>
    <mergeCell ref="R42:R43"/>
    <mergeCell ref="Q44:Q45"/>
    <mergeCell ref="R44:R45"/>
    <mergeCell ref="O164:O165"/>
    <mergeCell ref="O166:O167"/>
    <mergeCell ref="O152:O153"/>
    <mergeCell ref="O148:O149"/>
    <mergeCell ref="T110:T111"/>
    <mergeCell ref="U110:U111"/>
    <mergeCell ref="W108:W109"/>
    <mergeCell ref="O112:O113"/>
    <mergeCell ref="O110:O111"/>
    <mergeCell ref="U118:U119"/>
    <mergeCell ref="U112:U113"/>
    <mergeCell ref="T82:T83"/>
    <mergeCell ref="U82:U83"/>
    <mergeCell ref="W110:W111"/>
    <mergeCell ref="O118:O119"/>
    <mergeCell ref="T112:T113"/>
    <mergeCell ref="U114:U115"/>
    <mergeCell ref="V114:V115"/>
    <mergeCell ref="W114:W115"/>
    <mergeCell ref="V110:V111"/>
    <mergeCell ref="W106:W107"/>
    <mergeCell ref="V106:V107"/>
    <mergeCell ref="U88:U89"/>
    <mergeCell ref="U92:U93"/>
    <mergeCell ref="P84:P85"/>
    <mergeCell ref="Q84:Q85"/>
    <mergeCell ref="R84:R85"/>
    <mergeCell ref="P88:P89"/>
    <mergeCell ref="P110:P111"/>
    <mergeCell ref="Q110:Q111"/>
    <mergeCell ref="R110:R111"/>
    <mergeCell ref="P112:P113"/>
    <mergeCell ref="T118:T119"/>
    <mergeCell ref="T128:T129"/>
    <mergeCell ref="T138:T139"/>
    <mergeCell ref="F62:F63"/>
    <mergeCell ref="T136:T137"/>
    <mergeCell ref="T88:T89"/>
    <mergeCell ref="T92:T93"/>
    <mergeCell ref="T94:T95"/>
    <mergeCell ref="R66:R67"/>
    <mergeCell ref="P68:P69"/>
    <mergeCell ref="Q68:Q69"/>
    <mergeCell ref="R68:R69"/>
    <mergeCell ref="P76:P77"/>
    <mergeCell ref="Q76:Q77"/>
    <mergeCell ref="R76:R77"/>
    <mergeCell ref="P74:P75"/>
    <mergeCell ref="Q78:Q79"/>
    <mergeCell ref="R78:R79"/>
    <mergeCell ref="R136:R137"/>
    <mergeCell ref="Q80:Q81"/>
    <mergeCell ref="R80:R81"/>
    <mergeCell ref="P82:P83"/>
    <mergeCell ref="Q82:Q83"/>
    <mergeCell ref="R82:R83"/>
    <mergeCell ref="P102:P103"/>
    <mergeCell ref="Q102:Q103"/>
    <mergeCell ref="P92:P93"/>
    <mergeCell ref="T120:T121"/>
    <mergeCell ref="F112:F113"/>
    <mergeCell ref="T74:T75"/>
    <mergeCell ref="Q94:Q95"/>
    <mergeCell ref="R94:R95"/>
    <mergeCell ref="P166:P167"/>
    <mergeCell ref="O138:O139"/>
    <mergeCell ref="F140:F141"/>
    <mergeCell ref="O140:O141"/>
    <mergeCell ref="O114:O115"/>
    <mergeCell ref="F122:F123"/>
    <mergeCell ref="F164:F165"/>
    <mergeCell ref="F166:F167"/>
    <mergeCell ref="F144:F145"/>
    <mergeCell ref="F148:F149"/>
    <mergeCell ref="F150:F151"/>
    <mergeCell ref="F126:F127"/>
    <mergeCell ref="F128:F129"/>
    <mergeCell ref="F132:F133"/>
    <mergeCell ref="F162:F163"/>
    <mergeCell ref="F134:F135"/>
    <mergeCell ref="F160:F161"/>
    <mergeCell ref="F136:F137"/>
    <mergeCell ref="O136:O137"/>
    <mergeCell ref="O122:O123"/>
    <mergeCell ref="O144:O145"/>
    <mergeCell ref="O150:O151"/>
    <mergeCell ref="O156:O157"/>
    <mergeCell ref="O158:O159"/>
    <mergeCell ref="O160:O161"/>
    <mergeCell ref="O162:O163"/>
    <mergeCell ref="O134:O135"/>
    <mergeCell ref="F114:F115"/>
    <mergeCell ref="F118:F119"/>
    <mergeCell ref="F156:F157"/>
    <mergeCell ref="F158:F159"/>
    <mergeCell ref="F154:F155"/>
    <mergeCell ref="U120:U121"/>
    <mergeCell ref="V120:V121"/>
    <mergeCell ref="O126:O127"/>
    <mergeCell ref="P120:P121"/>
    <mergeCell ref="Q120:Q121"/>
    <mergeCell ref="R120:R121"/>
    <mergeCell ref="P122:P123"/>
    <mergeCell ref="Q122:Q123"/>
    <mergeCell ref="R122:R123"/>
    <mergeCell ref="P126:P127"/>
    <mergeCell ref="F32:F33"/>
    <mergeCell ref="O76:O77"/>
    <mergeCell ref="Y76:Y77"/>
    <mergeCell ref="O78:O79"/>
    <mergeCell ref="Y78:Y79"/>
    <mergeCell ref="O82:O83"/>
    <mergeCell ref="Y82:Y83"/>
    <mergeCell ref="O34:O35"/>
    <mergeCell ref="Y34:Y35"/>
    <mergeCell ref="O36:O37"/>
    <mergeCell ref="Y36:Y37"/>
    <mergeCell ref="O38:O39"/>
    <mergeCell ref="Y38:Y39"/>
    <mergeCell ref="O48:O49"/>
    <mergeCell ref="Y48:Y49"/>
    <mergeCell ref="O50:O51"/>
    <mergeCell ref="Y50:Y51"/>
    <mergeCell ref="U68:U69"/>
    <mergeCell ref="U76:U77"/>
    <mergeCell ref="V64:V65"/>
    <mergeCell ref="Y88:Y89"/>
    <mergeCell ref="V112:V113"/>
    <mergeCell ref="Y134:Y135"/>
    <mergeCell ref="T132:T133"/>
    <mergeCell ref="X132:X133"/>
    <mergeCell ref="X134:X135"/>
    <mergeCell ref="U132:U133"/>
    <mergeCell ref="V132:V133"/>
    <mergeCell ref="W132:W133"/>
    <mergeCell ref="P134:P135"/>
    <mergeCell ref="Q134:Q135"/>
    <mergeCell ref="R134:R135"/>
    <mergeCell ref="O128:O129"/>
    <mergeCell ref="X122:X123"/>
    <mergeCell ref="U122:U123"/>
    <mergeCell ref="V122:V123"/>
    <mergeCell ref="W122:W123"/>
    <mergeCell ref="T126:T127"/>
    <mergeCell ref="U126:U127"/>
    <mergeCell ref="V126:V127"/>
    <mergeCell ref="W126:W127"/>
    <mergeCell ref="T122:T123"/>
    <mergeCell ref="X124:X125"/>
    <mergeCell ref="Y124:Y125"/>
    <mergeCell ref="T130:T131"/>
    <mergeCell ref="U130:U131"/>
    <mergeCell ref="V130:V131"/>
    <mergeCell ref="W130:W131"/>
    <mergeCell ref="X130:X131"/>
    <mergeCell ref="Y130:Y131"/>
    <mergeCell ref="U128:U129"/>
    <mergeCell ref="T124:T125"/>
    <mergeCell ref="U124:U125"/>
    <mergeCell ref="O130:O131"/>
    <mergeCell ref="T148:T149"/>
    <mergeCell ref="U148:U149"/>
    <mergeCell ref="V148:V149"/>
    <mergeCell ref="W148:W149"/>
    <mergeCell ref="V150:V151"/>
    <mergeCell ref="W150:W151"/>
    <mergeCell ref="T152:T153"/>
    <mergeCell ref="U152:U153"/>
    <mergeCell ref="V152:V153"/>
    <mergeCell ref="W152:W153"/>
    <mergeCell ref="T162:T163"/>
    <mergeCell ref="U160:U161"/>
    <mergeCell ref="U162:U163"/>
    <mergeCell ref="T154:T155"/>
    <mergeCell ref="U154:U155"/>
    <mergeCell ref="T146:T147"/>
    <mergeCell ref="T134:T135"/>
    <mergeCell ref="U134:U135"/>
    <mergeCell ref="V134:V135"/>
    <mergeCell ref="W134:W135"/>
    <mergeCell ref="T140:T141"/>
    <mergeCell ref="T142:T143"/>
    <mergeCell ref="U142:U143"/>
    <mergeCell ref="V142:V143"/>
    <mergeCell ref="W142:W143"/>
    <mergeCell ref="U144:U145"/>
    <mergeCell ref="V144:V145"/>
    <mergeCell ref="W144:W145"/>
    <mergeCell ref="V136:V137"/>
    <mergeCell ref="W136:W137"/>
    <mergeCell ref="V138:V139"/>
    <mergeCell ref="W138:W139"/>
    <mergeCell ref="T166:T167"/>
    <mergeCell ref="T150:T151"/>
    <mergeCell ref="U150:U151"/>
    <mergeCell ref="T156:T157"/>
    <mergeCell ref="U156:U157"/>
    <mergeCell ref="V156:V157"/>
    <mergeCell ref="Y152:Y153"/>
    <mergeCell ref="Y156:Y157"/>
    <mergeCell ref="Y158:Y159"/>
    <mergeCell ref="Y160:Y161"/>
    <mergeCell ref="Y162:Y163"/>
    <mergeCell ref="X152:X153"/>
    <mergeCell ref="X156:X157"/>
    <mergeCell ref="X158:X159"/>
    <mergeCell ref="X160:X161"/>
    <mergeCell ref="T158:T159"/>
    <mergeCell ref="U158:U159"/>
    <mergeCell ref="V158:V159"/>
    <mergeCell ref="W158:W159"/>
    <mergeCell ref="V164:V165"/>
    <mergeCell ref="W164:W165"/>
    <mergeCell ref="W156:W157"/>
    <mergeCell ref="U166:U167"/>
    <mergeCell ref="V166:V167"/>
    <mergeCell ref="W166:W167"/>
    <mergeCell ref="T160:T161"/>
    <mergeCell ref="T164:T165"/>
    <mergeCell ref="U164:U165"/>
    <mergeCell ref="X166:X167"/>
    <mergeCell ref="Y164:Y165"/>
    <mergeCell ref="X162:X163"/>
    <mergeCell ref="V160:V161"/>
    <mergeCell ref="W112:W113"/>
    <mergeCell ref="X110:X111"/>
    <mergeCell ref="Y110:Y111"/>
    <mergeCell ref="Y102:Y103"/>
    <mergeCell ref="Y106:Y107"/>
    <mergeCell ref="V108:V109"/>
    <mergeCell ref="V104:V105"/>
    <mergeCell ref="W104:W105"/>
    <mergeCell ref="X104:X105"/>
    <mergeCell ref="Y104:Y105"/>
    <mergeCell ref="X120:X121"/>
    <mergeCell ref="W120:W121"/>
    <mergeCell ref="X114:X115"/>
    <mergeCell ref="X118:X119"/>
    <mergeCell ref="Y100:Y101"/>
    <mergeCell ref="V90:V91"/>
    <mergeCell ref="W90:W91"/>
    <mergeCell ref="X90:X91"/>
    <mergeCell ref="Y90:Y91"/>
    <mergeCell ref="X98:X99"/>
    <mergeCell ref="V94:V95"/>
    <mergeCell ref="Y98:Y99"/>
    <mergeCell ref="X100:X101"/>
    <mergeCell ref="Y94:Y95"/>
    <mergeCell ref="V92:V93"/>
    <mergeCell ref="W92:W93"/>
    <mergeCell ref="AH56:AH57"/>
    <mergeCell ref="AL56:AL57"/>
    <mergeCell ref="AD98:AD99"/>
    <mergeCell ref="AL76:AL77"/>
    <mergeCell ref="AL78:AL79"/>
    <mergeCell ref="AL82:AL83"/>
    <mergeCell ref="AL96:AL97"/>
    <mergeCell ref="W76:W77"/>
    <mergeCell ref="Y62:Y63"/>
    <mergeCell ref="Y64:Y65"/>
    <mergeCell ref="AH82:AH83"/>
    <mergeCell ref="AH84:AH85"/>
    <mergeCell ref="Z62:Z63"/>
    <mergeCell ref="AA62:AA63"/>
    <mergeCell ref="Z64:Z65"/>
    <mergeCell ref="AA64:AA65"/>
    <mergeCell ref="Z66:Z67"/>
    <mergeCell ref="AA66:AA67"/>
    <mergeCell ref="Z68:Z69"/>
    <mergeCell ref="AA68:AA69"/>
    <mergeCell ref="Z76:Z77"/>
    <mergeCell ref="AA76:AA77"/>
    <mergeCell ref="Z78:Z79"/>
    <mergeCell ref="Y92:Y93"/>
    <mergeCell ref="AA90:AA91"/>
    <mergeCell ref="AA92:AA93"/>
    <mergeCell ref="Z94:Z95"/>
    <mergeCell ref="AA94:AA95"/>
    <mergeCell ref="Z96:Z97"/>
    <mergeCell ref="AA56:AA57"/>
    <mergeCell ref="AD80:AD81"/>
    <mergeCell ref="AL68:AL69"/>
    <mergeCell ref="X164:X165"/>
    <mergeCell ref="AH132:AH133"/>
    <mergeCell ref="AD152:AD153"/>
    <mergeCell ref="AD156:AD157"/>
    <mergeCell ref="AD158:AD159"/>
    <mergeCell ref="AD160:AD161"/>
    <mergeCell ref="AD162:AD163"/>
    <mergeCell ref="AH156:AH157"/>
    <mergeCell ref="AH158:AH159"/>
    <mergeCell ref="AL158:AL159"/>
    <mergeCell ref="AH160:AH161"/>
    <mergeCell ref="AA142:AA143"/>
    <mergeCell ref="AD142:AD143"/>
    <mergeCell ref="X148:X149"/>
    <mergeCell ref="X150:X151"/>
    <mergeCell ref="Y144:Y145"/>
    <mergeCell ref="X136:X137"/>
    <mergeCell ref="Y148:Y149"/>
    <mergeCell ref="Y150:Y151"/>
    <mergeCell ref="Y136:Y137"/>
    <mergeCell ref="AH138:AH139"/>
    <mergeCell ref="AL138:AL139"/>
    <mergeCell ref="AD140:AD141"/>
    <mergeCell ref="AH140:AH141"/>
    <mergeCell ref="AL140:AL141"/>
    <mergeCell ref="AL162:AL163"/>
    <mergeCell ref="AD146:AD147"/>
    <mergeCell ref="AH146:AH147"/>
    <mergeCell ref="AD136:AD137"/>
    <mergeCell ref="AH136:AH137"/>
    <mergeCell ref="AL136:AL137"/>
    <mergeCell ref="AD138:AD139"/>
    <mergeCell ref="AH76:AH77"/>
    <mergeCell ref="AH162:AH163"/>
    <mergeCell ref="AH164:AH165"/>
    <mergeCell ref="AL164:AL165"/>
    <mergeCell ref="AH144:AH145"/>
    <mergeCell ref="W162:W163"/>
    <mergeCell ref="U140:U141"/>
    <mergeCell ref="V128:V129"/>
    <mergeCell ref="W128:W129"/>
    <mergeCell ref="V140:V141"/>
    <mergeCell ref="W140:W141"/>
    <mergeCell ref="Z138:Z139"/>
    <mergeCell ref="AA138:AA139"/>
    <mergeCell ref="Y120:Y121"/>
    <mergeCell ref="Y128:Y129"/>
    <mergeCell ref="X126:X127"/>
    <mergeCell ref="X128:X129"/>
    <mergeCell ref="Y126:Y127"/>
    <mergeCell ref="Y140:Y141"/>
    <mergeCell ref="X138:X139"/>
    <mergeCell ref="Y138:Y139"/>
    <mergeCell ref="AA134:AA135"/>
    <mergeCell ref="Z136:Z137"/>
    <mergeCell ref="AA136:AA137"/>
    <mergeCell ref="AA148:AA149"/>
    <mergeCell ref="X146:X147"/>
    <mergeCell ref="Y146:Y147"/>
    <mergeCell ref="Z146:Z147"/>
    <mergeCell ref="AA146:AA147"/>
    <mergeCell ref="X140:X141"/>
    <mergeCell ref="Y132:Y133"/>
    <mergeCell ref="Z132:Z133"/>
    <mergeCell ref="AP94:AP95"/>
    <mergeCell ref="AP36:AP37"/>
    <mergeCell ref="AP76:AP77"/>
    <mergeCell ref="AP82:AP83"/>
    <mergeCell ref="AP52:AP53"/>
    <mergeCell ref="AP78:AP79"/>
    <mergeCell ref="AP50:AP51"/>
    <mergeCell ref="AP56:AP57"/>
    <mergeCell ref="AP60:AP61"/>
    <mergeCell ref="AP62:AP63"/>
    <mergeCell ref="AP64:AP65"/>
    <mergeCell ref="AP66:AP67"/>
    <mergeCell ref="AP68:AP69"/>
    <mergeCell ref="AP46:AP47"/>
    <mergeCell ref="AP84:AP85"/>
    <mergeCell ref="AP98:AP99"/>
    <mergeCell ref="AP96:AP97"/>
    <mergeCell ref="AP86:AP87"/>
    <mergeCell ref="AP92:AP93"/>
    <mergeCell ref="AP42:AP43"/>
    <mergeCell ref="AP90:AP91"/>
    <mergeCell ref="AP72:AP73"/>
    <mergeCell ref="AP88:AP89"/>
    <mergeCell ref="AP100:AP101"/>
    <mergeCell ref="AP104:AP105"/>
    <mergeCell ref="AP116:AP117"/>
    <mergeCell ref="AP102:AP103"/>
    <mergeCell ref="AP106:AP107"/>
    <mergeCell ref="AA50:AA51"/>
    <mergeCell ref="AL52:AL53"/>
    <mergeCell ref="AL84:AL85"/>
    <mergeCell ref="AH80:AH81"/>
    <mergeCell ref="Z60:Z61"/>
    <mergeCell ref="AD84:AD85"/>
    <mergeCell ref="AP166:AP167"/>
    <mergeCell ref="AP122:AP123"/>
    <mergeCell ref="AP126:AP127"/>
    <mergeCell ref="AP128:AP129"/>
    <mergeCell ref="AP132:AP133"/>
    <mergeCell ref="AP134:AP135"/>
    <mergeCell ref="AP108:AP109"/>
    <mergeCell ref="AP110:AP111"/>
    <mergeCell ref="AP112:AP113"/>
    <mergeCell ref="AP114:AP115"/>
    <mergeCell ref="AP118:AP119"/>
    <mergeCell ref="AP148:AP149"/>
    <mergeCell ref="AP150:AP151"/>
    <mergeCell ref="AP152:AP153"/>
    <mergeCell ref="AP156:AP157"/>
    <mergeCell ref="AP158:AP159"/>
    <mergeCell ref="AP160:AP161"/>
    <mergeCell ref="AP120:AP121"/>
    <mergeCell ref="AP136:AP137"/>
    <mergeCell ref="AP146:AP147"/>
    <mergeCell ref="AP154:AP155"/>
    <mergeCell ref="AP138:AP139"/>
    <mergeCell ref="AP140:AP141"/>
    <mergeCell ref="AH166:AH167"/>
    <mergeCell ref="AL166:AL167"/>
    <mergeCell ref="AD166:AD167"/>
    <mergeCell ref="AD144:AD145"/>
    <mergeCell ref="AD148:AD149"/>
    <mergeCell ref="AD150:AD151"/>
    <mergeCell ref="AP164:AP165"/>
    <mergeCell ref="AP162:AP163"/>
    <mergeCell ref="AL160:AL161"/>
    <mergeCell ref="V100:V101"/>
    <mergeCell ref="W100:W101"/>
    <mergeCell ref="AD36:AD37"/>
    <mergeCell ref="AD68:AD69"/>
    <mergeCell ref="AD76:AD77"/>
    <mergeCell ref="Y56:Y57"/>
    <mergeCell ref="Y68:Y69"/>
    <mergeCell ref="W82:W83"/>
    <mergeCell ref="AD94:AD95"/>
    <mergeCell ref="AD100:AD101"/>
    <mergeCell ref="AD126:AD127"/>
    <mergeCell ref="AD128:AD129"/>
    <mergeCell ref="AD102:AD103"/>
    <mergeCell ref="AD106:AD107"/>
    <mergeCell ref="AD164:AD165"/>
    <mergeCell ref="W160:W161"/>
    <mergeCell ref="V162:V163"/>
    <mergeCell ref="X46:X47"/>
    <mergeCell ref="Y46:Y47"/>
    <mergeCell ref="Z46:Z47"/>
    <mergeCell ref="AA46:AA47"/>
    <mergeCell ref="AD92:AD93"/>
    <mergeCell ref="AD66:AD67"/>
    <mergeCell ref="AD46:AD47"/>
    <mergeCell ref="AL120:AL121"/>
    <mergeCell ref="AH110:AH111"/>
    <mergeCell ref="AL110:AL111"/>
    <mergeCell ref="Y84:Y85"/>
    <mergeCell ref="U78:U79"/>
    <mergeCell ref="O60:O61"/>
    <mergeCell ref="T50:T51"/>
    <mergeCell ref="U50:U51"/>
    <mergeCell ref="V68:V69"/>
    <mergeCell ref="T84:T85"/>
    <mergeCell ref="U84:U85"/>
    <mergeCell ref="V84:V85"/>
    <mergeCell ref="W84:W85"/>
    <mergeCell ref="U94:U95"/>
    <mergeCell ref="X108:X109"/>
    <mergeCell ref="O108:O109"/>
    <mergeCell ref="T108:T109"/>
    <mergeCell ref="U108:U109"/>
    <mergeCell ref="Y96:Y97"/>
    <mergeCell ref="T100:T101"/>
    <mergeCell ref="U100:U101"/>
    <mergeCell ref="Q66:Q67"/>
    <mergeCell ref="T70:T71"/>
    <mergeCell ref="U70:U71"/>
    <mergeCell ref="V70:V71"/>
    <mergeCell ref="W70:W71"/>
    <mergeCell ref="AD90:AD91"/>
    <mergeCell ref="X84:X85"/>
    <mergeCell ref="AL72:AL73"/>
    <mergeCell ref="R96:R97"/>
    <mergeCell ref="P72:P73"/>
    <mergeCell ref="O44:O45"/>
    <mergeCell ref="F40:F41"/>
    <mergeCell ref="F42:F43"/>
    <mergeCell ref="F44:F45"/>
    <mergeCell ref="O40:O41"/>
    <mergeCell ref="F34:F35"/>
    <mergeCell ref="AH34:AH35"/>
    <mergeCell ref="F36:F37"/>
    <mergeCell ref="AH36:AH37"/>
    <mergeCell ref="AD42:AD43"/>
    <mergeCell ref="AH42:AH43"/>
    <mergeCell ref="T40:T41"/>
    <mergeCell ref="U40:U41"/>
    <mergeCell ref="Z34:Z35"/>
    <mergeCell ref="AA34:AA35"/>
    <mergeCell ref="Z36:Z37"/>
    <mergeCell ref="AA36:AA37"/>
    <mergeCell ref="Z38:Z39"/>
    <mergeCell ref="AA38:AA39"/>
    <mergeCell ref="Y40:Y41"/>
    <mergeCell ref="W40:W41"/>
    <mergeCell ref="X40:X41"/>
    <mergeCell ref="T42:T43"/>
    <mergeCell ref="AD44:AD45"/>
    <mergeCell ref="AH44:AH45"/>
    <mergeCell ref="AA48:AA49"/>
    <mergeCell ref="Z50:Z51"/>
    <mergeCell ref="AD88:AD89"/>
    <mergeCell ref="V42:V43"/>
    <mergeCell ref="W42:W43"/>
    <mergeCell ref="X42:X43"/>
    <mergeCell ref="Y42:Y43"/>
    <mergeCell ref="T44:T45"/>
    <mergeCell ref="U44:U45"/>
    <mergeCell ref="V44:V45"/>
    <mergeCell ref="AD108:AD109"/>
    <mergeCell ref="Y108:Y109"/>
    <mergeCell ref="W94:W95"/>
    <mergeCell ref="R56:R57"/>
    <mergeCell ref="P60:P61"/>
    <mergeCell ref="Q60:Q61"/>
    <mergeCell ref="R60:R61"/>
    <mergeCell ref="P62:P63"/>
    <mergeCell ref="Q62:Q63"/>
    <mergeCell ref="O102:O103"/>
    <mergeCell ref="P70:P71"/>
    <mergeCell ref="T106:T107"/>
    <mergeCell ref="U106:U107"/>
    <mergeCell ref="O106:O107"/>
    <mergeCell ref="AD104:AD105"/>
    <mergeCell ref="V50:V51"/>
    <mergeCell ref="P50:P51"/>
    <mergeCell ref="Q50:Q51"/>
    <mergeCell ref="R50:R51"/>
    <mergeCell ref="W48:W49"/>
    <mergeCell ref="T102:T103"/>
    <mergeCell ref="U102:U103"/>
    <mergeCell ref="V102:V103"/>
    <mergeCell ref="W102:W103"/>
    <mergeCell ref="P52:P53"/>
    <mergeCell ref="T72:T73"/>
    <mergeCell ref="U72:U73"/>
    <mergeCell ref="V72:V73"/>
    <mergeCell ref="W72:W73"/>
    <mergeCell ref="X72:X73"/>
    <mergeCell ref="Y72:Y73"/>
    <mergeCell ref="Z72:Z73"/>
    <mergeCell ref="F98:F99"/>
    <mergeCell ref="O98:O99"/>
    <mergeCell ref="T98:T99"/>
    <mergeCell ref="U66:U67"/>
    <mergeCell ref="V62:V63"/>
    <mergeCell ref="W62:W63"/>
    <mergeCell ref="O84:O85"/>
    <mergeCell ref="U98:U99"/>
    <mergeCell ref="V98:V99"/>
    <mergeCell ref="T66:T67"/>
    <mergeCell ref="T76:T77"/>
    <mergeCell ref="T62:T63"/>
    <mergeCell ref="U62:U63"/>
    <mergeCell ref="F80:F81"/>
    <mergeCell ref="Y74:Y75"/>
    <mergeCell ref="Z74:Z75"/>
    <mergeCell ref="W78:W79"/>
    <mergeCell ref="V86:V87"/>
    <mergeCell ref="W86:W87"/>
    <mergeCell ref="X86:X87"/>
    <mergeCell ref="Y86:Y87"/>
    <mergeCell ref="X82:X83"/>
    <mergeCell ref="X70:X71"/>
    <mergeCell ref="V88:V89"/>
    <mergeCell ref="W88:W89"/>
    <mergeCell ref="X80:X81"/>
    <mergeCell ref="Z84:Z85"/>
    <mergeCell ref="Q52:Q53"/>
    <mergeCell ref="T52:T53"/>
    <mergeCell ref="R52:R53"/>
    <mergeCell ref="P56:P57"/>
    <mergeCell ref="Q56:Q57"/>
    <mergeCell ref="W64:W65"/>
    <mergeCell ref="V66:V67"/>
    <mergeCell ref="T64:T65"/>
    <mergeCell ref="U64:U65"/>
    <mergeCell ref="T60:T61"/>
    <mergeCell ref="F70:F71"/>
    <mergeCell ref="U74:U75"/>
    <mergeCell ref="V74:V75"/>
    <mergeCell ref="W74:W75"/>
    <mergeCell ref="V78:V79"/>
    <mergeCell ref="AH150:AH151"/>
    <mergeCell ref="AL150:AL151"/>
    <mergeCell ref="AL148:AL149"/>
    <mergeCell ref="AH118:AH119"/>
    <mergeCell ref="AL122:AL123"/>
    <mergeCell ref="AH128:AH129"/>
    <mergeCell ref="AL132:AL133"/>
    <mergeCell ref="AH134:AH135"/>
    <mergeCell ref="AL134:AL135"/>
    <mergeCell ref="AL128:AL129"/>
    <mergeCell ref="AH122:AH123"/>
    <mergeCell ref="AH126:AH127"/>
    <mergeCell ref="AL126:AL127"/>
    <mergeCell ref="F120:F121"/>
    <mergeCell ref="O120:O121"/>
    <mergeCell ref="AH120:AH121"/>
    <mergeCell ref="T144:T145"/>
    <mergeCell ref="X142:X143"/>
    <mergeCell ref="Y142:Y143"/>
    <mergeCell ref="Z142:Z143"/>
    <mergeCell ref="AD132:AD133"/>
    <mergeCell ref="AD134:AD135"/>
    <mergeCell ref="U138:U139"/>
    <mergeCell ref="AL144:AL145"/>
    <mergeCell ref="AL124:AL125"/>
    <mergeCell ref="U146:U147"/>
    <mergeCell ref="AL156:AL157"/>
    <mergeCell ref="AH152:AH153"/>
    <mergeCell ref="AL152:AL153"/>
    <mergeCell ref="U136:U137"/>
    <mergeCell ref="X144:X145"/>
    <mergeCell ref="AH148:AH149"/>
    <mergeCell ref="V154:V155"/>
    <mergeCell ref="W154:W155"/>
    <mergeCell ref="X154:X155"/>
    <mergeCell ref="Y154:Y155"/>
    <mergeCell ref="Z154:Z155"/>
    <mergeCell ref="AA154:AA155"/>
    <mergeCell ref="AD154:AD155"/>
    <mergeCell ref="AH154:AH155"/>
    <mergeCell ref="AL154:AL155"/>
    <mergeCell ref="AH142:AH143"/>
    <mergeCell ref="AL142:AL143"/>
    <mergeCell ref="V146:V147"/>
    <mergeCell ref="W146:W147"/>
    <mergeCell ref="AL146:AL147"/>
    <mergeCell ref="AE146:AE147"/>
    <mergeCell ref="AF146:AF147"/>
    <mergeCell ref="AG146:AG147"/>
    <mergeCell ref="AD122:AD123"/>
    <mergeCell ref="AD120:AD121"/>
    <mergeCell ref="Y166:Y167"/>
    <mergeCell ref="V60:V61"/>
    <mergeCell ref="Y60:Y61"/>
    <mergeCell ref="Y66:Y67"/>
    <mergeCell ref="V76:V77"/>
    <mergeCell ref="T2:X2"/>
    <mergeCell ref="X34:X35"/>
    <mergeCell ref="X36:X37"/>
    <mergeCell ref="X38:X39"/>
    <mergeCell ref="X48:X49"/>
    <mergeCell ref="X50:X51"/>
    <mergeCell ref="X52:X53"/>
    <mergeCell ref="X56:X57"/>
    <mergeCell ref="X60:X61"/>
    <mergeCell ref="W34:W35"/>
    <mergeCell ref="W36:W37"/>
    <mergeCell ref="V38:V39"/>
    <mergeCell ref="W38:W39"/>
    <mergeCell ref="V34:V35"/>
    <mergeCell ref="T36:T37"/>
    <mergeCell ref="U36:U37"/>
    <mergeCell ref="V48:V49"/>
    <mergeCell ref="V52:V53"/>
    <mergeCell ref="V40:V41"/>
    <mergeCell ref="AD32:AD33"/>
    <mergeCell ref="X44:X45"/>
    <mergeCell ref="Y44:Y45"/>
    <mergeCell ref="U42:U43"/>
    <mergeCell ref="AD40:AD41"/>
    <mergeCell ref="X74:X75"/>
    <mergeCell ref="J3:N3"/>
    <mergeCell ref="O32:O33"/>
    <mergeCell ref="O96:O97"/>
    <mergeCell ref="T96:T97"/>
    <mergeCell ref="U96:U97"/>
    <mergeCell ref="V96:V97"/>
    <mergeCell ref="W96:W97"/>
    <mergeCell ref="X96:X97"/>
    <mergeCell ref="O80:O81"/>
    <mergeCell ref="T80:T81"/>
    <mergeCell ref="U80:U81"/>
    <mergeCell ref="V80:V81"/>
    <mergeCell ref="W80:W81"/>
    <mergeCell ref="X62:X63"/>
    <mergeCell ref="X64:X65"/>
    <mergeCell ref="X66:X67"/>
    <mergeCell ref="X68:X69"/>
    <mergeCell ref="X76:X77"/>
    <mergeCell ref="X78:X79"/>
    <mergeCell ref="X94:X95"/>
    <mergeCell ref="X92:X93"/>
    <mergeCell ref="O92:O93"/>
    <mergeCell ref="O94:O95"/>
    <mergeCell ref="V82:V83"/>
    <mergeCell ref="T78:T79"/>
    <mergeCell ref="O64:O65"/>
    <mergeCell ref="O42:O43"/>
    <mergeCell ref="R62:R63"/>
    <mergeCell ref="Q64:Q65"/>
    <mergeCell ref="R64:R65"/>
    <mergeCell ref="P66:P67"/>
    <mergeCell ref="U60:U61"/>
    <mergeCell ref="AH32:AH33"/>
    <mergeCell ref="AD64:AD65"/>
    <mergeCell ref="AD50:AD51"/>
    <mergeCell ref="AD52:AD53"/>
    <mergeCell ref="Y32:Y33"/>
    <mergeCell ref="T32:T33"/>
    <mergeCell ref="U32:U33"/>
    <mergeCell ref="V32:V33"/>
    <mergeCell ref="W32:W33"/>
    <mergeCell ref="T46:T47"/>
    <mergeCell ref="U46:U47"/>
    <mergeCell ref="V46:V47"/>
    <mergeCell ref="W46:W47"/>
    <mergeCell ref="U34:U35"/>
    <mergeCell ref="T34:T35"/>
    <mergeCell ref="X32:X33"/>
    <mergeCell ref="V36:V37"/>
    <mergeCell ref="T38:T39"/>
    <mergeCell ref="U38:U39"/>
    <mergeCell ref="U48:U49"/>
    <mergeCell ref="AH50:AH51"/>
    <mergeCell ref="V56:V57"/>
    <mergeCell ref="AD34:AD35"/>
    <mergeCell ref="AD38:AD39"/>
    <mergeCell ref="T48:T49"/>
    <mergeCell ref="Y52:Y53"/>
    <mergeCell ref="AD56:AD57"/>
    <mergeCell ref="AD60:AD61"/>
    <mergeCell ref="AD62:AD63"/>
    <mergeCell ref="U56:U57"/>
    <mergeCell ref="AA32:AA33"/>
    <mergeCell ref="W44:W45"/>
    <mergeCell ref="AL80:AL81"/>
    <mergeCell ref="AL32:AL33"/>
    <mergeCell ref="AP32:AP33"/>
    <mergeCell ref="AP80:AP81"/>
    <mergeCell ref="AH78:AH79"/>
    <mergeCell ref="AL34:AL35"/>
    <mergeCell ref="AP34:AP35"/>
    <mergeCell ref="AH66:AH67"/>
    <mergeCell ref="AL66:AL67"/>
    <mergeCell ref="AH60:AH61"/>
    <mergeCell ref="AL60:AL61"/>
    <mergeCell ref="AH62:AH63"/>
    <mergeCell ref="AL62:AL63"/>
    <mergeCell ref="AP38:AP39"/>
    <mergeCell ref="AP48:AP49"/>
    <mergeCell ref="AH64:AH65"/>
    <mergeCell ref="AL64:AL65"/>
    <mergeCell ref="AH38:AH39"/>
    <mergeCell ref="AL38:AL39"/>
    <mergeCell ref="AH68:AH69"/>
    <mergeCell ref="AL36:AL37"/>
    <mergeCell ref="AH46:AH47"/>
    <mergeCell ref="AL46:AL47"/>
    <mergeCell ref="AH48:AH49"/>
    <mergeCell ref="AL48:AL49"/>
    <mergeCell ref="AL50:AL51"/>
    <mergeCell ref="AL40:AL41"/>
    <mergeCell ref="AP40:AP41"/>
    <mergeCell ref="AL42:AL43"/>
    <mergeCell ref="AL44:AL45"/>
    <mergeCell ref="AP44:AP45"/>
    <mergeCell ref="AP58:AP59"/>
    <mergeCell ref="AH104:AH105"/>
    <mergeCell ref="AL104:AL105"/>
    <mergeCell ref="T104:T105"/>
    <mergeCell ref="U104:U105"/>
    <mergeCell ref="T116:T117"/>
    <mergeCell ref="U116:U117"/>
    <mergeCell ref="V116:V117"/>
    <mergeCell ref="W116:W117"/>
    <mergeCell ref="X116:X117"/>
    <mergeCell ref="Y116:Y117"/>
    <mergeCell ref="Z116:Z117"/>
    <mergeCell ref="AA116:AA117"/>
    <mergeCell ref="AD116:AD117"/>
    <mergeCell ref="O100:O101"/>
    <mergeCell ref="X112:X113"/>
    <mergeCell ref="Y114:Y115"/>
    <mergeCell ref="X102:X103"/>
    <mergeCell ref="X106:X107"/>
    <mergeCell ref="Y112:Y113"/>
    <mergeCell ref="T114:T115"/>
    <mergeCell ref="AH102:AH103"/>
    <mergeCell ref="AL102:AL103"/>
    <mergeCell ref="AH100:AH101"/>
    <mergeCell ref="AL100:AL101"/>
    <mergeCell ref="AE106:AE107"/>
    <mergeCell ref="AF106:AF107"/>
    <mergeCell ref="AG106:AG107"/>
    <mergeCell ref="AE108:AE109"/>
    <mergeCell ref="AF108:AF109"/>
    <mergeCell ref="AG108:AG109"/>
    <mergeCell ref="AE104:AE105"/>
    <mergeCell ref="AF104:AF105"/>
    <mergeCell ref="O46:O47"/>
    <mergeCell ref="F64:F65"/>
    <mergeCell ref="P98:P99"/>
    <mergeCell ref="P64:P65"/>
    <mergeCell ref="P78:P79"/>
    <mergeCell ref="O52:O53"/>
    <mergeCell ref="F78:F79"/>
    <mergeCell ref="F76:F77"/>
    <mergeCell ref="O68:O69"/>
    <mergeCell ref="F74:F75"/>
    <mergeCell ref="O88:O89"/>
    <mergeCell ref="P80:P81"/>
    <mergeCell ref="F56:F57"/>
    <mergeCell ref="F60:F61"/>
    <mergeCell ref="O56:O57"/>
    <mergeCell ref="O66:O67"/>
    <mergeCell ref="O62:O63"/>
    <mergeCell ref="F82:F83"/>
    <mergeCell ref="F84:F85"/>
    <mergeCell ref="F88:F89"/>
    <mergeCell ref="F92:F93"/>
    <mergeCell ref="F66:F67"/>
    <mergeCell ref="F68:F69"/>
    <mergeCell ref="P96:P97"/>
    <mergeCell ref="O70:O71"/>
    <mergeCell ref="O72:O73"/>
    <mergeCell ref="F96:F97"/>
    <mergeCell ref="F72:F73"/>
    <mergeCell ref="F94:F95"/>
    <mergeCell ref="P154:P155"/>
    <mergeCell ref="F58:F59"/>
    <mergeCell ref="O58:O59"/>
    <mergeCell ref="P58:P59"/>
    <mergeCell ref="F116:F117"/>
    <mergeCell ref="P116:P117"/>
    <mergeCell ref="F130:F131"/>
    <mergeCell ref="P130:P131"/>
    <mergeCell ref="F142:F143"/>
    <mergeCell ref="P142:P143"/>
    <mergeCell ref="F86:F87"/>
    <mergeCell ref="O86:O87"/>
    <mergeCell ref="P86:P87"/>
    <mergeCell ref="F90:F91"/>
    <mergeCell ref="O90:O91"/>
    <mergeCell ref="P90:P91"/>
    <mergeCell ref="F104:F105"/>
    <mergeCell ref="P104:P105"/>
    <mergeCell ref="F146:F147"/>
    <mergeCell ref="F124:F125"/>
    <mergeCell ref="F106:F107"/>
    <mergeCell ref="O132:O133"/>
    <mergeCell ref="F138:F139"/>
    <mergeCell ref="F152:F153"/>
    <mergeCell ref="F102:F103"/>
    <mergeCell ref="F108:F109"/>
    <mergeCell ref="F110:F111"/>
    <mergeCell ref="O124:O125"/>
    <mergeCell ref="P124:P125"/>
    <mergeCell ref="O146:O147"/>
    <mergeCell ref="P146:P147"/>
    <mergeCell ref="F100:F101"/>
    <mergeCell ref="AE44:AE45"/>
    <mergeCell ref="AF44:AF45"/>
    <mergeCell ref="AG44:AG45"/>
    <mergeCell ref="AJ42:AJ43"/>
    <mergeCell ref="AK42:AK43"/>
    <mergeCell ref="AI44:AI45"/>
    <mergeCell ref="AJ44:AJ45"/>
    <mergeCell ref="AK44:AK45"/>
    <mergeCell ref="AF42:AF43"/>
    <mergeCell ref="AG42:AG43"/>
    <mergeCell ref="Y70:Y71"/>
    <mergeCell ref="Z70:Z71"/>
    <mergeCell ref="AA72:AA73"/>
    <mergeCell ref="AG68:AG69"/>
    <mergeCell ref="AE70:AE71"/>
    <mergeCell ref="AF70:AF71"/>
    <mergeCell ref="AG70:AG71"/>
    <mergeCell ref="AE72:AE73"/>
    <mergeCell ref="AF72:AF73"/>
    <mergeCell ref="AG72:AG73"/>
    <mergeCell ref="AI48:AI49"/>
    <mergeCell ref="AJ48:AJ49"/>
    <mergeCell ref="AK48:AK49"/>
    <mergeCell ref="AI50:AI51"/>
    <mergeCell ref="AJ50:AJ51"/>
    <mergeCell ref="AK50:AK51"/>
    <mergeCell ref="AI52:AI53"/>
    <mergeCell ref="AJ52:AJ53"/>
    <mergeCell ref="AK46:AK47"/>
    <mergeCell ref="AK52:AK53"/>
    <mergeCell ref="AI56:AI57"/>
    <mergeCell ref="AJ56:AJ57"/>
    <mergeCell ref="AH40:AH41"/>
    <mergeCell ref="W56:W57"/>
    <mergeCell ref="T56:T57"/>
    <mergeCell ref="W50:W51"/>
    <mergeCell ref="W52:W53"/>
    <mergeCell ref="W60:W61"/>
    <mergeCell ref="W68:W69"/>
    <mergeCell ref="W66:W67"/>
    <mergeCell ref="V58:V59"/>
    <mergeCell ref="W58:W59"/>
    <mergeCell ref="AD48:AD49"/>
    <mergeCell ref="AD72:AD73"/>
    <mergeCell ref="AH72:AH73"/>
    <mergeCell ref="AH52:AH53"/>
    <mergeCell ref="T68:T69"/>
    <mergeCell ref="U52:U53"/>
    <mergeCell ref="AE46:AE47"/>
    <mergeCell ref="AF46:AF47"/>
    <mergeCell ref="AG46:AG47"/>
    <mergeCell ref="AE48:AE49"/>
    <mergeCell ref="AF48:AF49"/>
    <mergeCell ref="AG48:AG49"/>
    <mergeCell ref="AE50:AE51"/>
    <mergeCell ref="AF50:AF51"/>
    <mergeCell ref="AG50:AG51"/>
    <mergeCell ref="AE52:AE53"/>
    <mergeCell ref="AF52:AF53"/>
    <mergeCell ref="AG52:AG53"/>
    <mergeCell ref="Y58:Y59"/>
    <mergeCell ref="AE68:AE69"/>
    <mergeCell ref="AF68:AF69"/>
    <mergeCell ref="AG58:AG59"/>
    <mergeCell ref="AA74:AA75"/>
    <mergeCell ref="AD74:AD75"/>
    <mergeCell ref="AH74:AH75"/>
    <mergeCell ref="AL74:AL75"/>
    <mergeCell ref="AP74:AP75"/>
    <mergeCell ref="AL118:AL119"/>
    <mergeCell ref="AL108:AL109"/>
    <mergeCell ref="AL88:AL89"/>
    <mergeCell ref="AH94:AH95"/>
    <mergeCell ref="AH106:AH107"/>
    <mergeCell ref="AL106:AL107"/>
    <mergeCell ref="AH88:AH89"/>
    <mergeCell ref="AH116:AH117"/>
    <mergeCell ref="AL116:AL117"/>
    <mergeCell ref="AH86:AH87"/>
    <mergeCell ref="AL86:AL87"/>
    <mergeCell ref="AH90:AH91"/>
    <mergeCell ref="AH112:AH113"/>
    <mergeCell ref="AL112:AL113"/>
    <mergeCell ref="AH114:AH115"/>
    <mergeCell ref="AL114:AL115"/>
    <mergeCell ref="AH108:AH109"/>
    <mergeCell ref="AH98:AH99"/>
    <mergeCell ref="AL98:AL99"/>
    <mergeCell ref="AD110:AD111"/>
    <mergeCell ref="AE74:AE75"/>
    <mergeCell ref="AF74:AF75"/>
    <mergeCell ref="AG74:AG75"/>
    <mergeCell ref="AG78:AG79"/>
    <mergeCell ref="AD78:AD79"/>
    <mergeCell ref="AD82:AD83"/>
    <mergeCell ref="AE96:AE97"/>
    <mergeCell ref="AA82:AA83"/>
    <mergeCell ref="AA78:AA79"/>
    <mergeCell ref="AD86:AD87"/>
    <mergeCell ref="Y80:Y81"/>
    <mergeCell ref="AD130:AD131"/>
    <mergeCell ref="AH130:AH131"/>
    <mergeCell ref="AL130:AL131"/>
    <mergeCell ref="AP130:AP131"/>
    <mergeCell ref="V124:V125"/>
    <mergeCell ref="W124:W125"/>
    <mergeCell ref="AD112:AD113"/>
    <mergeCell ref="AD114:AD115"/>
    <mergeCell ref="AD118:AD119"/>
    <mergeCell ref="W98:W99"/>
    <mergeCell ref="V118:V119"/>
    <mergeCell ref="W118:W119"/>
    <mergeCell ref="AL90:AL91"/>
    <mergeCell ref="AH96:AH97"/>
    <mergeCell ref="AD96:AD97"/>
    <mergeCell ref="X88:X89"/>
    <mergeCell ref="AF78:AF79"/>
    <mergeCell ref="AP124:AP125"/>
    <mergeCell ref="AG90:AG91"/>
    <mergeCell ref="AE92:AE93"/>
    <mergeCell ref="AF92:AF93"/>
    <mergeCell ref="AG92:AG93"/>
    <mergeCell ref="AE94:AE95"/>
    <mergeCell ref="AF94:AF95"/>
    <mergeCell ref="AG94:AG95"/>
    <mergeCell ref="Z124:Z125"/>
    <mergeCell ref="AA124:AA125"/>
    <mergeCell ref="AD124:AD125"/>
    <mergeCell ref="AP144:AP145"/>
    <mergeCell ref="Z130:Z131"/>
    <mergeCell ref="AA130:AA131"/>
    <mergeCell ref="AE144:AE145"/>
    <mergeCell ref="AF144:AF145"/>
    <mergeCell ref="AG144:AG145"/>
    <mergeCell ref="AI134:AI135"/>
    <mergeCell ref="AJ134:AJ135"/>
    <mergeCell ref="AK134:AK135"/>
    <mergeCell ref="AI136:AI137"/>
    <mergeCell ref="AJ136:AJ137"/>
    <mergeCell ref="AK136:AK137"/>
    <mergeCell ref="AI138:AI139"/>
    <mergeCell ref="AA120:AA121"/>
    <mergeCell ref="Z122:Z123"/>
    <mergeCell ref="Y118:Y119"/>
    <mergeCell ref="Y122:Y123"/>
    <mergeCell ref="AE122:AE123"/>
    <mergeCell ref="AF122:AF123"/>
    <mergeCell ref="AG122:AG123"/>
    <mergeCell ref="AE124:AE125"/>
    <mergeCell ref="AF124:AF125"/>
    <mergeCell ref="AG124:AG125"/>
    <mergeCell ref="AE126:AE127"/>
    <mergeCell ref="AF126:AF127"/>
    <mergeCell ref="AG126:AG127"/>
    <mergeCell ref="AE128:AE129"/>
    <mergeCell ref="AF128:AF129"/>
    <mergeCell ref="AG128:AG129"/>
    <mergeCell ref="AE130:AE131"/>
    <mergeCell ref="AF130:AF131"/>
    <mergeCell ref="AH124:AH125"/>
    <mergeCell ref="AP142:AP143"/>
    <mergeCell ref="AE60:AE61"/>
    <mergeCell ref="AF60:AF61"/>
    <mergeCell ref="AG60:AG61"/>
    <mergeCell ref="AE62:AE63"/>
    <mergeCell ref="AF62:AF63"/>
    <mergeCell ref="AG62:AG63"/>
    <mergeCell ref="AE64:AE65"/>
    <mergeCell ref="AF64:AF65"/>
    <mergeCell ref="AG64:AG65"/>
    <mergeCell ref="AE66:AE67"/>
    <mergeCell ref="AF66:AF67"/>
    <mergeCell ref="AG66:AG67"/>
    <mergeCell ref="AE76:AE77"/>
    <mergeCell ref="AF76:AF77"/>
    <mergeCell ref="AG76:AG77"/>
    <mergeCell ref="AE78:AE79"/>
    <mergeCell ref="AE80:AE81"/>
    <mergeCell ref="AF80:AF81"/>
    <mergeCell ref="AG80:AG81"/>
    <mergeCell ref="AE82:AE83"/>
    <mergeCell ref="AF82:AF83"/>
    <mergeCell ref="AG82:AG83"/>
    <mergeCell ref="AE84:AE85"/>
    <mergeCell ref="AF84:AF85"/>
    <mergeCell ref="AG84:AG85"/>
    <mergeCell ref="AE86:AE87"/>
    <mergeCell ref="AG86:AG87"/>
    <mergeCell ref="AE88:AE89"/>
    <mergeCell ref="AF88:AF89"/>
    <mergeCell ref="AG88:AG89"/>
    <mergeCell ref="AE90:AE91"/>
    <mergeCell ref="AA70:AA71"/>
    <mergeCell ref="AD70:AD71"/>
    <mergeCell ref="AH70:AH71"/>
    <mergeCell ref="AL70:AL71"/>
    <mergeCell ref="AP70:AP71"/>
    <mergeCell ref="AL94:AL95"/>
    <mergeCell ref="AH92:AH93"/>
    <mergeCell ref="AL92:AL93"/>
    <mergeCell ref="AE32:AE33"/>
    <mergeCell ref="AF32:AF33"/>
    <mergeCell ref="AG32:AG33"/>
    <mergeCell ref="AE34:AE35"/>
    <mergeCell ref="AF34:AF35"/>
    <mergeCell ref="AG34:AG35"/>
    <mergeCell ref="AE36:AE37"/>
    <mergeCell ref="AF36:AF37"/>
    <mergeCell ref="AG36:AG37"/>
    <mergeCell ref="AE38:AE39"/>
    <mergeCell ref="AF38:AF39"/>
    <mergeCell ref="AG38:AG39"/>
    <mergeCell ref="AE40:AE41"/>
    <mergeCell ref="AF40:AF41"/>
    <mergeCell ref="AG40:AG41"/>
    <mergeCell ref="AE42:AE43"/>
    <mergeCell ref="AE56:AE57"/>
    <mergeCell ref="AF56:AF57"/>
    <mergeCell ref="AG56:AG57"/>
    <mergeCell ref="AE58:AE59"/>
    <mergeCell ref="AI92:AI93"/>
    <mergeCell ref="AJ92:AJ93"/>
    <mergeCell ref="AK92:AK93"/>
    <mergeCell ref="AI94:AI95"/>
    <mergeCell ref="AF96:AF97"/>
    <mergeCell ref="AG96:AG97"/>
    <mergeCell ref="AE98:AE99"/>
    <mergeCell ref="AF98:AF99"/>
    <mergeCell ref="AG98:AG99"/>
    <mergeCell ref="AE100:AE101"/>
    <mergeCell ref="AF100:AF101"/>
    <mergeCell ref="AG100:AG101"/>
    <mergeCell ref="AE102:AE103"/>
    <mergeCell ref="AF102:AF103"/>
    <mergeCell ref="AG102:AG103"/>
    <mergeCell ref="AG104:AG105"/>
    <mergeCell ref="AE110:AE111"/>
    <mergeCell ref="AF110:AF111"/>
    <mergeCell ref="AG110:AG111"/>
    <mergeCell ref="AE112:AE113"/>
    <mergeCell ref="AF112:AF113"/>
    <mergeCell ref="AG112:AG113"/>
    <mergeCell ref="AE114:AE115"/>
    <mergeCell ref="AF114:AF115"/>
    <mergeCell ref="AG114:AG115"/>
    <mergeCell ref="AE116:AE117"/>
    <mergeCell ref="AF116:AF117"/>
    <mergeCell ref="AG116:AG117"/>
    <mergeCell ref="AE118:AE119"/>
    <mergeCell ref="AF118:AF119"/>
    <mergeCell ref="AG118:AG119"/>
    <mergeCell ref="AE120:AE121"/>
    <mergeCell ref="AF120:AF121"/>
    <mergeCell ref="AG120:AG121"/>
    <mergeCell ref="AG130:AG131"/>
    <mergeCell ref="AE132:AE133"/>
    <mergeCell ref="AF132:AF133"/>
    <mergeCell ref="AG132:AG133"/>
    <mergeCell ref="AK32:AK33"/>
    <mergeCell ref="AI34:AI35"/>
    <mergeCell ref="AJ34:AJ35"/>
    <mergeCell ref="AK34:AK35"/>
    <mergeCell ref="AI36:AI37"/>
    <mergeCell ref="AJ36:AJ37"/>
    <mergeCell ref="AK36:AK37"/>
    <mergeCell ref="AI38:AI39"/>
    <mergeCell ref="AJ38:AJ39"/>
    <mergeCell ref="AK38:AK39"/>
    <mergeCell ref="AI40:AI41"/>
    <mergeCell ref="AJ40:AJ41"/>
    <mergeCell ref="AK40:AK41"/>
    <mergeCell ref="AI42:AI43"/>
    <mergeCell ref="AI46:AI47"/>
    <mergeCell ref="AJ46:AJ47"/>
    <mergeCell ref="AE134:AE135"/>
    <mergeCell ref="AF134:AF135"/>
    <mergeCell ref="AG134:AG135"/>
    <mergeCell ref="AE136:AE137"/>
    <mergeCell ref="AF136:AF137"/>
    <mergeCell ref="AG136:AG137"/>
    <mergeCell ref="AE138:AE139"/>
    <mergeCell ref="AF138:AF139"/>
    <mergeCell ref="AG138:AG139"/>
    <mergeCell ref="AE140:AE141"/>
    <mergeCell ref="AF140:AF141"/>
    <mergeCell ref="AG140:AG141"/>
    <mergeCell ref="AE142:AE143"/>
    <mergeCell ref="AF142:AF143"/>
    <mergeCell ref="AG142:AG143"/>
    <mergeCell ref="AK56:AK57"/>
    <mergeCell ref="AI58:AI59"/>
    <mergeCell ref="AK58:AK59"/>
    <mergeCell ref="AI60:AI61"/>
    <mergeCell ref="AJ60:AJ61"/>
    <mergeCell ref="AK60:AK61"/>
    <mergeCell ref="AI62:AI63"/>
    <mergeCell ref="AJ62:AJ63"/>
    <mergeCell ref="AK62:AK63"/>
    <mergeCell ref="AI64:AI65"/>
    <mergeCell ref="AJ64:AJ65"/>
    <mergeCell ref="AK86:AK87"/>
    <mergeCell ref="AI88:AI89"/>
    <mergeCell ref="AJ88:AJ89"/>
    <mergeCell ref="AK88:AK89"/>
    <mergeCell ref="AI90:AI91"/>
    <mergeCell ref="AK90:AK91"/>
    <mergeCell ref="AE158:AE159"/>
    <mergeCell ref="AF158:AF159"/>
    <mergeCell ref="AG158:AG159"/>
    <mergeCell ref="AE160:AE161"/>
    <mergeCell ref="AF160:AF161"/>
    <mergeCell ref="AG160:AG161"/>
    <mergeCell ref="AK64:AK65"/>
    <mergeCell ref="AK66:AK67"/>
    <mergeCell ref="AK68:AK69"/>
    <mergeCell ref="AK70:AK71"/>
    <mergeCell ref="AI72:AI73"/>
    <mergeCell ref="AJ72:AJ73"/>
    <mergeCell ref="AK72:AK73"/>
    <mergeCell ref="AI74:AI75"/>
    <mergeCell ref="AJ74:AJ75"/>
    <mergeCell ref="AK74:AK75"/>
    <mergeCell ref="AI76:AI77"/>
    <mergeCell ref="AJ76:AJ77"/>
    <mergeCell ref="AK76:AK77"/>
    <mergeCell ref="AI78:AI79"/>
    <mergeCell ref="AJ78:AJ79"/>
    <mergeCell ref="AK78:AK79"/>
    <mergeCell ref="AI80:AI81"/>
    <mergeCell ref="AJ80:AJ81"/>
    <mergeCell ref="AK80:AK81"/>
    <mergeCell ref="AI82:AI83"/>
    <mergeCell ref="AJ82:AJ83"/>
    <mergeCell ref="AK82:AK83"/>
    <mergeCell ref="AI84:AI85"/>
    <mergeCell ref="AJ84:AJ85"/>
    <mergeCell ref="AK84:AK85"/>
    <mergeCell ref="AI86:AI87"/>
    <mergeCell ref="AE162:AE163"/>
    <mergeCell ref="AF162:AF163"/>
    <mergeCell ref="AG162:AG163"/>
    <mergeCell ref="AE164:AE165"/>
    <mergeCell ref="AF164:AF165"/>
    <mergeCell ref="AG164:AG165"/>
    <mergeCell ref="AE166:AE167"/>
    <mergeCell ref="AF166:AF167"/>
    <mergeCell ref="AG166:AG167"/>
    <mergeCell ref="AI32:AI33"/>
    <mergeCell ref="AJ32:AJ33"/>
    <mergeCell ref="AE148:AE149"/>
    <mergeCell ref="AF148:AF149"/>
    <mergeCell ref="AG148:AG149"/>
    <mergeCell ref="AE150:AE151"/>
    <mergeCell ref="AF150:AF151"/>
    <mergeCell ref="AG150:AG151"/>
    <mergeCell ref="AE152:AE153"/>
    <mergeCell ref="AF152:AF153"/>
    <mergeCell ref="AG152:AG153"/>
    <mergeCell ref="AE154:AE155"/>
    <mergeCell ref="AF154:AF155"/>
    <mergeCell ref="AG154:AG155"/>
    <mergeCell ref="AE156:AE157"/>
    <mergeCell ref="AF156:AF157"/>
    <mergeCell ref="AG156:AG157"/>
    <mergeCell ref="AI66:AI67"/>
    <mergeCell ref="AJ66:AJ67"/>
    <mergeCell ref="AI68:AI69"/>
    <mergeCell ref="AJ68:AJ69"/>
    <mergeCell ref="AI70:AI71"/>
    <mergeCell ref="AJ70:AJ71"/>
    <mergeCell ref="AJ94:AJ95"/>
    <mergeCell ref="AK94:AK95"/>
    <mergeCell ref="AI96:AI97"/>
    <mergeCell ref="AJ96:AJ97"/>
    <mergeCell ref="AK96:AK97"/>
    <mergeCell ref="AI98:AI99"/>
    <mergeCell ref="AJ98:AJ99"/>
    <mergeCell ref="AK98:AK99"/>
    <mergeCell ref="AI100:AI101"/>
    <mergeCell ref="AJ100:AJ101"/>
    <mergeCell ref="AK100:AK101"/>
    <mergeCell ref="AI102:AI103"/>
    <mergeCell ref="AJ102:AJ103"/>
    <mergeCell ref="AK102:AK103"/>
    <mergeCell ref="AI104:AI105"/>
    <mergeCell ref="AJ104:AJ105"/>
    <mergeCell ref="AK104:AK105"/>
    <mergeCell ref="AI106:AI107"/>
    <mergeCell ref="AJ106:AJ107"/>
    <mergeCell ref="AK106:AK107"/>
    <mergeCell ref="AI108:AI109"/>
    <mergeCell ref="AJ108:AJ109"/>
    <mergeCell ref="AK108:AK109"/>
    <mergeCell ref="AI110:AI111"/>
    <mergeCell ref="AJ110:AJ111"/>
    <mergeCell ref="AK110:AK111"/>
    <mergeCell ref="AI112:AI113"/>
    <mergeCell ref="AJ112:AJ113"/>
    <mergeCell ref="AK112:AK113"/>
    <mergeCell ref="AI114:AI115"/>
    <mergeCell ref="AJ114:AJ115"/>
    <mergeCell ref="AK114:AK115"/>
    <mergeCell ref="AI116:AI117"/>
    <mergeCell ref="AJ116:AJ117"/>
    <mergeCell ref="AK116:AK117"/>
    <mergeCell ref="AI118:AI119"/>
    <mergeCell ref="AJ118:AJ119"/>
    <mergeCell ref="AK118:AK119"/>
    <mergeCell ref="AI120:AI121"/>
    <mergeCell ref="AJ120:AJ121"/>
    <mergeCell ref="AK120:AK121"/>
    <mergeCell ref="AI122:AI123"/>
    <mergeCell ref="AJ122:AJ123"/>
    <mergeCell ref="AK122:AK123"/>
    <mergeCell ref="AI124:AI125"/>
    <mergeCell ref="AJ124:AJ125"/>
    <mergeCell ref="AK124:AK125"/>
    <mergeCell ref="AI126:AI127"/>
    <mergeCell ref="AJ126:AJ127"/>
    <mergeCell ref="AK126:AK127"/>
    <mergeCell ref="AI128:AI129"/>
    <mergeCell ref="AJ128:AJ129"/>
    <mergeCell ref="AK128:AK129"/>
    <mergeCell ref="AI130:AI131"/>
    <mergeCell ref="AJ130:AJ131"/>
    <mergeCell ref="AK130:AK131"/>
    <mergeCell ref="AI132:AI133"/>
    <mergeCell ref="AJ132:AJ133"/>
    <mergeCell ref="AK132:AK133"/>
    <mergeCell ref="AJ152:AJ153"/>
    <mergeCell ref="AK152:AK153"/>
    <mergeCell ref="AI154:AI155"/>
    <mergeCell ref="AJ154:AJ155"/>
    <mergeCell ref="AK154:AK155"/>
    <mergeCell ref="AI156:AI157"/>
    <mergeCell ref="AJ156:AJ157"/>
    <mergeCell ref="AK156:AK157"/>
    <mergeCell ref="AI158:AI159"/>
    <mergeCell ref="AJ158:AJ159"/>
    <mergeCell ref="AK158:AK159"/>
    <mergeCell ref="AI160:AI161"/>
    <mergeCell ref="AJ160:AJ161"/>
    <mergeCell ref="AK160:AK161"/>
    <mergeCell ref="AJ138:AJ139"/>
    <mergeCell ref="AK138:AK139"/>
    <mergeCell ref="AI140:AI141"/>
    <mergeCell ref="AJ140:AJ141"/>
    <mergeCell ref="AK140:AK141"/>
    <mergeCell ref="AI142:AI143"/>
    <mergeCell ref="AJ142:AJ143"/>
    <mergeCell ref="AK142:AK143"/>
    <mergeCell ref="AI144:AI145"/>
    <mergeCell ref="AJ144:AJ145"/>
    <mergeCell ref="AK144:AK145"/>
    <mergeCell ref="AI146:AI147"/>
    <mergeCell ref="AJ146:AJ147"/>
    <mergeCell ref="AK146:AK147"/>
    <mergeCell ref="AI148:AI149"/>
    <mergeCell ref="AJ148:AJ149"/>
    <mergeCell ref="AK148:AK149"/>
    <mergeCell ref="AI162:AI163"/>
    <mergeCell ref="AJ162:AJ163"/>
    <mergeCell ref="AK162:AK163"/>
    <mergeCell ref="AI164:AI165"/>
    <mergeCell ref="AJ164:AJ165"/>
    <mergeCell ref="AK164:AK165"/>
    <mergeCell ref="AI166:AI167"/>
    <mergeCell ref="AJ166:AJ167"/>
    <mergeCell ref="AK166:AK167"/>
    <mergeCell ref="AM32:AM33"/>
    <mergeCell ref="AN32:AN33"/>
    <mergeCell ref="AM46:AM47"/>
    <mergeCell ref="AN46:AN47"/>
    <mergeCell ref="AM62:AM63"/>
    <mergeCell ref="AN62:AN63"/>
    <mergeCell ref="AM76:AM77"/>
    <mergeCell ref="AN76:AN77"/>
    <mergeCell ref="AM90:AM91"/>
    <mergeCell ref="AM104:AM105"/>
    <mergeCell ref="AN104:AN105"/>
    <mergeCell ref="AM118:AM119"/>
    <mergeCell ref="AN118:AN119"/>
    <mergeCell ref="AM132:AM133"/>
    <mergeCell ref="AN132:AN133"/>
    <mergeCell ref="AM146:AM147"/>
    <mergeCell ref="AN146:AN147"/>
    <mergeCell ref="AM160:AM161"/>
    <mergeCell ref="AN160:AN161"/>
    <mergeCell ref="AI150:AI151"/>
    <mergeCell ref="AJ150:AJ151"/>
    <mergeCell ref="AK150:AK151"/>
    <mergeCell ref="AI152:AI153"/>
    <mergeCell ref="AO32:AO33"/>
    <mergeCell ref="AM34:AM35"/>
    <mergeCell ref="AN34:AN35"/>
    <mergeCell ref="AO34:AO35"/>
    <mergeCell ref="AM36:AM37"/>
    <mergeCell ref="AN36:AN37"/>
    <mergeCell ref="AO36:AO37"/>
    <mergeCell ref="AM38:AM39"/>
    <mergeCell ref="AN38:AN39"/>
    <mergeCell ref="AO38:AO39"/>
    <mergeCell ref="AM40:AM41"/>
    <mergeCell ref="AN40:AN41"/>
    <mergeCell ref="AO40:AO41"/>
    <mergeCell ref="AM42:AM43"/>
    <mergeCell ref="AN42:AN43"/>
    <mergeCell ref="AO42:AO43"/>
    <mergeCell ref="AM44:AM45"/>
    <mergeCell ref="AN44:AN45"/>
    <mergeCell ref="AO44:AO45"/>
    <mergeCell ref="AM48:AM49"/>
    <mergeCell ref="AN48:AN49"/>
    <mergeCell ref="AO48:AO49"/>
    <mergeCell ref="AM50:AM51"/>
    <mergeCell ref="AN50:AN51"/>
    <mergeCell ref="AO50:AO51"/>
    <mergeCell ref="AM52:AM53"/>
    <mergeCell ref="AN52:AN53"/>
    <mergeCell ref="AO52:AO53"/>
    <mergeCell ref="AM56:AM57"/>
    <mergeCell ref="AN56:AN57"/>
    <mergeCell ref="AO56:AO57"/>
    <mergeCell ref="AM58:AM59"/>
    <mergeCell ref="AO58:AO59"/>
    <mergeCell ref="AM60:AM61"/>
    <mergeCell ref="AN60:AN61"/>
    <mergeCell ref="AO60:AO61"/>
    <mergeCell ref="AM64:AM65"/>
    <mergeCell ref="AN64:AN65"/>
    <mergeCell ref="AO64:AO65"/>
    <mergeCell ref="AM66:AM67"/>
    <mergeCell ref="AN66:AN67"/>
    <mergeCell ref="AO66:AO67"/>
    <mergeCell ref="AM68:AM69"/>
    <mergeCell ref="AN68:AN69"/>
    <mergeCell ref="AO68:AO69"/>
    <mergeCell ref="AM70:AM71"/>
    <mergeCell ref="AN70:AN71"/>
    <mergeCell ref="AO70:AO71"/>
    <mergeCell ref="AM72:AM73"/>
    <mergeCell ref="AN72:AN73"/>
    <mergeCell ref="AO72:AO73"/>
    <mergeCell ref="AM74:AM75"/>
    <mergeCell ref="AN74:AN75"/>
    <mergeCell ref="AO74:AO75"/>
    <mergeCell ref="AM78:AM79"/>
    <mergeCell ref="AN78:AN79"/>
    <mergeCell ref="AO78:AO79"/>
    <mergeCell ref="AM80:AM81"/>
    <mergeCell ref="AN80:AN81"/>
    <mergeCell ref="AO80:AO81"/>
    <mergeCell ref="AM82:AM83"/>
    <mergeCell ref="AN82:AN83"/>
    <mergeCell ref="AO82:AO83"/>
    <mergeCell ref="AM84:AM85"/>
    <mergeCell ref="AN84:AN85"/>
    <mergeCell ref="AO84:AO85"/>
    <mergeCell ref="AM86:AM87"/>
    <mergeCell ref="AO86:AO87"/>
    <mergeCell ref="AM88:AM89"/>
    <mergeCell ref="AN88:AN89"/>
    <mergeCell ref="AO88:AO89"/>
    <mergeCell ref="AM92:AM93"/>
    <mergeCell ref="AN92:AN93"/>
    <mergeCell ref="AO92:AO93"/>
    <mergeCell ref="AM94:AM95"/>
    <mergeCell ref="AN94:AN95"/>
    <mergeCell ref="AO94:AO95"/>
    <mergeCell ref="AM96:AM97"/>
    <mergeCell ref="AN96:AN97"/>
    <mergeCell ref="AO96:AO97"/>
    <mergeCell ref="AM98:AM99"/>
    <mergeCell ref="AN98:AN99"/>
    <mergeCell ref="AO98:AO99"/>
    <mergeCell ref="AM100:AM101"/>
    <mergeCell ref="AN100:AN101"/>
    <mergeCell ref="AO100:AO101"/>
    <mergeCell ref="AM102:AM103"/>
    <mergeCell ref="AN102:AN103"/>
    <mergeCell ref="AO102:AO103"/>
    <mergeCell ref="AM106:AM107"/>
    <mergeCell ref="AN106:AN107"/>
    <mergeCell ref="AO106:AO107"/>
    <mergeCell ref="AM108:AM109"/>
    <mergeCell ref="AN108:AN109"/>
    <mergeCell ref="AO108:AO109"/>
    <mergeCell ref="AM110:AM111"/>
    <mergeCell ref="AN110:AN111"/>
    <mergeCell ref="AO110:AO111"/>
    <mergeCell ref="AM112:AM113"/>
    <mergeCell ref="AN112:AN113"/>
    <mergeCell ref="AO112:AO113"/>
    <mergeCell ref="AM114:AM115"/>
    <mergeCell ref="AN114:AN115"/>
    <mergeCell ref="AO114:AO115"/>
    <mergeCell ref="AM116:AM117"/>
    <mergeCell ref="AN116:AN117"/>
    <mergeCell ref="AO116:AO117"/>
    <mergeCell ref="AM158:AM159"/>
    <mergeCell ref="AN158:AN159"/>
    <mergeCell ref="AO158:AO159"/>
    <mergeCell ref="AO132:AO133"/>
    <mergeCell ref="AM134:AM135"/>
    <mergeCell ref="AN134:AN135"/>
    <mergeCell ref="AO134:AO135"/>
    <mergeCell ref="AM136:AM137"/>
    <mergeCell ref="AN136:AN137"/>
    <mergeCell ref="AO136:AO137"/>
    <mergeCell ref="AM138:AM139"/>
    <mergeCell ref="AN138:AN139"/>
    <mergeCell ref="AO138:AO139"/>
    <mergeCell ref="AM140:AM141"/>
    <mergeCell ref="AN140:AN141"/>
    <mergeCell ref="AO140:AO141"/>
    <mergeCell ref="AM142:AM143"/>
    <mergeCell ref="AN142:AN143"/>
    <mergeCell ref="AO142:AO143"/>
    <mergeCell ref="AM144:AM145"/>
    <mergeCell ref="AN144:AN145"/>
    <mergeCell ref="AO144:AO145"/>
    <mergeCell ref="AM148:AM149"/>
    <mergeCell ref="AN148:AN149"/>
    <mergeCell ref="AO148:AO149"/>
    <mergeCell ref="AM150:AM151"/>
    <mergeCell ref="AN150:AN151"/>
    <mergeCell ref="AO150:AO151"/>
    <mergeCell ref="AM152:AM153"/>
    <mergeCell ref="AN152:AN153"/>
    <mergeCell ref="AO152:AO153"/>
    <mergeCell ref="AM154:AM155"/>
    <mergeCell ref="AN154:AN155"/>
    <mergeCell ref="AO154:AO155"/>
    <mergeCell ref="AM156:AM157"/>
    <mergeCell ref="AN156:AN157"/>
    <mergeCell ref="AO156:AO157"/>
    <mergeCell ref="AO118:AO119"/>
    <mergeCell ref="AM120:AM121"/>
    <mergeCell ref="AN120:AN121"/>
    <mergeCell ref="AO120:AO121"/>
    <mergeCell ref="AM122:AM123"/>
    <mergeCell ref="AN122:AN123"/>
    <mergeCell ref="AO122:AO123"/>
    <mergeCell ref="AM124:AM125"/>
    <mergeCell ref="AN124:AN125"/>
    <mergeCell ref="AO124:AO125"/>
    <mergeCell ref="AM126:AM127"/>
    <mergeCell ref="AN126:AN127"/>
    <mergeCell ref="AO126:AO127"/>
    <mergeCell ref="AM128:AM129"/>
    <mergeCell ref="AN128:AN129"/>
    <mergeCell ref="AO128:AO129"/>
    <mergeCell ref="AM130:AM131"/>
    <mergeCell ref="AN166:AN167"/>
    <mergeCell ref="AO166:AO167"/>
    <mergeCell ref="AQ32:AQ33"/>
    <mergeCell ref="AQ34:AQ35"/>
    <mergeCell ref="AQ36:AQ37"/>
    <mergeCell ref="AQ38:AQ39"/>
    <mergeCell ref="AQ40:AQ41"/>
    <mergeCell ref="AQ42:AQ43"/>
    <mergeCell ref="AQ44:AQ45"/>
    <mergeCell ref="AQ46:AQ47"/>
    <mergeCell ref="AQ48:AQ49"/>
    <mergeCell ref="AQ50:AQ51"/>
    <mergeCell ref="AQ52:AQ53"/>
    <mergeCell ref="AQ56:AQ57"/>
    <mergeCell ref="AQ58:AQ59"/>
    <mergeCell ref="AQ60:AQ61"/>
    <mergeCell ref="AQ62:AQ63"/>
    <mergeCell ref="AQ64:AQ65"/>
    <mergeCell ref="AQ66:AQ67"/>
    <mergeCell ref="AQ68:AQ69"/>
    <mergeCell ref="AQ70:AQ71"/>
    <mergeCell ref="AQ72:AQ73"/>
    <mergeCell ref="AQ74:AQ75"/>
    <mergeCell ref="AQ76:AQ77"/>
    <mergeCell ref="AO146:AO147"/>
    <mergeCell ref="AN130:AN131"/>
    <mergeCell ref="AO130:AO131"/>
    <mergeCell ref="AO104:AO105"/>
    <mergeCell ref="AO90:AO91"/>
    <mergeCell ref="AO76:AO77"/>
    <mergeCell ref="AO62:AO63"/>
    <mergeCell ref="AO46:AO47"/>
    <mergeCell ref="AD1:AO1"/>
    <mergeCell ref="AR32:AR33"/>
    <mergeCell ref="AR34:AR35"/>
    <mergeCell ref="AR36:AR37"/>
    <mergeCell ref="AR38:AR39"/>
    <mergeCell ref="AR40:AR41"/>
    <mergeCell ref="AR42:AR43"/>
    <mergeCell ref="AR44:AR45"/>
    <mergeCell ref="AR46:AR47"/>
    <mergeCell ref="AR48:AR49"/>
    <mergeCell ref="AR50:AR51"/>
    <mergeCell ref="AR52:AR53"/>
    <mergeCell ref="AR56:AR57"/>
    <mergeCell ref="AR58:AR59"/>
    <mergeCell ref="AR60:AR61"/>
    <mergeCell ref="AR62:AR63"/>
    <mergeCell ref="AQ144:AQ145"/>
    <mergeCell ref="AQ78:AQ79"/>
    <mergeCell ref="AQ80:AQ81"/>
    <mergeCell ref="AQ82:AQ83"/>
    <mergeCell ref="AQ84:AQ85"/>
    <mergeCell ref="AQ86:AQ87"/>
    <mergeCell ref="AQ88:AQ89"/>
    <mergeCell ref="AQ90:AQ91"/>
    <mergeCell ref="AQ92:AQ93"/>
    <mergeCell ref="AQ94:AQ95"/>
    <mergeCell ref="AQ96:AQ97"/>
    <mergeCell ref="AQ98:AQ99"/>
    <mergeCell ref="AQ100:AQ101"/>
    <mergeCell ref="AQ102:AQ103"/>
    <mergeCell ref="AQ104:AQ105"/>
    <mergeCell ref="AQ110:AQ111"/>
    <mergeCell ref="AR68:AR69"/>
    <mergeCell ref="AR70:AR71"/>
    <mergeCell ref="AR136:AR137"/>
    <mergeCell ref="AR72:AR73"/>
    <mergeCell ref="AQ112:AQ113"/>
    <mergeCell ref="AQ114:AQ115"/>
    <mergeCell ref="AQ116:AQ117"/>
    <mergeCell ref="AQ118:AQ119"/>
    <mergeCell ref="AQ120:AQ121"/>
    <mergeCell ref="AQ122:AQ123"/>
    <mergeCell ref="AQ124:AQ125"/>
    <mergeCell ref="AQ126:AQ127"/>
    <mergeCell ref="AQ128:AQ129"/>
    <mergeCell ref="AR102:AR103"/>
    <mergeCell ref="AR138:AR139"/>
    <mergeCell ref="AR140:AR141"/>
    <mergeCell ref="AR74:AR75"/>
    <mergeCell ref="AR76:AR77"/>
    <mergeCell ref="AR78:AR79"/>
    <mergeCell ref="AR80:AR81"/>
    <mergeCell ref="AR82:AR83"/>
    <mergeCell ref="AR84:AR85"/>
    <mergeCell ref="AR86:AR87"/>
    <mergeCell ref="AR88:AR89"/>
    <mergeCell ref="AR90:AR91"/>
    <mergeCell ref="AR92:AR93"/>
    <mergeCell ref="AR94:AR95"/>
    <mergeCell ref="AR96:AR97"/>
    <mergeCell ref="AR98:AR99"/>
    <mergeCell ref="AR100:AR101"/>
    <mergeCell ref="AQ106:AQ107"/>
    <mergeCell ref="AQ108:AQ109"/>
    <mergeCell ref="AD2:AG2"/>
    <mergeCell ref="AH2:AK2"/>
    <mergeCell ref="AL2:AO2"/>
    <mergeCell ref="AR142:AR143"/>
    <mergeCell ref="AR144:AR145"/>
    <mergeCell ref="AR146:AR147"/>
    <mergeCell ref="AR148:AR149"/>
    <mergeCell ref="AR150:AR151"/>
    <mergeCell ref="AR152:AR153"/>
    <mergeCell ref="AR154:AR155"/>
    <mergeCell ref="AR156:AR157"/>
    <mergeCell ref="AR158:AR159"/>
    <mergeCell ref="AR160:AR161"/>
    <mergeCell ref="AR162:AR163"/>
    <mergeCell ref="AR164:AR165"/>
    <mergeCell ref="AQ146:AQ147"/>
    <mergeCell ref="AQ148:AQ149"/>
    <mergeCell ref="AQ150:AQ151"/>
    <mergeCell ref="AQ152:AQ153"/>
    <mergeCell ref="AQ154:AQ155"/>
    <mergeCell ref="AQ156:AQ157"/>
    <mergeCell ref="AQ158:AQ159"/>
    <mergeCell ref="AQ160:AQ161"/>
    <mergeCell ref="AQ162:AQ163"/>
    <mergeCell ref="AQ164:AQ165"/>
    <mergeCell ref="AQ130:AQ131"/>
    <mergeCell ref="AQ132:AQ133"/>
    <mergeCell ref="AQ134:AQ135"/>
    <mergeCell ref="AQ136:AQ137"/>
    <mergeCell ref="AQ138:AQ139"/>
    <mergeCell ref="AR64:AR65"/>
    <mergeCell ref="AR66:AR67"/>
    <mergeCell ref="O104:O105"/>
    <mergeCell ref="O116:O117"/>
    <mergeCell ref="Q116:Q117"/>
    <mergeCell ref="R116:R117"/>
    <mergeCell ref="AR166:AR167"/>
    <mergeCell ref="AR104:AR105"/>
    <mergeCell ref="AR106:AR107"/>
    <mergeCell ref="AR108:AR109"/>
    <mergeCell ref="AR110:AR111"/>
    <mergeCell ref="AR112:AR113"/>
    <mergeCell ref="AR114:AR115"/>
    <mergeCell ref="AR116:AR117"/>
    <mergeCell ref="AR118:AR119"/>
    <mergeCell ref="AR120:AR121"/>
    <mergeCell ref="AR122:AR123"/>
    <mergeCell ref="AR124:AR125"/>
    <mergeCell ref="AR126:AR127"/>
    <mergeCell ref="AR128:AR129"/>
    <mergeCell ref="AR130:AR131"/>
    <mergeCell ref="AR132:AR133"/>
    <mergeCell ref="AR134:AR135"/>
    <mergeCell ref="AQ166:AQ167"/>
    <mergeCell ref="AQ140:AQ141"/>
    <mergeCell ref="AQ142:AQ143"/>
    <mergeCell ref="AO160:AO161"/>
    <mergeCell ref="AM162:AM163"/>
    <mergeCell ref="AN162:AN163"/>
    <mergeCell ref="AO162:AO163"/>
    <mergeCell ref="AM164:AM165"/>
    <mergeCell ref="AN164:AN165"/>
    <mergeCell ref="AO164:AO165"/>
    <mergeCell ref="AM166:AM167"/>
    <mergeCell ref="O142:O143"/>
    <mergeCell ref="Q142:Q143"/>
    <mergeCell ref="R142:R143"/>
    <mergeCell ref="O154:O155"/>
    <mergeCell ref="Q154:Q155"/>
    <mergeCell ref="R154:R155"/>
    <mergeCell ref="AF58:AF59"/>
    <mergeCell ref="AD58:AD59"/>
    <mergeCell ref="AH58:AH59"/>
    <mergeCell ref="AJ58:AJ59"/>
    <mergeCell ref="AL58:AL59"/>
    <mergeCell ref="AN58:AN59"/>
    <mergeCell ref="AF86:AF87"/>
    <mergeCell ref="AJ86:AJ87"/>
    <mergeCell ref="AN86:AN87"/>
    <mergeCell ref="AF90:AF91"/>
    <mergeCell ref="AJ90:AJ91"/>
    <mergeCell ref="AN90:AN91"/>
    <mergeCell ref="T58:T59"/>
    <mergeCell ref="T86:T87"/>
    <mergeCell ref="T90:T91"/>
    <mergeCell ref="U90:U91"/>
    <mergeCell ref="U86:U87"/>
    <mergeCell ref="U58:U59"/>
    <mergeCell ref="X58:X59"/>
    <mergeCell ref="O74:O75"/>
    <mergeCell ref="Q70:Q71"/>
    <mergeCell ref="R70:R71"/>
    <mergeCell ref="Q72:Q73"/>
    <mergeCell ref="R72:R73"/>
    <mergeCell ref="Q74:Q75"/>
    <mergeCell ref="R74:R75"/>
  </mergeCells>
  <phoneticPr fontId="0" type="noConversion"/>
  <conditionalFormatting sqref="E17">
    <cfRule type="expression" dxfId="476" priority="508">
      <formula>$E$6&gt;15000</formula>
    </cfRule>
  </conditionalFormatting>
  <conditionalFormatting sqref="E54">
    <cfRule type="expression" dxfId="475" priority="507">
      <formula>$E$7&gt;15000</formula>
    </cfRule>
  </conditionalFormatting>
  <conditionalFormatting sqref="E171">
    <cfRule type="cellIs" dxfId="474" priority="174" operator="greaterThan">
      <formula>$AW$171</formula>
    </cfRule>
  </conditionalFormatting>
  <conditionalFormatting sqref="I32">
    <cfRule type="expression" dxfId="470" priority="143">
      <formula>AND(AV33=TRUE,E32&gt;0,I32&gt;-12%)</formula>
    </cfRule>
  </conditionalFormatting>
  <conditionalFormatting sqref="I33">
    <cfRule type="expression" dxfId="469" priority="144">
      <formula>AND(AV33=TRUE,E33&gt;0,I33&gt;-12%)</formula>
    </cfRule>
  </conditionalFormatting>
  <conditionalFormatting sqref="I34">
    <cfRule type="expression" dxfId="468" priority="137">
      <formula>AND(AV35=TRUE,E34&gt;0,I34&gt;-12%)</formula>
    </cfRule>
  </conditionalFormatting>
  <conditionalFormatting sqref="I35">
    <cfRule type="expression" dxfId="467" priority="138">
      <formula>AND(AV35=TRUE,E35&gt;0,I35&gt;-12%)</formula>
    </cfRule>
  </conditionalFormatting>
  <conditionalFormatting sqref="I36">
    <cfRule type="expression" dxfId="466" priority="135">
      <formula>AND(AV37=TRUE,E36&gt;0,I36&gt;-12%)</formula>
    </cfRule>
  </conditionalFormatting>
  <conditionalFormatting sqref="I37">
    <cfRule type="expression" dxfId="465" priority="136">
      <formula>AND(AV37=TRUE,E37&gt;0,I37&gt;-12%)</formula>
    </cfRule>
  </conditionalFormatting>
  <conditionalFormatting sqref="I38">
    <cfRule type="expression" dxfId="464" priority="133">
      <formula>AND(AV39=TRUE,E38&gt;0,I38&gt;-12%)</formula>
    </cfRule>
  </conditionalFormatting>
  <conditionalFormatting sqref="I39">
    <cfRule type="expression" dxfId="463" priority="134">
      <formula>AND(AV39=TRUE,E39&gt;0,I39&gt;-12%)</formula>
    </cfRule>
  </conditionalFormatting>
  <conditionalFormatting sqref="I40">
    <cfRule type="expression" dxfId="462" priority="131">
      <formula>AND(AV41=TRUE,E40&gt;0,I40&gt;-12%)</formula>
    </cfRule>
  </conditionalFormatting>
  <conditionalFormatting sqref="I41">
    <cfRule type="expression" dxfId="461" priority="132">
      <formula>AND(AV41=TRUE,E41&gt;0,I41&gt;-12%)</formula>
    </cfRule>
  </conditionalFormatting>
  <conditionalFormatting sqref="I42">
    <cfRule type="expression" dxfId="460" priority="129">
      <formula>AND(AV43=TRUE,E42&gt;0,I42&gt;-12%)</formula>
    </cfRule>
  </conditionalFormatting>
  <conditionalFormatting sqref="I43">
    <cfRule type="expression" dxfId="459" priority="130">
      <formula>AND(AV43=TRUE,E43&gt;0,I43&gt;-12%)</formula>
    </cfRule>
  </conditionalFormatting>
  <conditionalFormatting sqref="I44">
    <cfRule type="expression" dxfId="458" priority="127">
      <formula>AND(AV45=TRUE,E44&gt;0,I44&gt;-12%)</formula>
    </cfRule>
  </conditionalFormatting>
  <conditionalFormatting sqref="I45">
    <cfRule type="expression" dxfId="457" priority="128">
      <formula>AND(AV45=TRUE,E45&gt;0,I45&gt;-12%)</formula>
    </cfRule>
  </conditionalFormatting>
  <conditionalFormatting sqref="I46">
    <cfRule type="expression" dxfId="456" priority="125">
      <formula>AND(AV47=TRUE,E46&gt;0,I46&gt;-12%)</formula>
    </cfRule>
  </conditionalFormatting>
  <conditionalFormatting sqref="I47">
    <cfRule type="expression" dxfId="455" priority="126">
      <formula>AND(AV47=TRUE,E47&gt;0,I47&gt;-12%)</formula>
    </cfRule>
  </conditionalFormatting>
  <conditionalFormatting sqref="I48">
    <cfRule type="expression" dxfId="454" priority="123">
      <formula>AND(AV49=TRUE,E48&gt;0,I48&gt;-12%)</formula>
    </cfRule>
  </conditionalFormatting>
  <conditionalFormatting sqref="I49">
    <cfRule type="expression" dxfId="453" priority="124">
      <formula>AND(AV49=TRUE,E49&gt;0,I49&gt;-12%)</formula>
    </cfRule>
  </conditionalFormatting>
  <conditionalFormatting sqref="I50">
    <cfRule type="expression" dxfId="452" priority="121">
      <formula>AND(AV51=TRUE,E50&gt;0,I50&gt;-12%)</formula>
    </cfRule>
  </conditionalFormatting>
  <conditionalFormatting sqref="I51">
    <cfRule type="expression" dxfId="451" priority="122">
      <formula>AND(AV51=TRUE,E51&gt;0,I51&gt;-12%)</formula>
    </cfRule>
  </conditionalFormatting>
  <conditionalFormatting sqref="I52">
    <cfRule type="expression" dxfId="450" priority="119">
      <formula>AND(AV53=TRUE,E52&gt;0,I52&gt;-12%)</formula>
    </cfRule>
  </conditionalFormatting>
  <conditionalFormatting sqref="I53">
    <cfRule type="expression" dxfId="449" priority="120">
      <formula>AND(AV53=TRUE,E53&gt;0,I53&gt;-12%)</formula>
    </cfRule>
  </conditionalFormatting>
  <conditionalFormatting sqref="I55">
    <cfRule type="expression" dxfId="448" priority="118">
      <formula>AND(AV55=TRUE,E55&gt;0,I55&gt;30%)</formula>
    </cfRule>
  </conditionalFormatting>
  <conditionalFormatting sqref="I56">
    <cfRule type="expression" dxfId="447" priority="114">
      <formula>AND(AV57=TRUE,E56&gt;0,I56&gt;-12%)</formula>
    </cfRule>
  </conditionalFormatting>
  <conditionalFormatting sqref="I57">
    <cfRule type="expression" dxfId="446" priority="115">
      <formula>AND(AV57=TRUE,E57&gt;0,I57&gt;-12%)</formula>
    </cfRule>
  </conditionalFormatting>
  <conditionalFormatting sqref="I58">
    <cfRule type="expression" dxfId="445" priority="112">
      <formula>AND(AV59=TRUE,E58&gt;0,I58&gt;-12%)</formula>
    </cfRule>
  </conditionalFormatting>
  <conditionalFormatting sqref="I59">
    <cfRule type="expression" dxfId="444" priority="113">
      <formula>AND(AV59=TRUE,E59&gt;0,I59&gt;-12%)</formula>
    </cfRule>
  </conditionalFormatting>
  <conditionalFormatting sqref="I60">
    <cfRule type="expression" dxfId="443" priority="110">
      <formula>AND(AV61=TRUE,E60&gt;0,I60&gt;-12%)</formula>
    </cfRule>
  </conditionalFormatting>
  <conditionalFormatting sqref="I61">
    <cfRule type="expression" dxfId="442" priority="111">
      <formula>AND(AV61=TRUE,E61&gt;0,I61&gt;-12%)</formula>
    </cfRule>
  </conditionalFormatting>
  <conditionalFormatting sqref="I62">
    <cfRule type="expression" dxfId="441" priority="108">
      <formula>AND(AV63=TRUE,E62&gt;0,I62&gt;-12%)</formula>
    </cfRule>
  </conditionalFormatting>
  <conditionalFormatting sqref="I63">
    <cfRule type="expression" dxfId="440" priority="109">
      <formula>AND(AV63=TRUE,E63&gt;0,I63&gt;-12%)</formula>
    </cfRule>
  </conditionalFormatting>
  <conditionalFormatting sqref="I64">
    <cfRule type="expression" dxfId="439" priority="106">
      <formula>AND(AV65=TRUE,E64&gt;0,I64&gt;-12%)</formula>
    </cfRule>
  </conditionalFormatting>
  <conditionalFormatting sqref="I65">
    <cfRule type="expression" dxfId="438" priority="107">
      <formula>AND(AV65=TRUE,E65&gt;0,I65&gt;-12%)</formula>
    </cfRule>
  </conditionalFormatting>
  <conditionalFormatting sqref="I66">
    <cfRule type="expression" dxfId="437" priority="104">
      <formula>AND(AV67=TRUE,E66&gt;0,I66&gt;-12%)</formula>
    </cfRule>
  </conditionalFormatting>
  <conditionalFormatting sqref="I67">
    <cfRule type="expression" dxfId="436" priority="105">
      <formula>AND(AV67=TRUE,E67&gt;0,I67&gt;-12%)</formula>
    </cfRule>
  </conditionalFormatting>
  <conditionalFormatting sqref="I68">
    <cfRule type="expression" dxfId="435" priority="102">
      <formula>AND(AV69=TRUE,E68&gt;0,I68&gt;-12%)</formula>
    </cfRule>
  </conditionalFormatting>
  <conditionalFormatting sqref="I69">
    <cfRule type="expression" dxfId="434" priority="103">
      <formula>AND(AV69=TRUE,E69&gt;0,I69&gt;-12%)</formula>
    </cfRule>
  </conditionalFormatting>
  <conditionalFormatting sqref="I70">
    <cfRule type="expression" dxfId="433" priority="100">
      <formula>AND(AV71=TRUE,E70&gt;0,I70&gt;-12%)</formula>
    </cfRule>
  </conditionalFormatting>
  <conditionalFormatting sqref="I71">
    <cfRule type="expression" dxfId="432" priority="101">
      <formula>AND(AV71=TRUE,E71&gt;0,I71&gt;-12%)</formula>
    </cfRule>
  </conditionalFormatting>
  <conditionalFormatting sqref="I72">
    <cfRule type="expression" dxfId="431" priority="98">
      <formula>AND(AV73=TRUE,E72&gt;0,I72&gt;-12%)</formula>
    </cfRule>
  </conditionalFormatting>
  <conditionalFormatting sqref="I73">
    <cfRule type="expression" dxfId="430" priority="99">
      <formula>AND(AV73=TRUE,E73&gt;0,I73&gt;-12%)</formula>
    </cfRule>
  </conditionalFormatting>
  <conditionalFormatting sqref="I74">
    <cfRule type="expression" dxfId="429" priority="96">
      <formula>AND(AV75=TRUE,E74&gt;0,I74&gt;-12%)</formula>
    </cfRule>
  </conditionalFormatting>
  <conditionalFormatting sqref="I75">
    <cfRule type="expression" dxfId="428" priority="97">
      <formula>AND(AV75=TRUE,E75&gt;0,I75&gt;-12%)</formula>
    </cfRule>
  </conditionalFormatting>
  <conditionalFormatting sqref="I76">
    <cfRule type="expression" dxfId="427" priority="94">
      <formula>AND(AV77=TRUE,E76&gt;0,I76&gt;-12%)</formula>
    </cfRule>
  </conditionalFormatting>
  <conditionalFormatting sqref="I77">
    <cfRule type="expression" dxfId="426" priority="95">
      <formula>AND(AV77=TRUE,E77&gt;0,I77&gt;-12%)</formula>
    </cfRule>
  </conditionalFormatting>
  <conditionalFormatting sqref="I78">
    <cfRule type="expression" dxfId="425" priority="92">
      <formula>AND(AV79=TRUE,E78&gt;0,I78&gt;-12%)</formula>
    </cfRule>
  </conditionalFormatting>
  <conditionalFormatting sqref="I79">
    <cfRule type="expression" dxfId="424" priority="93">
      <formula>AND(AV79=TRUE,E79&gt;0,I79&gt;-12%)</formula>
    </cfRule>
  </conditionalFormatting>
  <conditionalFormatting sqref="I80">
    <cfRule type="expression" dxfId="423" priority="90">
      <formula>AND(AV81=TRUE,E80&gt;0,I80&gt;-12%)</formula>
    </cfRule>
  </conditionalFormatting>
  <conditionalFormatting sqref="I81">
    <cfRule type="expression" dxfId="422" priority="91">
      <formula>AND(AV81=TRUE,E81&gt;0,I81&gt;-12%)</formula>
    </cfRule>
  </conditionalFormatting>
  <conditionalFormatting sqref="I82">
    <cfRule type="expression" dxfId="421" priority="88">
      <formula>AND(AV83=TRUE,E82&gt;0,I82&gt;-12%)</formula>
    </cfRule>
  </conditionalFormatting>
  <conditionalFormatting sqref="I83">
    <cfRule type="expression" dxfId="420" priority="89">
      <formula>AND(AV83=TRUE,E83&gt;0,I83&gt;-12%)</formula>
    </cfRule>
  </conditionalFormatting>
  <conditionalFormatting sqref="I84">
    <cfRule type="expression" dxfId="419" priority="86">
      <formula>AND(AV85=TRUE,E84&gt;0,I84&gt;-12%)</formula>
    </cfRule>
  </conditionalFormatting>
  <conditionalFormatting sqref="I85">
    <cfRule type="expression" dxfId="418" priority="87">
      <formula>AND(AV85=TRUE,E85&gt;0,I85&gt;-12%)</formula>
    </cfRule>
  </conditionalFormatting>
  <conditionalFormatting sqref="I86">
    <cfRule type="expression" dxfId="417" priority="84">
      <formula>AND(AV87=TRUE,E86&gt;0,I86&gt;-12%)</formula>
    </cfRule>
  </conditionalFormatting>
  <conditionalFormatting sqref="I87">
    <cfRule type="expression" dxfId="416" priority="85">
      <formula>AND(AV87=TRUE,E87&gt;0,I87&gt;-12%)</formula>
    </cfRule>
  </conditionalFormatting>
  <conditionalFormatting sqref="I88">
    <cfRule type="expression" dxfId="415" priority="82">
      <formula>AND(AV89=TRUE,E88&gt;0,I88&gt;-12%)</formula>
    </cfRule>
  </conditionalFormatting>
  <conditionalFormatting sqref="I89">
    <cfRule type="expression" dxfId="414" priority="83">
      <formula>AND(AV89=TRUE,E89&gt;0,I89&gt;-12%)</formula>
    </cfRule>
  </conditionalFormatting>
  <conditionalFormatting sqref="I90">
    <cfRule type="expression" dxfId="413" priority="80">
      <formula>AND(AV91=TRUE,E90&gt;0,I90&gt;-12%)</formula>
    </cfRule>
  </conditionalFormatting>
  <conditionalFormatting sqref="I91">
    <cfRule type="expression" dxfId="412" priority="81">
      <formula>AND(AV91=TRUE,E91&gt;0,I91&gt;-12%)</formula>
    </cfRule>
  </conditionalFormatting>
  <conditionalFormatting sqref="I92">
    <cfRule type="expression" dxfId="411" priority="78">
      <formula>AND(AV93=TRUE,E92&gt;0,I92&gt;-12%)</formula>
    </cfRule>
  </conditionalFormatting>
  <conditionalFormatting sqref="I93">
    <cfRule type="expression" dxfId="410" priority="79">
      <formula>AND(AV93=TRUE,E93&gt;0,I93&gt;-12%)</formula>
    </cfRule>
  </conditionalFormatting>
  <conditionalFormatting sqref="I94">
    <cfRule type="expression" dxfId="409" priority="76">
      <formula>AND(AV95=TRUE,E94&gt;0,I94&gt;-12%)</formula>
    </cfRule>
  </conditionalFormatting>
  <conditionalFormatting sqref="I95">
    <cfRule type="expression" dxfId="408" priority="77">
      <formula>AND(AV95=TRUE,E95&gt;0,I95&gt;-12%)</formula>
    </cfRule>
  </conditionalFormatting>
  <conditionalFormatting sqref="I96">
    <cfRule type="expression" dxfId="407" priority="74">
      <formula>AND(AV97=TRUE,E96&gt;0,I96&gt;-12%)</formula>
    </cfRule>
  </conditionalFormatting>
  <conditionalFormatting sqref="I97">
    <cfRule type="expression" dxfId="406" priority="75">
      <formula>AND(AV97=TRUE,E97&gt;0,I97&gt;-12%)</formula>
    </cfRule>
  </conditionalFormatting>
  <conditionalFormatting sqref="I98">
    <cfRule type="expression" dxfId="405" priority="72">
      <formula>AND(AV99=TRUE,E98&gt;0,I98&gt;-12%)</formula>
    </cfRule>
  </conditionalFormatting>
  <conditionalFormatting sqref="I99">
    <cfRule type="expression" dxfId="404" priority="73">
      <formula>AND(AV99=TRUE,E99&gt;0,I99&gt;-12%)</formula>
    </cfRule>
  </conditionalFormatting>
  <conditionalFormatting sqref="I100">
    <cfRule type="expression" dxfId="403" priority="70">
      <formula>AND(AV101=TRUE,E100&gt;0,I100&gt;-12%)</formula>
    </cfRule>
  </conditionalFormatting>
  <conditionalFormatting sqref="I101">
    <cfRule type="expression" dxfId="402" priority="71">
      <formula>AND(AV101=TRUE,E101&gt;0,I101&gt;-12%)</formula>
    </cfRule>
  </conditionalFormatting>
  <conditionalFormatting sqref="I102">
    <cfRule type="expression" dxfId="401" priority="68">
      <formula>AND(AV103=TRUE,E102&gt;0,I102&gt;-12%)</formula>
    </cfRule>
  </conditionalFormatting>
  <conditionalFormatting sqref="I103">
    <cfRule type="expression" dxfId="400" priority="69">
      <formula>AND(AV103=TRUE,E103&gt;0,I103&gt;-12%)</formula>
    </cfRule>
  </conditionalFormatting>
  <conditionalFormatting sqref="I104">
    <cfRule type="expression" dxfId="399" priority="66">
      <formula>AND(AV105=TRUE,E104&gt;0,I104&gt;-12%)</formula>
    </cfRule>
  </conditionalFormatting>
  <conditionalFormatting sqref="I105">
    <cfRule type="expression" dxfId="398" priority="67">
      <formula>AND(AV105=TRUE,E105&gt;0,I105&gt;-12%)</formula>
    </cfRule>
  </conditionalFormatting>
  <conditionalFormatting sqref="I106">
    <cfRule type="expression" dxfId="397" priority="64">
      <formula>AND(AV107=TRUE,E106&gt;0,I106&gt;-12%)</formula>
    </cfRule>
  </conditionalFormatting>
  <conditionalFormatting sqref="I107">
    <cfRule type="expression" dxfId="396" priority="65">
      <formula>AND(AV107=TRUE,E107&gt;0,I107&gt;-12%)</formula>
    </cfRule>
  </conditionalFormatting>
  <conditionalFormatting sqref="I108">
    <cfRule type="expression" dxfId="395" priority="62">
      <formula>AND(AV109=TRUE,E108&gt;0,I108&gt;-12%)</formula>
    </cfRule>
  </conditionalFormatting>
  <conditionalFormatting sqref="I109">
    <cfRule type="expression" dxfId="394" priority="63">
      <formula>AND(AV109=TRUE,E109&gt;0,I109&gt;-12%)</formula>
    </cfRule>
  </conditionalFormatting>
  <conditionalFormatting sqref="I110">
    <cfRule type="expression" dxfId="393" priority="60">
      <formula>AND(AV111=TRUE,E110&gt;0,I110&gt;-12%)</formula>
    </cfRule>
  </conditionalFormatting>
  <conditionalFormatting sqref="I111">
    <cfRule type="expression" dxfId="392" priority="61">
      <formula>AND(AV111=TRUE,E111&gt;0,I111&gt;-12%)</formula>
    </cfRule>
  </conditionalFormatting>
  <conditionalFormatting sqref="I112">
    <cfRule type="expression" dxfId="391" priority="58">
      <formula>AND(AV113=TRUE,E112&gt;0,I112&gt;-12%)</formula>
    </cfRule>
  </conditionalFormatting>
  <conditionalFormatting sqref="I113">
    <cfRule type="expression" dxfId="390" priority="59">
      <formula>AND(AV113=TRUE,E113&gt;0,I113&gt;-12%)</formula>
    </cfRule>
  </conditionalFormatting>
  <conditionalFormatting sqref="I114">
    <cfRule type="expression" dxfId="389" priority="56">
      <formula>AND(AV115=TRUE,E114&gt;0,I114&gt;-12%)</formula>
    </cfRule>
  </conditionalFormatting>
  <conditionalFormatting sqref="I115">
    <cfRule type="expression" dxfId="388" priority="57">
      <formula>AND(AV115=TRUE,E115&gt;0,I115&gt;-12%)</formula>
    </cfRule>
  </conditionalFormatting>
  <conditionalFormatting sqref="I116">
    <cfRule type="expression" dxfId="387" priority="54">
      <formula>AND(AV117=TRUE,E116&gt;0,I116&gt;-12%)</formula>
    </cfRule>
  </conditionalFormatting>
  <conditionalFormatting sqref="I117">
    <cfRule type="expression" dxfId="386" priority="55">
      <formula>AND(AV117=TRUE,E117&gt;0,I117&gt;-12%)</formula>
    </cfRule>
  </conditionalFormatting>
  <conditionalFormatting sqref="I118">
    <cfRule type="expression" dxfId="385" priority="52">
      <formula>AND(AV119=TRUE,E118&gt;0,I118&gt;-12%)</formula>
    </cfRule>
  </conditionalFormatting>
  <conditionalFormatting sqref="I119">
    <cfRule type="expression" dxfId="384" priority="53">
      <formula>AND(AV119=TRUE,E119&gt;0,I119&gt;-12%)</formula>
    </cfRule>
  </conditionalFormatting>
  <conditionalFormatting sqref="I120">
    <cfRule type="expression" dxfId="383" priority="50">
      <formula>AND(AV121=TRUE,E120&gt;0,I120&gt;-12%)</formula>
    </cfRule>
  </conditionalFormatting>
  <conditionalFormatting sqref="I121">
    <cfRule type="expression" dxfId="382" priority="51">
      <formula>AND(AV121=TRUE,E121&gt;0,I121&gt;-12%)</formula>
    </cfRule>
  </conditionalFormatting>
  <conditionalFormatting sqref="I122">
    <cfRule type="expression" dxfId="381" priority="48">
      <formula>AND(AV123=TRUE,E122&gt;0,I122&gt;-12%)</formula>
    </cfRule>
  </conditionalFormatting>
  <conditionalFormatting sqref="I123">
    <cfRule type="expression" dxfId="380" priority="49">
      <formula>AND(AV123=TRUE,E123&gt;0,I123&gt;-12%)</formula>
    </cfRule>
  </conditionalFormatting>
  <conditionalFormatting sqref="I124">
    <cfRule type="expression" dxfId="379" priority="46">
      <formula>AND(AV125=TRUE,E124&gt;0,I124&gt;-12%)</formula>
    </cfRule>
  </conditionalFormatting>
  <conditionalFormatting sqref="I125">
    <cfRule type="expression" dxfId="378" priority="47">
      <formula>AND(AV125=TRUE,E125&gt;0,I125&gt;-12%)</formula>
    </cfRule>
  </conditionalFormatting>
  <conditionalFormatting sqref="I126">
    <cfRule type="expression" dxfId="377" priority="44">
      <formula>AND(AV127=TRUE,E126&gt;0,I126&gt;-12%)</formula>
    </cfRule>
  </conditionalFormatting>
  <conditionalFormatting sqref="I127">
    <cfRule type="expression" dxfId="376" priority="45">
      <formula>AND(AV127=TRUE,E127&gt;0,I127&gt;-12%)</formula>
    </cfRule>
  </conditionalFormatting>
  <conditionalFormatting sqref="I128">
    <cfRule type="expression" dxfId="375" priority="42">
      <formula>AND(AV129=TRUE,E128&gt;0,I128&gt;-12%)</formula>
    </cfRule>
  </conditionalFormatting>
  <conditionalFormatting sqref="I129">
    <cfRule type="expression" dxfId="374" priority="43">
      <formula>AND(AV129=TRUE,E129&gt;0,I129&gt;-12%)</formula>
    </cfRule>
  </conditionalFormatting>
  <conditionalFormatting sqref="I130">
    <cfRule type="expression" dxfId="373" priority="40">
      <formula>AND(AV131=TRUE,E130&gt;0,I130&gt;-12%)</formula>
    </cfRule>
  </conditionalFormatting>
  <conditionalFormatting sqref="I131">
    <cfRule type="expression" dxfId="372" priority="41">
      <formula>AND(AV131=TRUE,E131&gt;0,I131&gt;-12%)</formula>
    </cfRule>
  </conditionalFormatting>
  <conditionalFormatting sqref="I132">
    <cfRule type="expression" dxfId="371" priority="38">
      <formula>AND(AV133=TRUE,E132&gt;0,I132&gt;-12%)</formula>
    </cfRule>
  </conditionalFormatting>
  <conditionalFormatting sqref="I133">
    <cfRule type="expression" dxfId="370" priority="39">
      <formula>AND(AV133=TRUE,E133&gt;0,I133&gt;-12%)</formula>
    </cfRule>
  </conditionalFormatting>
  <conditionalFormatting sqref="I134">
    <cfRule type="expression" dxfId="369" priority="36">
      <formula>AND(AV135=TRUE,E134&gt;0,I134&gt;-12%)</formula>
    </cfRule>
  </conditionalFormatting>
  <conditionalFormatting sqref="I135">
    <cfRule type="expression" dxfId="368" priority="37">
      <formula>AND(AV135=TRUE,E135&gt;0,I135&gt;-12%)</formula>
    </cfRule>
  </conditionalFormatting>
  <conditionalFormatting sqref="I136">
    <cfRule type="expression" dxfId="367" priority="34">
      <formula>AND(AV137=TRUE,E136&gt;0,I136&gt;-12%)</formula>
    </cfRule>
  </conditionalFormatting>
  <conditionalFormatting sqref="I137">
    <cfRule type="expression" dxfId="366" priority="35">
      <formula>AND(AV137=TRUE,E137&gt;0,I137&gt;-12%)</formula>
    </cfRule>
  </conditionalFormatting>
  <conditionalFormatting sqref="I138">
    <cfRule type="expression" dxfId="365" priority="32">
      <formula>AND(AV139=TRUE,E138&gt;0,I138&gt;-12%)</formula>
    </cfRule>
  </conditionalFormatting>
  <conditionalFormatting sqref="I139">
    <cfRule type="expression" dxfId="364" priority="33">
      <formula>AND(AV139=TRUE,E139&gt;0,I139&gt;-12%)</formula>
    </cfRule>
  </conditionalFormatting>
  <conditionalFormatting sqref="I140">
    <cfRule type="expression" dxfId="363" priority="30">
      <formula>AND(AV141=TRUE,E140&gt;0,I140&gt;-12%)</formula>
    </cfRule>
  </conditionalFormatting>
  <conditionalFormatting sqref="I141">
    <cfRule type="expression" dxfId="362" priority="31">
      <formula>AND(AV141=TRUE,E141&gt;0,I141&gt;-12%)</formula>
    </cfRule>
  </conditionalFormatting>
  <conditionalFormatting sqref="I142">
    <cfRule type="expression" dxfId="361" priority="28">
      <formula>AND(AV143=TRUE,E142&gt;0,I142&gt;-12%)</formula>
    </cfRule>
  </conditionalFormatting>
  <conditionalFormatting sqref="I143">
    <cfRule type="expression" dxfId="360" priority="29">
      <formula>AND(AV143=TRUE,E143&gt;0,I143&gt;-12%)</formula>
    </cfRule>
  </conditionalFormatting>
  <conditionalFormatting sqref="I144">
    <cfRule type="expression" dxfId="359" priority="26">
      <formula>AND(AV145=TRUE,E144&gt;0,I144&gt;-12%)</formula>
    </cfRule>
  </conditionalFormatting>
  <conditionalFormatting sqref="I145">
    <cfRule type="expression" dxfId="358" priority="27">
      <formula>AND(AV145=TRUE,E145&gt;0,I145&gt;-12%)</formula>
    </cfRule>
  </conditionalFormatting>
  <conditionalFormatting sqref="I146">
    <cfRule type="expression" dxfId="357" priority="24">
      <formula>AND(AV147=TRUE,E146&gt;0,I146&gt;-12%)</formula>
    </cfRule>
  </conditionalFormatting>
  <conditionalFormatting sqref="I147">
    <cfRule type="expression" dxfId="356" priority="25">
      <formula>AND(AV147=TRUE,E147&gt;0,I147&gt;-12%)</formula>
    </cfRule>
  </conditionalFormatting>
  <conditionalFormatting sqref="I148">
    <cfRule type="expression" dxfId="355" priority="22">
      <formula>AND(AV149=TRUE,E148&gt;0,I148&gt;-12%)</formula>
    </cfRule>
  </conditionalFormatting>
  <conditionalFormatting sqref="I149">
    <cfRule type="expression" dxfId="354" priority="23">
      <formula>AND(AV149=TRUE,E149&gt;0,I149&gt;-12%)</formula>
    </cfRule>
  </conditionalFormatting>
  <conditionalFormatting sqref="I150">
    <cfRule type="expression" dxfId="353" priority="20">
      <formula>AND(AV151=TRUE,E150&gt;0,I150&gt;-12%)</formula>
    </cfRule>
  </conditionalFormatting>
  <conditionalFormatting sqref="I151">
    <cfRule type="expression" dxfId="352" priority="21">
      <formula>AND(AV151=TRUE,E151&gt;0,I151&gt;-12%)</formula>
    </cfRule>
  </conditionalFormatting>
  <conditionalFormatting sqref="I152">
    <cfRule type="expression" dxfId="351" priority="18">
      <formula>AND(AV153=TRUE,E152&gt;0,I152&gt;-12%)</formula>
    </cfRule>
  </conditionalFormatting>
  <conditionalFormatting sqref="I153">
    <cfRule type="expression" dxfId="350" priority="19">
      <formula>AND(AV153=TRUE,E153&gt;0,I153&gt;-12%)</formula>
    </cfRule>
  </conditionalFormatting>
  <conditionalFormatting sqref="I154">
    <cfRule type="expression" dxfId="349" priority="16">
      <formula>AND(AV155=TRUE,E154&gt;0,I154&gt;-12%)</formula>
    </cfRule>
  </conditionalFormatting>
  <conditionalFormatting sqref="I155">
    <cfRule type="expression" dxfId="348" priority="17">
      <formula>AND(AV155=TRUE,E155&gt;0,I155&gt;-12%)</formula>
    </cfRule>
  </conditionalFormatting>
  <conditionalFormatting sqref="I156">
    <cfRule type="expression" dxfId="347" priority="14">
      <formula>AND(AV157=TRUE,E156&gt;0,I156&gt;-12%)</formula>
    </cfRule>
  </conditionalFormatting>
  <conditionalFormatting sqref="I157">
    <cfRule type="expression" dxfId="346" priority="15">
      <formula>AND(AV157=TRUE,E157&gt;0,I157&gt;-12%)</formula>
    </cfRule>
  </conditionalFormatting>
  <conditionalFormatting sqref="I158">
    <cfRule type="expression" dxfId="345" priority="12">
      <formula>AND(AV159=TRUE,E158&gt;0,I158&gt;-12%)</formula>
    </cfRule>
  </conditionalFormatting>
  <conditionalFormatting sqref="I159">
    <cfRule type="expression" dxfId="344" priority="13">
      <formula>AND(AV159=TRUE,E159&gt;0,I159&gt;-12%)</formula>
    </cfRule>
  </conditionalFormatting>
  <conditionalFormatting sqref="I160">
    <cfRule type="expression" dxfId="343" priority="10">
      <formula>AND(AV161=TRUE,E160&gt;0,I160&gt;-12%)</formula>
    </cfRule>
  </conditionalFormatting>
  <conditionalFormatting sqref="I161">
    <cfRule type="expression" dxfId="342" priority="11">
      <formula>AND(AV161=TRUE,E161&gt;0,I161&gt;-12%)</formula>
    </cfRule>
  </conditionalFormatting>
  <conditionalFormatting sqref="I162">
    <cfRule type="expression" dxfId="341" priority="8">
      <formula>AND(AV163=TRUE,E162&gt;0,I162&gt;-12%)</formula>
    </cfRule>
  </conditionalFormatting>
  <conditionalFormatting sqref="I163">
    <cfRule type="expression" dxfId="340" priority="9">
      <formula>AND(AV163=TRUE,E163&gt;0,I163&gt;-12%)</formula>
    </cfRule>
  </conditionalFormatting>
  <conditionalFormatting sqref="I164">
    <cfRule type="expression" dxfId="339" priority="6">
      <formula>AND(AV165=TRUE,E164&gt;0,I164&gt;-12%)</formula>
    </cfRule>
  </conditionalFormatting>
  <conditionalFormatting sqref="I165">
    <cfRule type="expression" dxfId="338" priority="7">
      <formula>AND(AV165=TRUE,E165&gt;0,I165&gt;-12%)</formula>
    </cfRule>
  </conditionalFormatting>
  <conditionalFormatting sqref="I166">
    <cfRule type="expression" dxfId="337" priority="4">
      <formula>AND(AV167=TRUE,E166&gt;0,I166&gt;-12%)</formula>
    </cfRule>
  </conditionalFormatting>
  <conditionalFormatting sqref="I167">
    <cfRule type="expression" dxfId="336" priority="5">
      <formula>AND(AV167=TRUE,E167&gt;0,I167&gt;-12%)</formula>
    </cfRule>
  </conditionalFormatting>
  <conditionalFormatting sqref="I173:I241">
    <cfRule type="expression" dxfId="335" priority="1">
      <formula>"wenn($I$172=""#DIV/0!"")"</formula>
    </cfRule>
  </conditionalFormatting>
  <conditionalFormatting sqref="I264">
    <cfRule type="iconSet" priority="675">
      <iconSet iconSet="3Symbols">
        <cfvo type="percent" val="0"/>
        <cfvo type="percent" val="33"/>
        <cfvo type="percent" val="67"/>
      </iconSet>
    </cfRule>
  </conditionalFormatting>
  <conditionalFormatting sqref="I265">
    <cfRule type="iconSet" priority="673">
      <iconSet iconSet="3Symbols">
        <cfvo type="percent" val="0"/>
        <cfvo type="percent" val="33"/>
        <cfvo type="percent" val="67"/>
      </iconSet>
    </cfRule>
  </conditionalFormatting>
  <conditionalFormatting sqref="I266">
    <cfRule type="iconSet" priority="671">
      <iconSet iconSet="3Symbols">
        <cfvo type="percent" val="0"/>
        <cfvo type="percent" val="33"/>
        <cfvo type="percent" val="67"/>
      </iconSet>
    </cfRule>
  </conditionalFormatting>
  <conditionalFormatting sqref="I267">
    <cfRule type="iconSet" priority="669">
      <iconSet iconSet="3Symbols">
        <cfvo type="percent" val="0"/>
        <cfvo type="percent" val="33"/>
        <cfvo type="percent" val="67"/>
      </iconSet>
    </cfRule>
  </conditionalFormatting>
  <conditionalFormatting sqref="I268">
    <cfRule type="iconSet" priority="667">
      <iconSet iconSet="3Symbols">
        <cfvo type="percent" val="0"/>
        <cfvo type="percent" val="33"/>
        <cfvo type="percent" val="67"/>
      </iconSet>
    </cfRule>
  </conditionalFormatting>
  <conditionalFormatting sqref="I269">
    <cfRule type="iconSet" priority="665">
      <iconSet iconSet="3Symbols">
        <cfvo type="percent" val="0"/>
        <cfvo type="percent" val="33"/>
        <cfvo type="percent" val="67"/>
      </iconSet>
    </cfRule>
  </conditionalFormatting>
  <conditionalFormatting sqref="I270:I271">
    <cfRule type="iconSet" priority="663">
      <iconSet iconSet="3Symbols">
        <cfvo type="percent" val="0"/>
        <cfvo type="percent" val="33"/>
        <cfvo type="percent" val="67"/>
      </iconSet>
    </cfRule>
  </conditionalFormatting>
  <conditionalFormatting sqref="I273">
    <cfRule type="iconSet" priority="661">
      <iconSet iconSet="3Symbols">
        <cfvo type="percent" val="0"/>
        <cfvo type="percent" val="33"/>
        <cfvo type="percent" val="67"/>
      </iconSet>
    </cfRule>
  </conditionalFormatting>
  <conditionalFormatting sqref="I274">
    <cfRule type="iconSet" priority="659">
      <iconSet iconSet="3Symbols">
        <cfvo type="percent" val="0"/>
        <cfvo type="percent" val="33"/>
        <cfvo type="percent" val="67"/>
      </iconSet>
    </cfRule>
  </conditionalFormatting>
  <conditionalFormatting sqref="I275">
    <cfRule type="iconSet" priority="657">
      <iconSet iconSet="3Symbols">
        <cfvo type="percent" val="0"/>
        <cfvo type="percent" val="33"/>
        <cfvo type="percent" val="67"/>
      </iconSet>
    </cfRule>
  </conditionalFormatting>
  <conditionalFormatting sqref="I276">
    <cfRule type="iconSet" priority="655">
      <iconSet iconSet="3Symbols">
        <cfvo type="percent" val="0"/>
        <cfvo type="percent" val="33"/>
        <cfvo type="percent" val="67"/>
      </iconSet>
    </cfRule>
  </conditionalFormatting>
  <conditionalFormatting sqref="I277">
    <cfRule type="iconSet" priority="653">
      <iconSet iconSet="3Symbols">
        <cfvo type="percent" val="0"/>
        <cfvo type="percent" val="33"/>
        <cfvo type="percent" val="67"/>
      </iconSet>
    </cfRule>
  </conditionalFormatting>
  <conditionalFormatting sqref="I278">
    <cfRule type="iconSet" priority="651">
      <iconSet iconSet="3Symbols">
        <cfvo type="percent" val="0"/>
        <cfvo type="percent" val="33"/>
        <cfvo type="percent" val="67"/>
      </iconSet>
    </cfRule>
  </conditionalFormatting>
  <conditionalFormatting sqref="I279">
    <cfRule type="iconSet" priority="649">
      <iconSet iconSet="3Symbols">
        <cfvo type="percent" val="0"/>
        <cfvo type="percent" val="33"/>
        <cfvo type="percent" val="67"/>
      </iconSet>
    </cfRule>
  </conditionalFormatting>
  <conditionalFormatting sqref="I280">
    <cfRule type="iconSet" priority="647">
      <iconSet iconSet="3Symbols">
        <cfvo type="percent" val="0"/>
        <cfvo type="percent" val="33"/>
        <cfvo type="percent" val="67"/>
      </iconSet>
    </cfRule>
  </conditionalFormatting>
  <conditionalFormatting sqref="I281">
    <cfRule type="iconSet" priority="645">
      <iconSet iconSet="3Symbols">
        <cfvo type="percent" val="0"/>
        <cfvo type="percent" val="33"/>
        <cfvo type="percent" val="67"/>
      </iconSet>
    </cfRule>
  </conditionalFormatting>
  <conditionalFormatting sqref="I282">
    <cfRule type="iconSet" priority="643">
      <iconSet iconSet="3Symbols">
        <cfvo type="percent" val="0"/>
        <cfvo type="percent" val="33"/>
        <cfvo type="percent" val="67"/>
      </iconSet>
    </cfRule>
  </conditionalFormatting>
  <conditionalFormatting sqref="I283:I323">
    <cfRule type="iconSet" priority="633">
      <iconSet iconSet="3Symbols">
        <cfvo type="percent" val="0"/>
        <cfvo type="percent" val="33"/>
        <cfvo type="percent" val="67"/>
      </iconSet>
    </cfRule>
  </conditionalFormatting>
  <conditionalFormatting sqref="M34 M38 M46 M48 M50 J53:M53 M54 M55:N167">
    <cfRule type="expression" dxfId="334" priority="1217">
      <formula>IF(($L$53+$M$53)&gt;$F$52,)</formula>
    </cfRule>
  </conditionalFormatting>
  <conditionalFormatting sqref="M36">
    <cfRule type="expression" dxfId="333" priority="506">
      <formula>IF(($L$53+$M$53)&gt;$F$52,)</formula>
    </cfRule>
  </conditionalFormatting>
  <conditionalFormatting sqref="M40">
    <cfRule type="expression" dxfId="332" priority="526">
      <formula>IF(($L$53+$M$53)&gt;$F$52,)</formula>
    </cfRule>
  </conditionalFormatting>
  <conditionalFormatting sqref="M42">
    <cfRule type="expression" dxfId="331" priority="525">
      <formula>IF(($L$53+$M$53)&gt;$F$52,)</formula>
    </cfRule>
  </conditionalFormatting>
  <conditionalFormatting sqref="M44">
    <cfRule type="expression" dxfId="330" priority="524">
      <formula>IF(($L$53+$M$53)&gt;$F$52,)</formula>
    </cfRule>
  </conditionalFormatting>
  <conditionalFormatting sqref="M52">
    <cfRule type="expression" dxfId="329" priority="555">
      <formula>IF(($L$53+$M$53)&gt;$F$52,)</formula>
    </cfRule>
  </conditionalFormatting>
  <conditionalFormatting sqref="M17:N17">
    <cfRule type="expression" dxfId="328" priority="560">
      <formula>IF(($L$53+$M$53)&gt;$F$52,)</formula>
    </cfRule>
  </conditionalFormatting>
  <conditionalFormatting sqref="M22:N23">
    <cfRule type="expression" dxfId="327" priority="558">
      <formula>IF(($L$53+$M$53)&gt;$F$52,)</formula>
    </cfRule>
  </conditionalFormatting>
  <conditionalFormatting sqref="M32:N32">
    <cfRule type="expression" dxfId="326" priority="557">
      <formula>IF(($L$53+$M$53)&gt;$F$52,)</formula>
    </cfRule>
  </conditionalFormatting>
  <conditionalFormatting sqref="M171:N241">
    <cfRule type="expression" dxfId="325" priority="636">
      <formula>IF(($L$53+$M$53)&gt;$F$52,)</formula>
    </cfRule>
  </conditionalFormatting>
  <conditionalFormatting sqref="M247:N248">
    <cfRule type="expression" dxfId="324" priority="637">
      <formula>IF(($L$53+$M$53)&gt;$F$52,)</formula>
    </cfRule>
  </conditionalFormatting>
  <conditionalFormatting sqref="M264:N270">
    <cfRule type="expression" dxfId="323" priority="563">
      <formula>IF(($L$53+$M$53)&gt;$F$52,)</formula>
    </cfRule>
  </conditionalFormatting>
  <conditionalFormatting sqref="M273:N323">
    <cfRule type="expression" dxfId="322" priority="176">
      <formula>IF(($L$53+$M$53)&gt;$F$52,)</formula>
    </cfRule>
  </conditionalFormatting>
  <conditionalFormatting sqref="M271:R271">
    <cfRule type="expression" dxfId="321" priority="670">
      <formula>IF(($L$53+$M$53)&gt;$F$52,)</formula>
    </cfRule>
  </conditionalFormatting>
  <conditionalFormatting sqref="N33:N54">
    <cfRule type="expression" dxfId="320" priority="509">
      <formula>IF(($L$53+$M$53)&gt;$F$52,)</formula>
    </cfRule>
  </conditionalFormatting>
  <conditionalFormatting sqref="P8">
    <cfRule type="cellIs" dxfId="319" priority="498" operator="greaterThan">
      <formula>$F$8</formula>
    </cfRule>
  </conditionalFormatting>
  <conditionalFormatting sqref="P15">
    <cfRule type="cellIs" dxfId="318" priority="499" operator="greaterThan">
      <formula>$F$15</formula>
    </cfRule>
    <cfRule type="cellIs" dxfId="317" priority="501" operator="greaterThan">
      <formula>$F$15</formula>
    </cfRule>
  </conditionalFormatting>
  <conditionalFormatting sqref="P16">
    <cfRule type="cellIs" dxfId="316" priority="500" operator="greaterThan">
      <formula>$F$16</formula>
    </cfRule>
  </conditionalFormatting>
  <conditionalFormatting sqref="P17">
    <cfRule type="cellIs" dxfId="315" priority="495" operator="greaterThan">
      <formula>$F$17</formula>
    </cfRule>
  </conditionalFormatting>
  <conditionalFormatting sqref="P18">
    <cfRule type="cellIs" dxfId="314" priority="494" operator="greaterThan">
      <formula>$F$18</formula>
    </cfRule>
  </conditionalFormatting>
  <conditionalFormatting sqref="P19">
    <cfRule type="cellIs" dxfId="313" priority="493" operator="greaterThan">
      <formula>$F$19</formula>
    </cfRule>
  </conditionalFormatting>
  <conditionalFormatting sqref="P20">
    <cfRule type="cellIs" dxfId="312" priority="492" operator="greaterThan">
      <formula>$F$20</formula>
    </cfRule>
  </conditionalFormatting>
  <conditionalFormatting sqref="P21">
    <cfRule type="cellIs" dxfId="311" priority="491" operator="greaterThan">
      <formula>$F$21</formula>
    </cfRule>
  </conditionalFormatting>
  <conditionalFormatting sqref="P22">
    <cfRule type="cellIs" dxfId="310" priority="490" operator="greaterThan">
      <formula>$F$22</formula>
    </cfRule>
  </conditionalFormatting>
  <conditionalFormatting sqref="P23">
    <cfRule type="cellIs" dxfId="309" priority="489" operator="greaterThan">
      <formula>$F$23</formula>
    </cfRule>
  </conditionalFormatting>
  <conditionalFormatting sqref="P24">
    <cfRule type="cellIs" dxfId="308" priority="488" operator="greaterThan">
      <formula>$F$24</formula>
    </cfRule>
  </conditionalFormatting>
  <conditionalFormatting sqref="P25">
    <cfRule type="cellIs" dxfId="307" priority="487" operator="greaterThan">
      <formula>$F$25</formula>
    </cfRule>
  </conditionalFormatting>
  <conditionalFormatting sqref="P32">
    <cfRule type="cellIs" dxfId="306" priority="486" operator="greaterThan">
      <formula>$F$32</formula>
    </cfRule>
  </conditionalFormatting>
  <conditionalFormatting sqref="P34:P35">
    <cfRule type="cellIs" dxfId="305" priority="485" operator="greaterThan">
      <formula>$F$34</formula>
    </cfRule>
  </conditionalFormatting>
  <conditionalFormatting sqref="P36:P37">
    <cfRule type="cellIs" dxfId="304" priority="484" operator="greaterThan">
      <formula>$F$36</formula>
    </cfRule>
  </conditionalFormatting>
  <conditionalFormatting sqref="P38:P39">
    <cfRule type="cellIs" dxfId="303" priority="483" operator="greaterThan">
      <formula>$F$38</formula>
    </cfRule>
  </conditionalFormatting>
  <conditionalFormatting sqref="P40:P41">
    <cfRule type="cellIs" dxfId="302" priority="480" operator="greaterThan">
      <formula>$F$40</formula>
    </cfRule>
  </conditionalFormatting>
  <conditionalFormatting sqref="P42:P43">
    <cfRule type="cellIs" dxfId="301" priority="479" operator="greaterThan">
      <formula>$F$42</formula>
    </cfRule>
  </conditionalFormatting>
  <conditionalFormatting sqref="P44:P45">
    <cfRule type="cellIs" dxfId="300" priority="478" operator="greaterThan">
      <formula>$F$44</formula>
    </cfRule>
  </conditionalFormatting>
  <conditionalFormatting sqref="P46:P47">
    <cfRule type="cellIs" dxfId="299" priority="477" operator="greaterThan">
      <formula>$F$46</formula>
    </cfRule>
  </conditionalFormatting>
  <conditionalFormatting sqref="P48:P49">
    <cfRule type="cellIs" dxfId="298" priority="476" operator="greaterThan">
      <formula>$F$48</formula>
    </cfRule>
  </conditionalFormatting>
  <conditionalFormatting sqref="P50:P51">
    <cfRule type="cellIs" dxfId="297" priority="475" operator="greaterThan">
      <formula>$F$50</formula>
    </cfRule>
  </conditionalFormatting>
  <conditionalFormatting sqref="P52:P53">
    <cfRule type="cellIs" dxfId="296" priority="474" operator="greaterThan">
      <formula>$F$52</formula>
    </cfRule>
  </conditionalFormatting>
  <conditionalFormatting sqref="P55">
    <cfRule type="cellIs" dxfId="295" priority="473" operator="greaterThan">
      <formula>$F$55</formula>
    </cfRule>
  </conditionalFormatting>
  <conditionalFormatting sqref="P56:P57">
    <cfRule type="cellIs" dxfId="294" priority="472" operator="greaterThan">
      <formula>$F$56</formula>
    </cfRule>
  </conditionalFormatting>
  <conditionalFormatting sqref="P58:P59">
    <cfRule type="cellIs" dxfId="293" priority="471" operator="greaterThan">
      <formula>$F$58</formula>
    </cfRule>
  </conditionalFormatting>
  <conditionalFormatting sqref="P60:P61">
    <cfRule type="cellIs" dxfId="292" priority="470" operator="greaterThan">
      <formula>$F$60</formula>
    </cfRule>
  </conditionalFormatting>
  <conditionalFormatting sqref="P62:P63">
    <cfRule type="cellIs" dxfId="291" priority="469" operator="greaterThan">
      <formula>$F$62</formula>
    </cfRule>
  </conditionalFormatting>
  <conditionalFormatting sqref="P64:P65">
    <cfRule type="cellIs" dxfId="290" priority="468" operator="greaterThan">
      <formula>$F$64</formula>
    </cfRule>
  </conditionalFormatting>
  <conditionalFormatting sqref="P66:P67">
    <cfRule type="cellIs" dxfId="289" priority="467" operator="greaterThan">
      <formula>$F$66</formula>
    </cfRule>
  </conditionalFormatting>
  <conditionalFormatting sqref="P68:P69">
    <cfRule type="cellIs" dxfId="288" priority="466" operator="greaterThan">
      <formula>$F$68</formula>
    </cfRule>
  </conditionalFormatting>
  <conditionalFormatting sqref="P70:P71">
    <cfRule type="cellIs" dxfId="287" priority="465" operator="greaterThan">
      <formula>$F$70</formula>
    </cfRule>
  </conditionalFormatting>
  <conditionalFormatting sqref="P72:P73">
    <cfRule type="cellIs" dxfId="286" priority="464" operator="greaterThan">
      <formula>$F$72</formula>
    </cfRule>
  </conditionalFormatting>
  <conditionalFormatting sqref="P74:P75">
    <cfRule type="cellIs" dxfId="285" priority="463" operator="greaterThan">
      <formula>$F$74</formula>
    </cfRule>
  </conditionalFormatting>
  <conditionalFormatting sqref="P76:P77">
    <cfRule type="cellIs" dxfId="284" priority="462" operator="greaterThan">
      <formula>$F$76</formula>
    </cfRule>
  </conditionalFormatting>
  <conditionalFormatting sqref="P78:P79">
    <cfRule type="cellIs" dxfId="283" priority="461" operator="greaterThan">
      <formula>$F$78</formula>
    </cfRule>
  </conditionalFormatting>
  <conditionalFormatting sqref="P80:P81">
    <cfRule type="cellIs" dxfId="282" priority="460" operator="greaterThan">
      <formula>$F$80</formula>
    </cfRule>
  </conditionalFormatting>
  <conditionalFormatting sqref="P82:P83">
    <cfRule type="cellIs" dxfId="281" priority="459" operator="greaterThan">
      <formula>$F$82</formula>
    </cfRule>
  </conditionalFormatting>
  <conditionalFormatting sqref="P84:P85">
    <cfRule type="cellIs" dxfId="280" priority="458" operator="greaterThan">
      <formula>$F$84</formula>
    </cfRule>
  </conditionalFormatting>
  <conditionalFormatting sqref="P86:P87">
    <cfRule type="cellIs" dxfId="279" priority="457" operator="greaterThan">
      <formula>$F$86</formula>
    </cfRule>
  </conditionalFormatting>
  <conditionalFormatting sqref="P88:P89">
    <cfRule type="cellIs" dxfId="278" priority="456" operator="greaterThan">
      <formula>$F$88</formula>
    </cfRule>
  </conditionalFormatting>
  <conditionalFormatting sqref="P90:P91">
    <cfRule type="cellIs" dxfId="277" priority="455" operator="greaterThan">
      <formula>$F$90</formula>
    </cfRule>
  </conditionalFormatting>
  <conditionalFormatting sqref="P92:P93">
    <cfRule type="cellIs" dxfId="276" priority="454" operator="greaterThan">
      <formula>$F$92</formula>
    </cfRule>
  </conditionalFormatting>
  <conditionalFormatting sqref="P94:P95">
    <cfRule type="cellIs" dxfId="275" priority="453" operator="greaterThan">
      <formula>$F$94</formula>
    </cfRule>
  </conditionalFormatting>
  <conditionalFormatting sqref="P96:P97">
    <cfRule type="cellIs" dxfId="274" priority="452" operator="greaterThan">
      <formula>$F$96</formula>
    </cfRule>
  </conditionalFormatting>
  <conditionalFormatting sqref="P98:P99">
    <cfRule type="cellIs" dxfId="273" priority="451" operator="greaterThan">
      <formula>$F$98</formula>
    </cfRule>
  </conditionalFormatting>
  <conditionalFormatting sqref="P100:P101">
    <cfRule type="cellIs" dxfId="272" priority="450" operator="greaterThan">
      <formula>$F$100</formula>
    </cfRule>
  </conditionalFormatting>
  <conditionalFormatting sqref="P102:P103">
    <cfRule type="cellIs" dxfId="271" priority="449" operator="greaterThan">
      <formula>$F$102</formula>
    </cfRule>
  </conditionalFormatting>
  <conditionalFormatting sqref="P104:P105">
    <cfRule type="cellIs" dxfId="270" priority="448" operator="greaterThan">
      <formula>$F$104</formula>
    </cfRule>
  </conditionalFormatting>
  <conditionalFormatting sqref="P106:P107">
    <cfRule type="cellIs" dxfId="269" priority="447" operator="greaterThan">
      <formula>$F$106</formula>
    </cfRule>
  </conditionalFormatting>
  <conditionalFormatting sqref="P108:P109">
    <cfRule type="cellIs" dxfId="268" priority="446" operator="greaterThan">
      <formula>$F$108</formula>
    </cfRule>
  </conditionalFormatting>
  <conditionalFormatting sqref="P110:P111">
    <cfRule type="cellIs" dxfId="267" priority="445" operator="greaterThan">
      <formula>$F$110</formula>
    </cfRule>
  </conditionalFormatting>
  <conditionalFormatting sqref="P112:P113">
    <cfRule type="cellIs" dxfId="266" priority="444" operator="greaterThan">
      <formula>$F$112</formula>
    </cfRule>
  </conditionalFormatting>
  <conditionalFormatting sqref="P114:P115">
    <cfRule type="cellIs" dxfId="265" priority="443" operator="greaterThan">
      <formula>$F$114</formula>
    </cfRule>
  </conditionalFormatting>
  <conditionalFormatting sqref="P116:P117">
    <cfRule type="cellIs" dxfId="264" priority="442" operator="greaterThan">
      <formula>$F$116</formula>
    </cfRule>
  </conditionalFormatting>
  <conditionalFormatting sqref="P118:P119">
    <cfRule type="cellIs" dxfId="263" priority="441" operator="greaterThan">
      <formula>$F$118</formula>
    </cfRule>
  </conditionalFormatting>
  <conditionalFormatting sqref="P120:P121">
    <cfRule type="cellIs" dxfId="262" priority="440" operator="greaterThan">
      <formula>$F$120</formula>
    </cfRule>
  </conditionalFormatting>
  <conditionalFormatting sqref="P122:P123">
    <cfRule type="cellIs" dxfId="261" priority="439" operator="greaterThan">
      <formula>$F$122</formula>
    </cfRule>
  </conditionalFormatting>
  <conditionalFormatting sqref="P124:P125">
    <cfRule type="cellIs" dxfId="260" priority="438" operator="greaterThan">
      <formula>$F$124</formula>
    </cfRule>
  </conditionalFormatting>
  <conditionalFormatting sqref="P126:P127">
    <cfRule type="cellIs" dxfId="259" priority="437" operator="greaterThan">
      <formula>$F$126</formula>
    </cfRule>
  </conditionalFormatting>
  <conditionalFormatting sqref="P128:P129">
    <cfRule type="cellIs" dxfId="258" priority="436" operator="greaterThan">
      <formula>$F$128</formula>
    </cfRule>
  </conditionalFormatting>
  <conditionalFormatting sqref="P130:P131">
    <cfRule type="cellIs" dxfId="257" priority="435" operator="greaterThan">
      <formula>$F$130</formula>
    </cfRule>
  </conditionalFormatting>
  <conditionalFormatting sqref="P132:P133">
    <cfRule type="cellIs" dxfId="256" priority="434" operator="greaterThan">
      <formula>$F$132</formula>
    </cfRule>
  </conditionalFormatting>
  <conditionalFormatting sqref="P134:P135">
    <cfRule type="cellIs" dxfId="255" priority="433" operator="greaterThan">
      <formula>$F$134</formula>
    </cfRule>
  </conditionalFormatting>
  <conditionalFormatting sqref="P136:P137">
    <cfRule type="cellIs" dxfId="254" priority="432" operator="greaterThan">
      <formula>$F$136</formula>
    </cfRule>
  </conditionalFormatting>
  <conditionalFormatting sqref="P138:P139">
    <cfRule type="cellIs" dxfId="253" priority="431" operator="greaterThan">
      <formula>$F$138</formula>
    </cfRule>
  </conditionalFormatting>
  <conditionalFormatting sqref="P140:P141">
    <cfRule type="cellIs" dxfId="252" priority="430" operator="greaterThan">
      <formula>$F$140</formula>
    </cfRule>
  </conditionalFormatting>
  <conditionalFormatting sqref="P142:P143">
    <cfRule type="cellIs" dxfId="251" priority="429" operator="greaterThan">
      <formula>$F$142</formula>
    </cfRule>
  </conditionalFormatting>
  <conditionalFormatting sqref="P144:P145">
    <cfRule type="cellIs" dxfId="250" priority="428" operator="greaterThan">
      <formula>$F$144</formula>
    </cfRule>
  </conditionalFormatting>
  <conditionalFormatting sqref="P146:P147">
    <cfRule type="cellIs" dxfId="249" priority="427" operator="greaterThan">
      <formula>$F$146</formula>
    </cfRule>
  </conditionalFormatting>
  <conditionalFormatting sqref="P148:P149">
    <cfRule type="cellIs" dxfId="248" priority="426" operator="greaterThan">
      <formula>$F$148</formula>
    </cfRule>
  </conditionalFormatting>
  <conditionalFormatting sqref="P150:P151">
    <cfRule type="cellIs" dxfId="247" priority="425" operator="greaterThan">
      <formula>$F$150</formula>
    </cfRule>
  </conditionalFormatting>
  <conditionalFormatting sqref="P152:P153">
    <cfRule type="cellIs" dxfId="246" priority="424" operator="greaterThan">
      <formula>$F$152</formula>
    </cfRule>
  </conditionalFormatting>
  <conditionalFormatting sqref="P154:P155">
    <cfRule type="cellIs" dxfId="245" priority="423" operator="greaterThan">
      <formula>$F$154</formula>
    </cfRule>
  </conditionalFormatting>
  <conditionalFormatting sqref="P156:P157">
    <cfRule type="cellIs" dxfId="244" priority="422" operator="greaterThan">
      <formula>$F$156</formula>
    </cfRule>
  </conditionalFormatting>
  <conditionalFormatting sqref="P158:P159">
    <cfRule type="cellIs" dxfId="243" priority="421" operator="greaterThan">
      <formula>$F$158</formula>
    </cfRule>
  </conditionalFormatting>
  <conditionalFormatting sqref="P160:P161">
    <cfRule type="cellIs" dxfId="242" priority="420" operator="greaterThan">
      <formula>$F$160</formula>
    </cfRule>
  </conditionalFormatting>
  <conditionalFormatting sqref="P162:P163">
    <cfRule type="cellIs" dxfId="241" priority="419" operator="greaterThan">
      <formula>$F$162</formula>
    </cfRule>
  </conditionalFormatting>
  <conditionalFormatting sqref="P164:P165">
    <cfRule type="cellIs" dxfId="240" priority="418" operator="greaterThan">
      <formula>$F$164</formula>
    </cfRule>
  </conditionalFormatting>
  <conditionalFormatting sqref="P166:P167">
    <cfRule type="cellIs" dxfId="239" priority="417" operator="greaterThan">
      <formula>$F$166</formula>
    </cfRule>
  </conditionalFormatting>
  <conditionalFormatting sqref="P171">
    <cfRule type="cellIs" dxfId="238" priority="416" operator="greaterThan">
      <formula>F171</formula>
    </cfRule>
  </conditionalFormatting>
  <conditionalFormatting sqref="P172">
    <cfRule type="cellIs" dxfId="237" priority="414" operator="greaterThan">
      <formula>$F$172</formula>
    </cfRule>
  </conditionalFormatting>
  <conditionalFormatting sqref="P173">
    <cfRule type="cellIs" dxfId="236" priority="413" operator="greaterThan">
      <formula>$F$173</formula>
    </cfRule>
  </conditionalFormatting>
  <conditionalFormatting sqref="P174">
    <cfRule type="cellIs" dxfId="235" priority="412" operator="greaterThan">
      <formula>$F$174</formula>
    </cfRule>
  </conditionalFormatting>
  <conditionalFormatting sqref="P175">
    <cfRule type="cellIs" dxfId="234" priority="411" operator="greaterThan">
      <formula>$F$175</formula>
    </cfRule>
  </conditionalFormatting>
  <conditionalFormatting sqref="P176">
    <cfRule type="cellIs" dxfId="233" priority="410" operator="greaterThan">
      <formula>$F$176</formula>
    </cfRule>
  </conditionalFormatting>
  <conditionalFormatting sqref="P177">
    <cfRule type="cellIs" dxfId="232" priority="409" operator="greaterThan">
      <formula>$F$177</formula>
    </cfRule>
  </conditionalFormatting>
  <conditionalFormatting sqref="P178">
    <cfRule type="cellIs" dxfId="231" priority="408" operator="greaterThan">
      <formula>$F$178</formula>
    </cfRule>
  </conditionalFormatting>
  <conditionalFormatting sqref="P179">
    <cfRule type="cellIs" dxfId="230" priority="407" operator="greaterThan">
      <formula>$F$179</formula>
    </cfRule>
  </conditionalFormatting>
  <conditionalFormatting sqref="P180">
    <cfRule type="cellIs" dxfId="229" priority="406" operator="greaterThan">
      <formula>$F$180</formula>
    </cfRule>
  </conditionalFormatting>
  <conditionalFormatting sqref="P181">
    <cfRule type="cellIs" dxfId="228" priority="405" operator="greaterThan">
      <formula>$F$181</formula>
    </cfRule>
  </conditionalFormatting>
  <conditionalFormatting sqref="P182">
    <cfRule type="cellIs" dxfId="227" priority="404" operator="greaterThan">
      <formula>$F$182</formula>
    </cfRule>
  </conditionalFormatting>
  <conditionalFormatting sqref="P183">
    <cfRule type="cellIs" dxfId="226" priority="403" operator="greaterThan">
      <formula>$F$183</formula>
    </cfRule>
  </conditionalFormatting>
  <conditionalFormatting sqref="P184">
    <cfRule type="cellIs" dxfId="225" priority="402" operator="greaterThan">
      <formula>$F$184</formula>
    </cfRule>
  </conditionalFormatting>
  <conditionalFormatting sqref="P185">
    <cfRule type="cellIs" dxfId="224" priority="401" operator="greaterThan">
      <formula>$F$185</formula>
    </cfRule>
  </conditionalFormatting>
  <conditionalFormatting sqref="P186">
    <cfRule type="cellIs" dxfId="223" priority="400" operator="greaterThan">
      <formula>$F$186</formula>
    </cfRule>
  </conditionalFormatting>
  <conditionalFormatting sqref="P187">
    <cfRule type="cellIs" dxfId="222" priority="399" operator="greaterThan">
      <formula>$F$187</formula>
    </cfRule>
  </conditionalFormatting>
  <conditionalFormatting sqref="P188">
    <cfRule type="cellIs" dxfId="221" priority="398" operator="greaterThan">
      <formula>$F$188</formula>
    </cfRule>
  </conditionalFormatting>
  <conditionalFormatting sqref="P189">
    <cfRule type="cellIs" dxfId="220" priority="397" operator="greaterThan">
      <formula>$F$189</formula>
    </cfRule>
  </conditionalFormatting>
  <conditionalFormatting sqref="P190">
    <cfRule type="cellIs" dxfId="219" priority="396" operator="greaterThan">
      <formula>$F$190</formula>
    </cfRule>
  </conditionalFormatting>
  <conditionalFormatting sqref="P191">
    <cfRule type="cellIs" dxfId="218" priority="395" operator="greaterThan">
      <formula>$F$191</formula>
    </cfRule>
  </conditionalFormatting>
  <conditionalFormatting sqref="P192">
    <cfRule type="cellIs" dxfId="217" priority="394" operator="greaterThan">
      <formula>$F$192</formula>
    </cfRule>
  </conditionalFormatting>
  <conditionalFormatting sqref="P193">
    <cfRule type="cellIs" dxfId="216" priority="393" operator="greaterThan">
      <formula>$F$193</formula>
    </cfRule>
  </conditionalFormatting>
  <conditionalFormatting sqref="P194">
    <cfRule type="cellIs" dxfId="215" priority="392" operator="greaterThan">
      <formula>$F$194</formula>
    </cfRule>
  </conditionalFormatting>
  <conditionalFormatting sqref="P195">
    <cfRule type="cellIs" dxfId="214" priority="391" operator="greaterThan">
      <formula>$F$195</formula>
    </cfRule>
  </conditionalFormatting>
  <conditionalFormatting sqref="P196">
    <cfRule type="cellIs" dxfId="213" priority="390" operator="greaterThan">
      <formula>$F$196</formula>
    </cfRule>
  </conditionalFormatting>
  <conditionalFormatting sqref="P197">
    <cfRule type="cellIs" dxfId="212" priority="389" operator="greaterThan">
      <formula>$F$197</formula>
    </cfRule>
  </conditionalFormatting>
  <conditionalFormatting sqref="P198">
    <cfRule type="cellIs" dxfId="211" priority="388" operator="greaterThan">
      <formula>$F$198</formula>
    </cfRule>
  </conditionalFormatting>
  <conditionalFormatting sqref="P199">
    <cfRule type="cellIs" dxfId="210" priority="387" operator="greaterThan">
      <formula>$F$199</formula>
    </cfRule>
  </conditionalFormatting>
  <conditionalFormatting sqref="P200">
    <cfRule type="cellIs" dxfId="209" priority="386" operator="greaterThan">
      <formula>$F$200</formula>
    </cfRule>
  </conditionalFormatting>
  <conditionalFormatting sqref="P201">
    <cfRule type="cellIs" dxfId="208" priority="385" operator="greaterThan">
      <formula>$F$201</formula>
    </cfRule>
  </conditionalFormatting>
  <conditionalFormatting sqref="P202">
    <cfRule type="cellIs" dxfId="207" priority="384" operator="greaterThan">
      <formula>$F$202</formula>
    </cfRule>
  </conditionalFormatting>
  <conditionalFormatting sqref="P203">
    <cfRule type="cellIs" dxfId="206" priority="383" operator="greaterThan">
      <formula>$F$203</formula>
    </cfRule>
  </conditionalFormatting>
  <conditionalFormatting sqref="P204">
    <cfRule type="cellIs" dxfId="205" priority="382" operator="greaterThan">
      <formula>$F$204</formula>
    </cfRule>
  </conditionalFormatting>
  <conditionalFormatting sqref="P205">
    <cfRule type="cellIs" dxfId="204" priority="381" operator="greaterThan">
      <formula>$F$205</formula>
    </cfRule>
  </conditionalFormatting>
  <conditionalFormatting sqref="P206">
    <cfRule type="cellIs" dxfId="203" priority="380" operator="greaterThan">
      <formula>$F$206</formula>
    </cfRule>
  </conditionalFormatting>
  <conditionalFormatting sqref="P207">
    <cfRule type="cellIs" dxfId="202" priority="379" operator="greaterThan">
      <formula>$F$207</formula>
    </cfRule>
  </conditionalFormatting>
  <conditionalFormatting sqref="P208">
    <cfRule type="cellIs" dxfId="201" priority="378" operator="greaterThan">
      <formula>$F$208</formula>
    </cfRule>
  </conditionalFormatting>
  <conditionalFormatting sqref="P209">
    <cfRule type="cellIs" dxfId="200" priority="377" operator="greaterThan">
      <formula>$F$209</formula>
    </cfRule>
  </conditionalFormatting>
  <conditionalFormatting sqref="P210">
    <cfRule type="cellIs" dxfId="199" priority="376" operator="greaterThan">
      <formula>$F$210</formula>
    </cfRule>
  </conditionalFormatting>
  <conditionalFormatting sqref="P211">
    <cfRule type="cellIs" dxfId="198" priority="375" operator="greaterThan">
      <formula>$F$211</formula>
    </cfRule>
  </conditionalFormatting>
  <conditionalFormatting sqref="P212">
    <cfRule type="cellIs" dxfId="197" priority="374" operator="greaterThan">
      <formula>$F$212</formula>
    </cfRule>
  </conditionalFormatting>
  <conditionalFormatting sqref="P213">
    <cfRule type="cellIs" dxfId="196" priority="373" operator="greaterThan">
      <formula>$F$213</formula>
    </cfRule>
  </conditionalFormatting>
  <conditionalFormatting sqref="P214">
    <cfRule type="cellIs" dxfId="195" priority="372" operator="greaterThan">
      <formula>$F$214</formula>
    </cfRule>
  </conditionalFormatting>
  <conditionalFormatting sqref="P215">
    <cfRule type="cellIs" dxfId="194" priority="371" operator="greaterThan">
      <formula>$F$215</formula>
    </cfRule>
  </conditionalFormatting>
  <conditionalFormatting sqref="P216">
    <cfRule type="cellIs" dxfId="193" priority="370" operator="greaterThan">
      <formula>$F$216</formula>
    </cfRule>
  </conditionalFormatting>
  <conditionalFormatting sqref="P217">
    <cfRule type="cellIs" dxfId="192" priority="369" operator="greaterThan">
      <formula>$F$217</formula>
    </cfRule>
  </conditionalFormatting>
  <conditionalFormatting sqref="P218">
    <cfRule type="cellIs" dxfId="191" priority="368" operator="greaterThan">
      <formula>$F$218</formula>
    </cfRule>
  </conditionalFormatting>
  <conditionalFormatting sqref="P219">
    <cfRule type="cellIs" dxfId="190" priority="367" operator="greaterThan">
      <formula>$F$219</formula>
    </cfRule>
  </conditionalFormatting>
  <conditionalFormatting sqref="P220">
    <cfRule type="cellIs" dxfId="189" priority="366" operator="greaterThan">
      <formula>$F$220</formula>
    </cfRule>
  </conditionalFormatting>
  <conditionalFormatting sqref="P221">
    <cfRule type="cellIs" dxfId="188" priority="365" operator="greaterThan">
      <formula>$F$221</formula>
    </cfRule>
  </conditionalFormatting>
  <conditionalFormatting sqref="P222">
    <cfRule type="cellIs" dxfId="187" priority="364" operator="greaterThan">
      <formula>$F$222</formula>
    </cfRule>
  </conditionalFormatting>
  <conditionalFormatting sqref="P223">
    <cfRule type="cellIs" dxfId="186" priority="363" operator="greaterThan">
      <formula>$F$223</formula>
    </cfRule>
  </conditionalFormatting>
  <conditionalFormatting sqref="P224">
    <cfRule type="cellIs" dxfId="185" priority="362" operator="greaterThan">
      <formula>$F$224</formula>
    </cfRule>
  </conditionalFormatting>
  <conditionalFormatting sqref="P225">
    <cfRule type="cellIs" dxfId="184" priority="361" operator="greaterThan">
      <formula>$F$225</formula>
    </cfRule>
  </conditionalFormatting>
  <conditionalFormatting sqref="P226">
    <cfRule type="cellIs" dxfId="183" priority="360" operator="greaterThan">
      <formula>$F$226</formula>
    </cfRule>
  </conditionalFormatting>
  <conditionalFormatting sqref="P227">
    <cfRule type="cellIs" dxfId="182" priority="359" operator="greaterThan">
      <formula>$F$227</formula>
    </cfRule>
  </conditionalFormatting>
  <conditionalFormatting sqref="P228">
    <cfRule type="cellIs" dxfId="181" priority="358" operator="greaterThan">
      <formula>$F$228</formula>
    </cfRule>
  </conditionalFormatting>
  <conditionalFormatting sqref="P229">
    <cfRule type="cellIs" dxfId="180" priority="357" operator="greaterThan">
      <formula>$F$229</formula>
    </cfRule>
  </conditionalFormatting>
  <conditionalFormatting sqref="P230">
    <cfRule type="cellIs" dxfId="179" priority="356" operator="greaterThan">
      <formula>$F$230</formula>
    </cfRule>
  </conditionalFormatting>
  <conditionalFormatting sqref="P231">
    <cfRule type="cellIs" dxfId="178" priority="355" operator="greaterThan">
      <formula>$F$231</formula>
    </cfRule>
  </conditionalFormatting>
  <conditionalFormatting sqref="P232">
    <cfRule type="cellIs" dxfId="177" priority="354" operator="greaterThan">
      <formula>$F$232</formula>
    </cfRule>
  </conditionalFormatting>
  <conditionalFormatting sqref="P233">
    <cfRule type="cellIs" dxfId="176" priority="353" operator="greaterThan">
      <formula>$F$233</formula>
    </cfRule>
  </conditionalFormatting>
  <conditionalFormatting sqref="P234">
    <cfRule type="cellIs" dxfId="175" priority="352" operator="greaterThan">
      <formula>$F$234</formula>
    </cfRule>
  </conditionalFormatting>
  <conditionalFormatting sqref="P235">
    <cfRule type="cellIs" dxfId="174" priority="351" operator="greaterThan">
      <formula>$F$235</formula>
    </cfRule>
  </conditionalFormatting>
  <conditionalFormatting sqref="P236">
    <cfRule type="cellIs" dxfId="173" priority="350" operator="greaterThan">
      <formula>$F$236</formula>
    </cfRule>
  </conditionalFormatting>
  <conditionalFormatting sqref="P237">
    <cfRule type="cellIs" dxfId="172" priority="349" operator="greaterThan">
      <formula>$F$237</formula>
    </cfRule>
  </conditionalFormatting>
  <conditionalFormatting sqref="P238">
    <cfRule type="cellIs" dxfId="171" priority="348" operator="greaterThan">
      <formula>$F$238</formula>
    </cfRule>
  </conditionalFormatting>
  <conditionalFormatting sqref="P239">
    <cfRule type="cellIs" dxfId="170" priority="347" operator="greaterThan">
      <formula>$F$239</formula>
    </cfRule>
  </conditionalFormatting>
  <conditionalFormatting sqref="P240">
    <cfRule type="cellIs" dxfId="169" priority="346" operator="greaterThan">
      <formula>$F$240</formula>
    </cfRule>
  </conditionalFormatting>
  <conditionalFormatting sqref="P241 L242:N242 I242:I243 O242:O243 J243:N243">
    <cfRule type="cellIs" dxfId="168" priority="345" operator="greaterThan">
      <formula>$F$241</formula>
    </cfRule>
  </conditionalFormatting>
  <conditionalFormatting sqref="P247">
    <cfRule type="cellIs" dxfId="167" priority="344" operator="greaterThan">
      <formula>$F$247</formula>
    </cfRule>
  </conditionalFormatting>
  <conditionalFormatting sqref="P248">
    <cfRule type="cellIs" dxfId="166" priority="343" operator="greaterThan">
      <formula>$F$248</formula>
    </cfRule>
  </conditionalFormatting>
  <conditionalFormatting sqref="P251:P256">
    <cfRule type="cellIs" dxfId="165" priority="342" operator="greaterThan">
      <formula>$E$251</formula>
    </cfRule>
  </conditionalFormatting>
  <conditionalFormatting sqref="P257">
    <cfRule type="cellIs" dxfId="164" priority="336" operator="greaterThan">
      <formula>$F$257</formula>
    </cfRule>
  </conditionalFormatting>
  <conditionalFormatting sqref="P260">
    <cfRule type="cellIs" dxfId="163" priority="335" operator="greaterThan">
      <formula>$F$260</formula>
    </cfRule>
  </conditionalFormatting>
  <conditionalFormatting sqref="P261">
    <cfRule type="cellIs" dxfId="162" priority="334" operator="greaterThan">
      <formula>$F$261</formula>
    </cfRule>
  </conditionalFormatting>
  <conditionalFormatting sqref="P264">
    <cfRule type="cellIs" dxfId="161" priority="333" operator="greaterThan">
      <formula>$E$264</formula>
    </cfRule>
  </conditionalFormatting>
  <conditionalFormatting sqref="P265">
    <cfRule type="cellIs" dxfId="160" priority="332" operator="greaterThan">
      <formula>$E$265</formula>
    </cfRule>
  </conditionalFormatting>
  <conditionalFormatting sqref="P266">
    <cfRule type="cellIs" dxfId="159" priority="331" operator="greaterThan">
      <formula>$E$266</formula>
    </cfRule>
  </conditionalFormatting>
  <conditionalFormatting sqref="P267">
    <cfRule type="cellIs" dxfId="158" priority="330" operator="greaterThan">
      <formula>$E$267</formula>
    </cfRule>
  </conditionalFormatting>
  <conditionalFormatting sqref="P268">
    <cfRule type="cellIs" dxfId="157" priority="329" operator="greaterThan">
      <formula>$E$268</formula>
    </cfRule>
  </conditionalFormatting>
  <conditionalFormatting sqref="P269">
    <cfRule type="cellIs" dxfId="156" priority="328" operator="greaterThan">
      <formula>$E$269</formula>
    </cfRule>
  </conditionalFormatting>
  <conditionalFormatting sqref="P270">
    <cfRule type="cellIs" dxfId="155" priority="327" operator="greaterThan">
      <formula>$E$270</formula>
    </cfRule>
  </conditionalFormatting>
  <conditionalFormatting sqref="P273">
    <cfRule type="cellIs" dxfId="154" priority="326" operator="greaterThan">
      <formula>$E$273</formula>
    </cfRule>
  </conditionalFormatting>
  <conditionalFormatting sqref="P274">
    <cfRule type="cellIs" dxfId="153" priority="325" operator="greaterThan">
      <formula>$E$274</formula>
    </cfRule>
  </conditionalFormatting>
  <conditionalFormatting sqref="P275">
    <cfRule type="cellIs" dxfId="152" priority="324" operator="greaterThan">
      <formula>$E$275</formula>
    </cfRule>
  </conditionalFormatting>
  <conditionalFormatting sqref="P276">
    <cfRule type="cellIs" dxfId="151" priority="323" operator="greaterThan">
      <formula>$E$276</formula>
    </cfRule>
  </conditionalFormatting>
  <conditionalFormatting sqref="P277">
    <cfRule type="cellIs" dxfId="150" priority="322" operator="greaterThan">
      <formula>$E$277</formula>
    </cfRule>
  </conditionalFormatting>
  <conditionalFormatting sqref="P278">
    <cfRule type="cellIs" dxfId="149" priority="321" operator="greaterThan">
      <formula>$E$278</formula>
    </cfRule>
  </conditionalFormatting>
  <conditionalFormatting sqref="P279">
    <cfRule type="cellIs" dxfId="148" priority="320" operator="greaterThan">
      <formula>$E$279</formula>
    </cfRule>
  </conditionalFormatting>
  <conditionalFormatting sqref="P280">
    <cfRule type="cellIs" dxfId="147" priority="319" operator="greaterThan">
      <formula>$E$280</formula>
    </cfRule>
  </conditionalFormatting>
  <conditionalFormatting sqref="P281">
    <cfRule type="cellIs" dxfId="146" priority="318" operator="greaterThan">
      <formula>$E$281</formula>
    </cfRule>
  </conditionalFormatting>
  <conditionalFormatting sqref="P282">
    <cfRule type="cellIs" dxfId="145" priority="317" operator="greaterThan">
      <formula>$E$282</formula>
    </cfRule>
  </conditionalFormatting>
  <conditionalFormatting sqref="P283">
    <cfRule type="cellIs" dxfId="144" priority="316" operator="greaterThan">
      <formula>$E$283</formula>
    </cfRule>
  </conditionalFormatting>
  <conditionalFormatting sqref="P284">
    <cfRule type="cellIs" dxfId="143" priority="315" operator="greaterThan">
      <formula>$E$284</formula>
    </cfRule>
  </conditionalFormatting>
  <conditionalFormatting sqref="P285">
    <cfRule type="cellIs" dxfId="142" priority="314" operator="greaterThan">
      <formula>$E$285</formula>
    </cfRule>
  </conditionalFormatting>
  <conditionalFormatting sqref="P286">
    <cfRule type="cellIs" dxfId="141" priority="313" operator="greaterThan">
      <formula>$E$286</formula>
    </cfRule>
  </conditionalFormatting>
  <conditionalFormatting sqref="P287">
    <cfRule type="cellIs" dxfId="140" priority="312" operator="greaterThan">
      <formula>$E$287</formula>
    </cfRule>
  </conditionalFormatting>
  <conditionalFormatting sqref="P288">
    <cfRule type="cellIs" dxfId="139" priority="311" operator="greaterThan">
      <formula>$E$288</formula>
    </cfRule>
  </conditionalFormatting>
  <conditionalFormatting sqref="P289">
    <cfRule type="cellIs" dxfId="138" priority="310" operator="greaterThan">
      <formula>$E$289</formula>
    </cfRule>
  </conditionalFormatting>
  <conditionalFormatting sqref="P290">
    <cfRule type="cellIs" dxfId="137" priority="309" operator="greaterThan">
      <formula>$E$290</formula>
    </cfRule>
  </conditionalFormatting>
  <conditionalFormatting sqref="P291">
    <cfRule type="cellIs" dxfId="136" priority="308" operator="greaterThan">
      <formula>$E$291</formula>
    </cfRule>
  </conditionalFormatting>
  <conditionalFormatting sqref="P292">
    <cfRule type="cellIs" dxfId="135" priority="307" operator="greaterThan">
      <formula>$E$292</formula>
    </cfRule>
  </conditionalFormatting>
  <conditionalFormatting sqref="P293">
    <cfRule type="cellIs" dxfId="134" priority="306" operator="greaterThan">
      <formula>$E$293</formula>
    </cfRule>
  </conditionalFormatting>
  <conditionalFormatting sqref="P294">
    <cfRule type="cellIs" dxfId="133" priority="305" operator="greaterThan">
      <formula>$E$294</formula>
    </cfRule>
  </conditionalFormatting>
  <conditionalFormatting sqref="P295">
    <cfRule type="cellIs" dxfId="132" priority="304" operator="greaterThan">
      <formula>$E$295</formula>
    </cfRule>
  </conditionalFormatting>
  <conditionalFormatting sqref="P296">
    <cfRule type="cellIs" dxfId="131" priority="303" operator="greaterThan">
      <formula>$E$296</formula>
    </cfRule>
  </conditionalFormatting>
  <conditionalFormatting sqref="P297">
    <cfRule type="cellIs" dxfId="130" priority="302" operator="greaterThan">
      <formula>$E$297</formula>
    </cfRule>
  </conditionalFormatting>
  <conditionalFormatting sqref="P298">
    <cfRule type="cellIs" dxfId="129" priority="301" operator="greaterThan">
      <formula>$E$298</formula>
    </cfRule>
  </conditionalFormatting>
  <conditionalFormatting sqref="P299">
    <cfRule type="cellIs" dxfId="128" priority="300" operator="greaterThan">
      <formula>$E$299</formula>
    </cfRule>
  </conditionalFormatting>
  <conditionalFormatting sqref="P300">
    <cfRule type="cellIs" dxfId="127" priority="299" operator="greaterThan">
      <formula>$E$300</formula>
    </cfRule>
  </conditionalFormatting>
  <conditionalFormatting sqref="P301">
    <cfRule type="cellIs" dxfId="126" priority="298" operator="greaterThan">
      <formula>$E$301</formula>
    </cfRule>
  </conditionalFormatting>
  <conditionalFormatting sqref="P302">
    <cfRule type="cellIs" dxfId="125" priority="297" operator="greaterThan">
      <formula>$E$302</formula>
    </cfRule>
  </conditionalFormatting>
  <conditionalFormatting sqref="P303">
    <cfRule type="cellIs" dxfId="124" priority="296" operator="greaterThan">
      <formula>$E$303</formula>
    </cfRule>
  </conditionalFormatting>
  <conditionalFormatting sqref="P304">
    <cfRule type="cellIs" dxfId="123" priority="295" operator="greaterThan">
      <formula>$E$304</formula>
    </cfRule>
  </conditionalFormatting>
  <conditionalFormatting sqref="P305">
    <cfRule type="cellIs" dxfId="122" priority="294" operator="greaterThan">
      <formula>$E$305</formula>
    </cfRule>
  </conditionalFormatting>
  <conditionalFormatting sqref="P306">
    <cfRule type="cellIs" dxfId="121" priority="293" operator="greaterThan">
      <formula>$E$306</formula>
    </cfRule>
  </conditionalFormatting>
  <conditionalFormatting sqref="P307">
    <cfRule type="cellIs" dxfId="120" priority="292" operator="greaterThan">
      <formula>$E$307</formula>
    </cfRule>
  </conditionalFormatting>
  <conditionalFormatting sqref="P308">
    <cfRule type="cellIs" dxfId="119" priority="291" operator="greaterThan">
      <formula>$E$308</formula>
    </cfRule>
  </conditionalFormatting>
  <conditionalFormatting sqref="P309">
    <cfRule type="cellIs" dxfId="118" priority="290" operator="greaterThan">
      <formula>$E$309</formula>
    </cfRule>
  </conditionalFormatting>
  <conditionalFormatting sqref="P310">
    <cfRule type="cellIs" dxfId="117" priority="289" operator="greaterThan">
      <formula>$E$310</formula>
    </cfRule>
  </conditionalFormatting>
  <conditionalFormatting sqref="P311">
    <cfRule type="cellIs" dxfId="116" priority="288" operator="greaterThan">
      <formula>$E$311</formula>
    </cfRule>
  </conditionalFormatting>
  <conditionalFormatting sqref="P312">
    <cfRule type="cellIs" dxfId="115" priority="287" operator="greaterThan">
      <formula>$E$312</formula>
    </cfRule>
  </conditionalFormatting>
  <conditionalFormatting sqref="P313">
    <cfRule type="cellIs" dxfId="114" priority="286" operator="greaterThan">
      <formula>$E$313</formula>
    </cfRule>
  </conditionalFormatting>
  <conditionalFormatting sqref="P314">
    <cfRule type="cellIs" dxfId="113" priority="285" operator="greaterThan">
      <formula>$E$314</formula>
    </cfRule>
  </conditionalFormatting>
  <conditionalFormatting sqref="P315">
    <cfRule type="cellIs" dxfId="112" priority="284" operator="greaterThan">
      <formula>$E$315</formula>
    </cfRule>
  </conditionalFormatting>
  <conditionalFormatting sqref="P316">
    <cfRule type="cellIs" dxfId="111" priority="283" operator="greaterThan">
      <formula>$E$316</formula>
    </cfRule>
  </conditionalFormatting>
  <conditionalFormatting sqref="P317">
    <cfRule type="cellIs" dxfId="110" priority="282" operator="greaterThan">
      <formula>$E$317</formula>
    </cfRule>
  </conditionalFormatting>
  <conditionalFormatting sqref="P318">
    <cfRule type="cellIs" dxfId="109" priority="281" operator="greaterThan">
      <formula>$E$318</formula>
    </cfRule>
  </conditionalFormatting>
  <conditionalFormatting sqref="P319">
    <cfRule type="cellIs" dxfId="108" priority="280" operator="greaterThan">
      <formula>$E$319</formula>
    </cfRule>
  </conditionalFormatting>
  <conditionalFormatting sqref="P320">
    <cfRule type="cellIs" dxfId="107" priority="279" operator="greaterThan">
      <formula>$E$320</formula>
    </cfRule>
  </conditionalFormatting>
  <conditionalFormatting sqref="P321">
    <cfRule type="cellIs" dxfId="106" priority="278" operator="greaterThan">
      <formula>$E$321</formula>
    </cfRule>
  </conditionalFormatting>
  <conditionalFormatting sqref="P322">
    <cfRule type="cellIs" dxfId="105" priority="277" operator="greaterThan">
      <formula>$E$322</formula>
    </cfRule>
  </conditionalFormatting>
  <conditionalFormatting sqref="P323">
    <cfRule type="cellIs" dxfId="104" priority="276" operator="greaterThan">
      <formula>$E$323</formula>
    </cfRule>
  </conditionalFormatting>
  <conditionalFormatting sqref="P324">
    <cfRule type="cellIs" dxfId="103" priority="275" operator="greaterThan">
      <formula>$F$324</formula>
    </cfRule>
  </conditionalFormatting>
  <conditionalFormatting sqref="P331">
    <cfRule type="cellIs" dxfId="102" priority="274" operator="greaterThan">
      <formula>$F$331</formula>
    </cfRule>
  </conditionalFormatting>
  <conditionalFormatting sqref="P332">
    <cfRule type="cellIs" dxfId="101" priority="273" operator="greaterThan">
      <formula>$F$332</formula>
    </cfRule>
  </conditionalFormatting>
  <conditionalFormatting sqref="P333">
    <cfRule type="cellIs" dxfId="100" priority="272" operator="greaterThan">
      <formula>$F$333</formula>
    </cfRule>
  </conditionalFormatting>
  <conditionalFormatting sqref="P336">
    <cfRule type="cellIs" dxfId="99" priority="271" operator="greaterThan">
      <formula>$F$336</formula>
    </cfRule>
  </conditionalFormatting>
  <conditionalFormatting sqref="P337">
    <cfRule type="cellIs" dxfId="98" priority="270" operator="greaterThan">
      <formula>$F$337</formula>
    </cfRule>
  </conditionalFormatting>
  <conditionalFormatting sqref="P339">
    <cfRule type="cellIs" dxfId="97" priority="269" operator="greaterThan">
      <formula>$F$339</formula>
    </cfRule>
  </conditionalFormatting>
  <conditionalFormatting sqref="P342">
    <cfRule type="cellIs" dxfId="96" priority="268" operator="greaterThan">
      <formula>$F$342</formula>
    </cfRule>
  </conditionalFormatting>
  <conditionalFormatting sqref="P343">
    <cfRule type="cellIs" dxfId="95" priority="267" operator="greaterThan">
      <formula>$F$343</formula>
    </cfRule>
  </conditionalFormatting>
  <conditionalFormatting sqref="P344">
    <cfRule type="cellIs" dxfId="94" priority="266" operator="greaterThan">
      <formula>$F$344</formula>
    </cfRule>
  </conditionalFormatting>
  <conditionalFormatting sqref="P345">
    <cfRule type="cellIs" dxfId="93" priority="265" operator="greaterThan">
      <formula>$F$345</formula>
    </cfRule>
  </conditionalFormatting>
  <conditionalFormatting sqref="P346">
    <cfRule type="cellIs" dxfId="92" priority="264" operator="greaterThan">
      <formula>$F$346</formula>
    </cfRule>
  </conditionalFormatting>
  <conditionalFormatting sqref="P347">
    <cfRule type="cellIs" dxfId="91" priority="263" operator="greaterThan">
      <formula>$F$347</formula>
    </cfRule>
  </conditionalFormatting>
  <conditionalFormatting sqref="P354">
    <cfRule type="cellIs" dxfId="90" priority="262" operator="greaterThan">
      <formula>$F$354</formula>
    </cfRule>
  </conditionalFormatting>
  <conditionalFormatting sqref="P355">
    <cfRule type="cellIs" dxfId="89" priority="261" operator="greaterThan">
      <formula>$F$355</formula>
    </cfRule>
  </conditionalFormatting>
  <conditionalFormatting sqref="P356">
    <cfRule type="cellIs" dxfId="88" priority="260" operator="greaterThan">
      <formula>$F$356</formula>
    </cfRule>
  </conditionalFormatting>
  <conditionalFormatting sqref="P357">
    <cfRule type="cellIs" dxfId="87" priority="259" operator="greaterThan">
      <formula>$F$357</formula>
    </cfRule>
  </conditionalFormatting>
  <conditionalFormatting sqref="P358">
    <cfRule type="cellIs" dxfId="86" priority="258" operator="greaterThan">
      <formula>$F$358</formula>
    </cfRule>
  </conditionalFormatting>
  <conditionalFormatting sqref="P359">
    <cfRule type="cellIs" dxfId="85" priority="257" operator="greaterThan">
      <formula>$F$359</formula>
    </cfRule>
  </conditionalFormatting>
  <conditionalFormatting sqref="P360">
    <cfRule type="cellIs" dxfId="84" priority="256" operator="greaterThan">
      <formula>$F$360</formula>
    </cfRule>
  </conditionalFormatting>
  <conditionalFormatting sqref="P362">
    <cfRule type="cellIs" dxfId="83" priority="255" operator="greaterThan">
      <formula>$F$362</formula>
    </cfRule>
  </conditionalFormatting>
  <conditionalFormatting sqref="P363">
    <cfRule type="cellIs" dxfId="82" priority="254" operator="greaterThan">
      <formula>$F$363</formula>
    </cfRule>
  </conditionalFormatting>
  <conditionalFormatting sqref="P365">
    <cfRule type="cellIs" dxfId="81" priority="253" operator="greaterThan">
      <formula>$F$365</formula>
    </cfRule>
  </conditionalFormatting>
  <conditionalFormatting sqref="P366">
    <cfRule type="cellIs" dxfId="80" priority="252" operator="greaterThan">
      <formula>$F$366</formula>
    </cfRule>
  </conditionalFormatting>
  <conditionalFormatting sqref="P368">
    <cfRule type="cellIs" dxfId="79" priority="251" operator="greaterThan">
      <formula>$F$368</formula>
    </cfRule>
  </conditionalFormatting>
  <conditionalFormatting sqref="P369">
    <cfRule type="cellIs" dxfId="78" priority="250" operator="greaterThan">
      <formula>$F$369</formula>
    </cfRule>
  </conditionalFormatting>
  <conditionalFormatting sqref="P375">
    <cfRule type="cellIs" dxfId="77" priority="249" operator="greaterThan">
      <formula>$F$375</formula>
    </cfRule>
  </conditionalFormatting>
  <conditionalFormatting sqref="P376">
    <cfRule type="cellIs" dxfId="76" priority="248" operator="greaterThan">
      <formula>$F$376</formula>
    </cfRule>
  </conditionalFormatting>
  <conditionalFormatting sqref="P377">
    <cfRule type="cellIs" dxfId="75" priority="247" operator="greaterThan">
      <formula>$F$377</formula>
    </cfRule>
  </conditionalFormatting>
  <conditionalFormatting sqref="P378">
    <cfRule type="cellIs" dxfId="74" priority="246" operator="greaterThan">
      <formula>$F$378</formula>
    </cfRule>
  </conditionalFormatting>
  <conditionalFormatting sqref="P379">
    <cfRule type="cellIs" dxfId="73" priority="245" operator="greaterThan">
      <formula>$F$379</formula>
    </cfRule>
  </conditionalFormatting>
  <conditionalFormatting sqref="P380">
    <cfRule type="cellIs" dxfId="72" priority="244" operator="greaterThan">
      <formula>$F$380</formula>
    </cfRule>
  </conditionalFormatting>
  <conditionalFormatting sqref="P381">
    <cfRule type="cellIs" dxfId="71" priority="243" operator="greaterThan">
      <formula>$F$381</formula>
    </cfRule>
  </conditionalFormatting>
  <conditionalFormatting sqref="P382">
    <cfRule type="cellIs" dxfId="70" priority="242" operator="greaterThan">
      <formula>$F$382</formula>
    </cfRule>
  </conditionalFormatting>
  <conditionalFormatting sqref="P383">
    <cfRule type="cellIs" dxfId="69" priority="241" operator="greaterThan">
      <formula>$F$383</formula>
    </cfRule>
  </conditionalFormatting>
  <conditionalFormatting sqref="P384">
    <cfRule type="cellIs" dxfId="68" priority="240" operator="greaterThan">
      <formula>$F$384</formula>
    </cfRule>
  </conditionalFormatting>
  <conditionalFormatting sqref="P385">
    <cfRule type="cellIs" dxfId="67" priority="239" operator="greaterThan">
      <formula>$F$385</formula>
    </cfRule>
  </conditionalFormatting>
  <conditionalFormatting sqref="P391">
    <cfRule type="cellIs" dxfId="66" priority="238" operator="greaterThan">
      <formula>$F$391</formula>
    </cfRule>
  </conditionalFormatting>
  <conditionalFormatting sqref="P392">
    <cfRule type="cellIs" dxfId="65" priority="237" operator="greaterThan">
      <formula>$F$392</formula>
    </cfRule>
  </conditionalFormatting>
  <conditionalFormatting sqref="P393">
    <cfRule type="cellIs" dxfId="64" priority="236" operator="greaterThan">
      <formula>$F$393</formula>
    </cfRule>
  </conditionalFormatting>
  <conditionalFormatting sqref="P395">
    <cfRule type="cellIs" dxfId="63" priority="235" operator="greaterThan">
      <formula>$F$395</formula>
    </cfRule>
  </conditionalFormatting>
  <conditionalFormatting sqref="P398">
    <cfRule type="cellIs" dxfId="62" priority="234" operator="greaterThan">
      <formula>$F$398</formula>
    </cfRule>
  </conditionalFormatting>
  <conditionalFormatting sqref="P399">
    <cfRule type="cellIs" dxfId="61" priority="233" operator="greaterThan">
      <formula>$F$399</formula>
    </cfRule>
  </conditionalFormatting>
  <conditionalFormatting sqref="P400">
    <cfRule type="cellIs" dxfId="60" priority="232" operator="greaterThan">
      <formula>$F$400</formula>
    </cfRule>
  </conditionalFormatting>
  <conditionalFormatting sqref="P401">
    <cfRule type="cellIs" dxfId="59" priority="231" operator="greaterThan">
      <formula>$F$401</formula>
    </cfRule>
  </conditionalFormatting>
  <conditionalFormatting sqref="P402">
    <cfRule type="cellIs" dxfId="58" priority="230" operator="greaterThan">
      <formula>$F$402</formula>
    </cfRule>
  </conditionalFormatting>
  <conditionalFormatting sqref="P403">
    <cfRule type="cellIs" dxfId="57" priority="229" operator="greaterThan">
      <formula>$F$403</formula>
    </cfRule>
  </conditionalFormatting>
  <conditionalFormatting sqref="P404">
    <cfRule type="cellIs" dxfId="56" priority="228" operator="greaterThan">
      <formula>$F$404</formula>
    </cfRule>
  </conditionalFormatting>
  <conditionalFormatting sqref="P410">
    <cfRule type="cellIs" dxfId="55" priority="227" operator="greaterThan">
      <formula>$F$410</formula>
    </cfRule>
  </conditionalFormatting>
  <conditionalFormatting sqref="P414">
    <cfRule type="cellIs" dxfId="54" priority="223" operator="greaterThan">
      <formula>$F$414</formula>
    </cfRule>
  </conditionalFormatting>
  <conditionalFormatting sqref="P415">
    <cfRule type="cellIs" dxfId="53" priority="222" operator="greaterThan">
      <formula>$F$415</formula>
    </cfRule>
  </conditionalFormatting>
  <conditionalFormatting sqref="P416">
    <cfRule type="cellIs" dxfId="52" priority="221" operator="greaterThan">
      <formula>$F$416</formula>
    </cfRule>
  </conditionalFormatting>
  <conditionalFormatting sqref="P417">
    <cfRule type="cellIs" dxfId="51" priority="220" operator="greaterThan">
      <formula>$F$417</formula>
    </cfRule>
  </conditionalFormatting>
  <conditionalFormatting sqref="P418">
    <cfRule type="cellIs" dxfId="50" priority="219" operator="greaterThan">
      <formula>$F$418</formula>
    </cfRule>
  </conditionalFormatting>
  <conditionalFormatting sqref="P419">
    <cfRule type="cellIs" dxfId="49" priority="218" operator="greaterThan">
      <formula>$F$419</formula>
    </cfRule>
  </conditionalFormatting>
  <conditionalFormatting sqref="P424">
    <cfRule type="cellIs" dxfId="48" priority="213" operator="greaterThan">
      <formula>$F$424</formula>
    </cfRule>
  </conditionalFormatting>
  <conditionalFormatting sqref="P433">
    <cfRule type="cellIs" dxfId="47" priority="152" operator="greaterThan">
      <formula>$F$433</formula>
    </cfRule>
  </conditionalFormatting>
  <conditionalFormatting sqref="P435">
    <cfRule type="cellIs" dxfId="46" priority="204" operator="greaterThan">
      <formula>$F$435</formula>
    </cfRule>
  </conditionalFormatting>
  <conditionalFormatting sqref="P436">
    <cfRule type="cellIs" dxfId="45" priority="203" operator="greaterThan">
      <formula>$F$436</formula>
    </cfRule>
  </conditionalFormatting>
  <conditionalFormatting sqref="P442">
    <cfRule type="cellIs" dxfId="44" priority="202" operator="greaterThan">
      <formula>$F$442</formula>
    </cfRule>
  </conditionalFormatting>
  <conditionalFormatting sqref="P443">
    <cfRule type="cellIs" dxfId="43" priority="201" operator="greaterThan">
      <formula>$F$443</formula>
    </cfRule>
  </conditionalFormatting>
  <conditionalFormatting sqref="P444">
    <cfRule type="cellIs" dxfId="42" priority="200" operator="greaterThan">
      <formula>$F$444</formula>
    </cfRule>
  </conditionalFormatting>
  <conditionalFormatting sqref="P445">
    <cfRule type="cellIs" dxfId="41" priority="199" operator="greaterThan">
      <formula>$F$445</formula>
    </cfRule>
  </conditionalFormatting>
  <conditionalFormatting sqref="P446">
    <cfRule type="cellIs" dxfId="40" priority="198" operator="greaterThan">
      <formula>$F$446</formula>
    </cfRule>
  </conditionalFormatting>
  <conditionalFormatting sqref="P447">
    <cfRule type="cellIs" dxfId="39" priority="197" operator="greaterThan">
      <formula>$F$447</formula>
    </cfRule>
  </conditionalFormatting>
  <conditionalFormatting sqref="P448">
    <cfRule type="cellIs" dxfId="38" priority="196" operator="greaterThan">
      <formula>$F$448</formula>
    </cfRule>
  </conditionalFormatting>
  <conditionalFormatting sqref="P449">
    <cfRule type="cellIs" dxfId="37" priority="195" operator="greaterThan">
      <formula>$F$449</formula>
    </cfRule>
  </conditionalFormatting>
  <conditionalFormatting sqref="P455">
    <cfRule type="cellIs" dxfId="36" priority="194" operator="greaterThan">
      <formula>$F$455</formula>
    </cfRule>
  </conditionalFormatting>
  <conditionalFormatting sqref="P456">
    <cfRule type="cellIs" dxfId="35" priority="193" operator="greaterThan">
      <formula>$F$456</formula>
    </cfRule>
  </conditionalFormatting>
  <conditionalFormatting sqref="P457">
    <cfRule type="cellIs" dxfId="34" priority="192" operator="greaterThan">
      <formula>$F$457</formula>
    </cfRule>
  </conditionalFormatting>
  <conditionalFormatting sqref="P463">
    <cfRule type="cellIs" dxfId="33" priority="191" operator="greaterThan">
      <formula>$F$463</formula>
    </cfRule>
  </conditionalFormatting>
  <conditionalFormatting sqref="P465">
    <cfRule type="cellIs" dxfId="32" priority="190" operator="greaterThan">
      <formula>$F$465</formula>
    </cfRule>
  </conditionalFormatting>
  <conditionalFormatting sqref="P466">
    <cfRule type="cellIs" dxfId="31" priority="189" operator="greaterThan">
      <formula>$F$466</formula>
    </cfRule>
  </conditionalFormatting>
  <conditionalFormatting sqref="P467">
    <cfRule type="cellIs" dxfId="30" priority="188" operator="greaterThan">
      <formula>$F$467</formula>
    </cfRule>
  </conditionalFormatting>
  <conditionalFormatting sqref="P468">
    <cfRule type="cellIs" dxfId="29" priority="187" operator="greaterThan">
      <formula>$F$468</formula>
    </cfRule>
  </conditionalFormatting>
  <conditionalFormatting sqref="P470">
    <cfRule type="cellIs" dxfId="28" priority="186" operator="greaterThan">
      <formula>$F$470</formula>
    </cfRule>
  </conditionalFormatting>
  <conditionalFormatting sqref="P471">
    <cfRule type="cellIs" dxfId="27" priority="185" operator="greaterThan">
      <formula>$F$471</formula>
    </cfRule>
  </conditionalFormatting>
  <conditionalFormatting sqref="P472">
    <cfRule type="cellIs" dxfId="26" priority="184" operator="greaterThan">
      <formula>$F$472</formula>
    </cfRule>
  </conditionalFormatting>
  <conditionalFormatting sqref="P473">
    <cfRule type="cellIs" dxfId="25" priority="183" operator="greaterThan">
      <formula>$F$473</formula>
    </cfRule>
  </conditionalFormatting>
  <conditionalFormatting sqref="P474">
    <cfRule type="cellIs" dxfId="24" priority="182" operator="greaterThan">
      <formula>$F$474</formula>
    </cfRule>
  </conditionalFormatting>
  <conditionalFormatting sqref="P480">
    <cfRule type="cellIs" dxfId="23" priority="181" operator="greaterThan">
      <formula>$F$480</formula>
    </cfRule>
  </conditionalFormatting>
  <conditionalFormatting sqref="P481">
    <cfRule type="cellIs" dxfId="22" priority="180" operator="greaterThan">
      <formula>$F$481</formula>
    </cfRule>
  </conditionalFormatting>
  <conditionalFormatting sqref="P482">
    <cfRule type="cellIs" dxfId="21" priority="179" operator="greaterThan">
      <formula>$F$482</formula>
    </cfRule>
  </conditionalFormatting>
  <conditionalFormatting sqref="P483">
    <cfRule type="cellIs" dxfId="20" priority="178" operator="greaterThan">
      <formula>$F$483</formula>
    </cfRule>
  </conditionalFormatting>
  <conditionalFormatting sqref="P484">
    <cfRule type="cellIs" dxfId="19" priority="177" operator="greaterThan">
      <formula>$F$484</formula>
    </cfRule>
  </conditionalFormatting>
  <dataValidations xWindow="703" yWindow="503" count="23">
    <dataValidation errorStyle="warning" operator="lessThanOrEqual" allowBlank="1" errorTitle="ACHTUNG" error="Drehbuch liegt gemessen an den klakulierten Fertigungskosten über dem RICHTSATZ!" prompt="_x000a__x000a__x000a_" sqref="F17" xr:uid="{67B5DD31-D8C7-4B77-9D38-63DF7271EE34}"/>
    <dataValidation operator="lessThan" allowBlank="1" showInputMessage="1" showErrorMessage="1" sqref="F485:F488 T459:AA459 M29:N29 AU32:AV168 I29:K29 E264:E265 T245:V245 BB6:BC7 F437:F463 F327:F393 F465:F479 G17:H17 T451:AA451 T438:AA438 T387:AA387 T476:AA476 T486:AA486 T406:AA406 T371:AA371 T349:AA349 Y29:AA29 G349:R349 G371:R371 G406:R406 G486:R486 G476:R476 G387:R387 G438:R438 G451:R451 G459:R459 BB489:BC1048576 AE245:AG245 AI245:AK245 AM245:AO245 AD451:AR451 AD406:AQ406 AD438:AR438 AD371:AQ371 AD459:AR459 AD476:AR476 AD387:AQ387 AD349:AQ349 AD486:AR486 F395:F410 F414:F419 F424 F433 BB274 BB276:BC276 AW17:AZ17 AW55:AZ55" xr:uid="{9B7A7522-E354-4A18-B332-7AED5992EC7A}"/>
    <dataValidation type="whole" operator="lessThan" allowBlank="1" showInputMessage="1" showErrorMessage="1" sqref="C247" xr:uid="{9D11F667-5268-4A7F-9B80-B8A46F4A366D}">
      <formula1>-9.99999999999999E+28</formula1>
    </dataValidation>
    <dataValidation type="whole" operator="lessThan" allowBlank="1" showInputMessage="1" showErrorMessage="1" sqref="N245 I245:K245" xr:uid="{F32F1E67-5091-4D2E-9ACC-B5E7109463E1}">
      <formula1>-9.99999999999999E+27</formula1>
    </dataValidation>
    <dataValidation allowBlank="1" showErrorMessage="1" sqref="E261" xr:uid="{02F08804-150D-44B9-BB1C-1E6750F04435}"/>
    <dataValidation allowBlank="1" showErrorMessage="1" promptTitle="HALLO" prompt="Leute" sqref="B31" xr:uid="{89F8893C-12F4-4778-A726-99914B9DA4A2}"/>
    <dataValidation operator="lessThanOrEqual" allowBlank="1" showInputMessage="1" showErrorMessage="1" sqref="D264 F436 P480:P484" xr:uid="{F7B046AE-896A-421C-9202-542521BC5507}"/>
    <dataValidation type="decimal" operator="lessThanOrEqual" allowBlank="1" showInputMessage="1" showErrorMessage="1" sqref="Y480:Y484" xr:uid="{A88AE1FC-436A-451B-B94B-1DAC6C281301}">
      <formula1>0</formula1>
    </dataValidation>
    <dataValidation type="whole" operator="lessThan" allowBlank="1" showInputMessage="1" showErrorMessage="1" sqref="W245" xr:uid="{9F52B085-03DC-4648-AC23-7FA5831E26B4}">
      <formula1>-9.99999999999999E+30</formula1>
    </dataValidation>
    <dataValidation type="decimal" operator="lessThanOrEqual" allowBlank="1" showInputMessage="1" showErrorMessage="1" sqref="F435" xr:uid="{4D56FC6C-8612-4FB7-B2C4-6CC1A968529F}">
      <formula1>3000</formula1>
    </dataValidation>
    <dataValidation operator="lessThanOrEqual" allowBlank="1" sqref="E55" xr:uid="{282E4B70-7439-4CCE-B3C0-5731F98C09C9}"/>
    <dataValidation type="whole" operator="lessThan" allowBlank="1" showInputMessage="1" showErrorMessage="1" sqref="AS2:AT486 B168:H168 I168:AR170 AE242:AR244" xr:uid="{C496CECF-74A8-4357-9E8A-295ED752BA83}">
      <formula1>-999999</formula1>
    </dataValidation>
    <dataValidation type="decimal" operator="lessThan" allowBlank="1" showInputMessage="1" showErrorMessage="1" sqref="F264:H264" xr:uid="{6AD3E35F-0251-4CF1-B767-F6763B49F2E8}">
      <formula1>-9999</formula1>
    </dataValidation>
    <dataValidation type="decimal" operator="lessThanOrEqual" allowBlank="1" showInputMessage="1" showErrorMessage="1" errorTitle="ACHTUNG" error="kostenmindernde Erträge reduzieren das Budget und müssen demnach als NEGATIV-Wert eingegeben werden" sqref="AL480:AN484 O480:O484 Q480:R484 F481:F484 X480:X484 Z480:AA484 AD480:AF484 AH480:AJ484 U480:U484" xr:uid="{F359981D-0FE8-4566-BC86-CC7A630DFEB6}">
      <formula1>0</formula1>
    </dataValidation>
    <dataValidation operator="greaterThanOrEqual" allowBlank="1" showInputMessage="1" showErrorMessage="1" sqref="G36" xr:uid="{6729855F-B74B-4BEB-BF72-0645AD5E6A8A}"/>
    <dataValidation type="whole" operator="lessThan" allowBlank="1" showInputMessage="1" showErrorMessage="1" sqref="A3 E273 E54 E17 AU169:AV488 AU1:AV31 P5:P7 BB277:BC488 BB1:BC5 BB8:BB273 BB275 BC8:BC275 BA1:BA488 AW1:AZ16 AW18:AZ54 AW56:AZ488" xr:uid="{1CE02FC9-A774-4619-8A53-48F08E6A2001}">
      <formula1>-999</formula1>
    </dataValidation>
    <dataValidation type="decimal" operator="lessThanOrEqual" allowBlank="1" showInputMessage="1" showErrorMessage="1" sqref="P8" xr:uid="{CA6A762D-3AF9-4BD3-AD8F-159DDF03A204}">
      <formula1>F8</formula1>
    </dataValidation>
    <dataValidation type="decimal" operator="lessThanOrEqual" allowBlank="1" showInputMessage="1" showErrorMessage="1" sqref="D273" xr:uid="{7FE4E6B2-F956-4BCF-8573-FACA15195CD4}">
      <formula1>600</formula1>
    </dataValidation>
    <dataValidation type="decimal" operator="lessThanOrEqual" allowBlank="1" showInputMessage="1" showErrorMessage="1" sqref="E171" xr:uid="{EAD76438-61D4-44DA-8A3B-7940C0CC83B9}">
      <formula1>AW171</formula1>
    </dataValidation>
    <dataValidation type="decimal" allowBlank="1" showInputMessage="1" showErrorMessage="1" errorTitle="NICHT ZULÄSSIG" error="Eingegebener Wert ist nicht richlinienkonform! Entweder unter KV oder zu hoher Ansatz bei ILV." sqref="E32 E164 E122 E34 E36 E38 E40 E42 E124 E44 E46 E126 E128 E130 E132 E134 E136 E138 E140 E48 E50 E52 E56 E58 E60 E62 E64 E66 E68 E70 E72 E74 E76 E78 E80 E82 E84 E86 E88 E90 E92 E94 E96 E98 E100 E102 E104 E106 E108 E110 E112 E114 E116 E118 E120 E142 E144 E146 E148 E150 E152 E154 E156 E158 E160 E162 E166" xr:uid="{3F608C04-71B7-4009-A0FE-2D3C7476D4CA}">
      <formula1>IF(AV33=TRUE,0,G32)</formula1>
      <formula2>IF(AV33=TRUE,G32*88%)</formula2>
    </dataValidation>
    <dataValidation allowBlank="1" showInputMessage="1" showErrorMessage="1" promptTitle="ACHTUNG!" prompt="Bitte geben SIe unbedingt im schwarzen Feld den mit der Funktion korrespondierenden Mindest-KV ein." sqref="B173:B174" xr:uid="{4EC9881B-BC0E-4B14-9765-63E170E8DDD9}"/>
    <dataValidation type="decimal" allowBlank="1" showInputMessage="1" showErrorMessage="1" errorTitle="NICHT ZULÄSSIG" error="Eingegebener Wert ist nicht richlinienkonform! Entweder unter KV oder zu hoher Ansatz bei ILV." sqref="E33 E35 E37 E39 E41 E43 E45 E47 E49 E51 E53 E57 E59 E61 E63 E65 E67 E69 E71 E73 E75 E77 E79 E81 E83 E85 E87 E89 E91 E93 E95 E97 E99 E101 E103 E105 E107 E109 E111 E113 E115 E117 E119 E121 E123 E125 E127 E129 E131 E133 E135 E137 E139 E141 E143 E145 E147 E149 E151 E153 E155 E157 E159 E161 E163 E165 E167" xr:uid="{60C0DBDA-1011-4AE7-9D2E-609B42901EA9}">
      <formula1>IF(AV33=TRUE,0,G33)</formula1>
      <formula2>IF(AV33=TRUE,G33*88%)</formula2>
    </dataValidation>
    <dataValidation type="decimal" operator="lessThanOrEqual" allowBlank="1" showInputMessage="1" showErrorMessage="1" errorTitle="ACHTUNG" error="kostenmindernde Erträge reduzieren das Budget und müssen demnach als NEGATIV-Wert eingegeben werden" promptTitle="Vorzeichen beachten" prompt="negatives Vorzeichen erforderlich" sqref="F480 T480:T484" xr:uid="{37BC505F-B2E9-43F9-953F-96201B61C83A}">
      <formula1>0</formula1>
    </dataValidation>
  </dataValidations>
  <printOptions horizontalCentered="1"/>
  <pageMargins left="0.39370078740157483" right="0.39370078740157483" top="0.78740157480314965" bottom="0.59055118110236227" header="0.39370078740157483" footer="0.27559055118110237"/>
  <pageSetup paperSize="9" scale="32" fitToHeight="0" orientation="landscape" blackAndWhite="1" r:id="rId1"/>
  <headerFooter differentFirst="1" scaleWithDoc="0">
    <oddHeader>&amp;R&amp;"Verdana,Standard"&amp;8&amp;F</oddHeader>
    <oddFooter>&amp;L&amp;"Verdana,Standard"&amp;8Ausdruck vom &amp;D&amp;R&amp;"Verdana,Standard"&amp;8Seite &amp;P von &amp;N</oddFooter>
    <firstHeader>&amp;R&amp;"Verdana,Fett"&amp;11ANLAGE 6</firstHeader>
    <firstFooter>&amp;L&amp;"Verdana,Standard"&amp;8Ausdruck vom &amp;D&amp;R&amp;"Verdana,Standard"&amp;8Seite &amp;P von &amp;N</firstFooter>
  </headerFooter>
  <cellWatches>
    <cellWatch r="F17"/>
  </cellWatches>
  <ignoredErrors>
    <ignoredError sqref="F27 E30:F31 T257:Y257 B10:B21 F410 V251:W256 B251:B256 B170 AP246 F383:F384 F387 F11 L27:P27 O11:P11 L18:M21 L244:M247 L325:P326 AP325 F325:F346 AL349 AL371 AL387 F391:F403 AL406 AP434 AP452:AP454 AP477:AP479 B352:B353 B371 B433:B436 B438:B451 A488 P371 P349 P387 F354:F371 B76:B77 O291:O293 C375:E375 L272:M272 M271 I476:P479 I451:P454 I437:P438 O406:P406 O246:P246 O257:P257 T477:Y479 T452:Y454 T433:Y437 T406:V406 T246:Y249 C379:E380 C377:E377 B454:B473 X406:Y406 T438:V438 X438:Y438 T451:V451 X451:Y451 T458:Y460 T455:W457 T485:Y485 V480:W484 T476:V476 X476:Y476 I485:P486 I480:N484 L324:N324 T486:W486 Y486 AP485 AC480:AC484 B118:B123 B144:B145 B24:B39 B56:B57 B60:B69 B88:B89 B80 B132:B141 B92:B103 B106:B115 B126:B129 B148:B153 B82:B85 B4:B7 B42:B53 O249:P249 O247:O248 I459:P460 I455:O458 B431 AL431 AL424:AL429 B387:B410 T424:Y424 B414:B426 B475:B486 AP249 AP437 AP458 AP460 I424:O424 I433:O436 F348:F349 F405:F406 D378 AC424:AD426 AC431 AC485:AD486 AC476:AD479 AC451:AD460 AC433:AD438 AC406:AD406 AD387 AD371 AD349 AD325:AD326 AD27 AC246:AD249 AH424:AH429 AH431 AH485:AH486 AH476:AH479 AH451:AH460 AH433:AH438 AH406 AH387 AH371 AH349 AH325:AH326 AH27 AH246:AH249 AL485:AL486 AL476:AL479 AL451:AL460 AL433:AL438 AL325:AL326 AL246:AL249 C376:F376 F378:F380 B374:F374 G435 G424 F433:G434 G480:G484 F485:G486 F436:G438 F451:G460 F476:G479 B156:B167 T425:T428 AC427:AC429" unlockedFormula="1"/>
    <ignoredError sqref="W324 W349 W371 W387 W11 W27 G33:G36 G132:G135 G118:G123 G148:G153 G137:G141 G158:G167 G88:G89 G85 G92:G103 G106:G115 G126:G129 V44 AU33:AU53 AU169:AU177 AG44 AU57:AU167 AK44" formula="1"/>
    <ignoredError sqref="W245 F377 W406 W438 W451 W476 AL27" formula="1"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8536" r:id="rId4" name="Check Box 104">
              <controlPr defaultSize="0" autoFill="0" autoLine="0" autoPict="0">
                <anchor moveWithCells="1">
                  <from>
                    <xdr:col>3</xdr:col>
                    <xdr:colOff>142875</xdr:colOff>
                    <xdr:row>31</xdr:row>
                    <xdr:rowOff>47625</xdr:rowOff>
                  </from>
                  <to>
                    <xdr:col>4</xdr:col>
                    <xdr:colOff>0</xdr:colOff>
                    <xdr:row>32</xdr:row>
                    <xdr:rowOff>104775</xdr:rowOff>
                  </to>
                </anchor>
              </controlPr>
            </control>
          </mc:Choice>
        </mc:AlternateContent>
        <mc:AlternateContent xmlns:mc="http://schemas.openxmlformats.org/markup-compatibility/2006">
          <mc:Choice Requires="x14">
            <control shapeId="18543" r:id="rId5" name="Check Box 111">
              <controlPr defaultSize="0" autoFill="0" autoLine="0" autoPict="0">
                <anchor moveWithCells="1">
                  <from>
                    <xdr:col>3</xdr:col>
                    <xdr:colOff>142875</xdr:colOff>
                    <xdr:row>33</xdr:row>
                    <xdr:rowOff>47625</xdr:rowOff>
                  </from>
                  <to>
                    <xdr:col>4</xdr:col>
                    <xdr:colOff>0</xdr:colOff>
                    <xdr:row>34</xdr:row>
                    <xdr:rowOff>104775</xdr:rowOff>
                  </to>
                </anchor>
              </controlPr>
            </control>
          </mc:Choice>
        </mc:AlternateContent>
        <mc:AlternateContent xmlns:mc="http://schemas.openxmlformats.org/markup-compatibility/2006">
          <mc:Choice Requires="x14">
            <control shapeId="18544" r:id="rId6" name="Check Box 112">
              <controlPr defaultSize="0" autoFill="0" autoLine="0" autoPict="0">
                <anchor moveWithCells="1">
                  <from>
                    <xdr:col>3</xdr:col>
                    <xdr:colOff>142875</xdr:colOff>
                    <xdr:row>35</xdr:row>
                    <xdr:rowOff>38100</xdr:rowOff>
                  </from>
                  <to>
                    <xdr:col>4</xdr:col>
                    <xdr:colOff>0</xdr:colOff>
                    <xdr:row>36</xdr:row>
                    <xdr:rowOff>95250</xdr:rowOff>
                  </to>
                </anchor>
              </controlPr>
            </control>
          </mc:Choice>
        </mc:AlternateContent>
        <mc:AlternateContent xmlns:mc="http://schemas.openxmlformats.org/markup-compatibility/2006">
          <mc:Choice Requires="x14">
            <control shapeId="18545" r:id="rId7" name="Check Box 113">
              <controlPr defaultSize="0" autoFill="0" autoLine="0" autoPict="0">
                <anchor moveWithCells="1">
                  <from>
                    <xdr:col>3</xdr:col>
                    <xdr:colOff>142875</xdr:colOff>
                    <xdr:row>37</xdr:row>
                    <xdr:rowOff>47625</xdr:rowOff>
                  </from>
                  <to>
                    <xdr:col>4</xdr:col>
                    <xdr:colOff>0</xdr:colOff>
                    <xdr:row>38</xdr:row>
                    <xdr:rowOff>104775</xdr:rowOff>
                  </to>
                </anchor>
              </controlPr>
            </control>
          </mc:Choice>
        </mc:AlternateContent>
        <mc:AlternateContent xmlns:mc="http://schemas.openxmlformats.org/markup-compatibility/2006">
          <mc:Choice Requires="x14">
            <control shapeId="18546" r:id="rId8" name="Check Box 114">
              <controlPr defaultSize="0" autoFill="0" autoLine="0" autoPict="0">
                <anchor moveWithCells="1">
                  <from>
                    <xdr:col>3</xdr:col>
                    <xdr:colOff>142875</xdr:colOff>
                    <xdr:row>45</xdr:row>
                    <xdr:rowOff>47625</xdr:rowOff>
                  </from>
                  <to>
                    <xdr:col>4</xdr:col>
                    <xdr:colOff>0</xdr:colOff>
                    <xdr:row>46</xdr:row>
                    <xdr:rowOff>104775</xdr:rowOff>
                  </to>
                </anchor>
              </controlPr>
            </control>
          </mc:Choice>
        </mc:AlternateContent>
        <mc:AlternateContent xmlns:mc="http://schemas.openxmlformats.org/markup-compatibility/2006">
          <mc:Choice Requires="x14">
            <control shapeId="18547" r:id="rId9" name="Check Box 115">
              <controlPr defaultSize="0" autoFill="0" autoLine="0" autoPict="0">
                <anchor moveWithCells="1">
                  <from>
                    <xdr:col>3</xdr:col>
                    <xdr:colOff>142875</xdr:colOff>
                    <xdr:row>47</xdr:row>
                    <xdr:rowOff>47625</xdr:rowOff>
                  </from>
                  <to>
                    <xdr:col>4</xdr:col>
                    <xdr:colOff>0</xdr:colOff>
                    <xdr:row>48</xdr:row>
                    <xdr:rowOff>104775</xdr:rowOff>
                  </to>
                </anchor>
              </controlPr>
            </control>
          </mc:Choice>
        </mc:AlternateContent>
        <mc:AlternateContent xmlns:mc="http://schemas.openxmlformats.org/markup-compatibility/2006">
          <mc:Choice Requires="x14">
            <control shapeId="18548" r:id="rId10" name="Check Box 116">
              <controlPr defaultSize="0" autoFill="0" autoLine="0" autoPict="0">
                <anchor moveWithCells="1">
                  <from>
                    <xdr:col>3</xdr:col>
                    <xdr:colOff>142875</xdr:colOff>
                    <xdr:row>49</xdr:row>
                    <xdr:rowOff>47625</xdr:rowOff>
                  </from>
                  <to>
                    <xdr:col>4</xdr:col>
                    <xdr:colOff>0</xdr:colOff>
                    <xdr:row>50</xdr:row>
                    <xdr:rowOff>104775</xdr:rowOff>
                  </to>
                </anchor>
              </controlPr>
            </control>
          </mc:Choice>
        </mc:AlternateContent>
        <mc:AlternateContent xmlns:mc="http://schemas.openxmlformats.org/markup-compatibility/2006">
          <mc:Choice Requires="x14">
            <control shapeId="18569" r:id="rId11" name="Check Box 137">
              <controlPr defaultSize="0" autoFill="0" autoLine="0" autoPict="0">
                <anchor moveWithCells="1">
                  <from>
                    <xdr:col>3</xdr:col>
                    <xdr:colOff>142875</xdr:colOff>
                    <xdr:row>51</xdr:row>
                    <xdr:rowOff>57150</xdr:rowOff>
                  </from>
                  <to>
                    <xdr:col>4</xdr:col>
                    <xdr:colOff>0</xdr:colOff>
                    <xdr:row>52</xdr:row>
                    <xdr:rowOff>123825</xdr:rowOff>
                  </to>
                </anchor>
              </controlPr>
            </control>
          </mc:Choice>
        </mc:AlternateContent>
        <mc:AlternateContent xmlns:mc="http://schemas.openxmlformats.org/markup-compatibility/2006">
          <mc:Choice Requires="x14">
            <control shapeId="18606" r:id="rId12" name="Check Box 174">
              <controlPr defaultSize="0" autoFill="0" autoLine="0" autoPict="0">
                <anchor moveWithCells="1">
                  <from>
                    <xdr:col>3</xdr:col>
                    <xdr:colOff>142875</xdr:colOff>
                    <xdr:row>53</xdr:row>
                    <xdr:rowOff>123825</xdr:rowOff>
                  </from>
                  <to>
                    <xdr:col>4</xdr:col>
                    <xdr:colOff>0</xdr:colOff>
                    <xdr:row>55</xdr:row>
                    <xdr:rowOff>0</xdr:rowOff>
                  </to>
                </anchor>
              </controlPr>
            </control>
          </mc:Choice>
        </mc:AlternateContent>
        <mc:AlternateContent xmlns:mc="http://schemas.openxmlformats.org/markup-compatibility/2006">
          <mc:Choice Requires="x14">
            <control shapeId="18607" r:id="rId13" name="Check Box 175">
              <controlPr defaultSize="0" autoFill="0" autoLine="0" autoPict="0">
                <anchor moveWithCells="1">
                  <from>
                    <xdr:col>3</xdr:col>
                    <xdr:colOff>142875</xdr:colOff>
                    <xdr:row>55</xdr:row>
                    <xdr:rowOff>57150</xdr:rowOff>
                  </from>
                  <to>
                    <xdr:col>4</xdr:col>
                    <xdr:colOff>0</xdr:colOff>
                    <xdr:row>56</xdr:row>
                    <xdr:rowOff>123825</xdr:rowOff>
                  </to>
                </anchor>
              </controlPr>
            </control>
          </mc:Choice>
        </mc:AlternateContent>
        <mc:AlternateContent xmlns:mc="http://schemas.openxmlformats.org/markup-compatibility/2006">
          <mc:Choice Requires="x14">
            <control shapeId="18608" r:id="rId14" name="Check Box 176">
              <controlPr defaultSize="0" autoFill="0" autoLine="0" autoPict="0">
                <anchor moveWithCells="1">
                  <from>
                    <xdr:col>3</xdr:col>
                    <xdr:colOff>142875</xdr:colOff>
                    <xdr:row>59</xdr:row>
                    <xdr:rowOff>47625</xdr:rowOff>
                  </from>
                  <to>
                    <xdr:col>4</xdr:col>
                    <xdr:colOff>0</xdr:colOff>
                    <xdr:row>60</xdr:row>
                    <xdr:rowOff>104775</xdr:rowOff>
                  </to>
                </anchor>
              </controlPr>
            </control>
          </mc:Choice>
        </mc:AlternateContent>
        <mc:AlternateContent xmlns:mc="http://schemas.openxmlformats.org/markup-compatibility/2006">
          <mc:Choice Requires="x14">
            <control shapeId="18609" r:id="rId15" name="Check Box 177">
              <controlPr defaultSize="0" autoFill="0" autoLine="0" autoPict="0">
                <anchor moveWithCells="1">
                  <from>
                    <xdr:col>3</xdr:col>
                    <xdr:colOff>142875</xdr:colOff>
                    <xdr:row>61</xdr:row>
                    <xdr:rowOff>47625</xdr:rowOff>
                  </from>
                  <to>
                    <xdr:col>4</xdr:col>
                    <xdr:colOff>0</xdr:colOff>
                    <xdr:row>62</xdr:row>
                    <xdr:rowOff>104775</xdr:rowOff>
                  </to>
                </anchor>
              </controlPr>
            </control>
          </mc:Choice>
        </mc:AlternateContent>
        <mc:AlternateContent xmlns:mc="http://schemas.openxmlformats.org/markup-compatibility/2006">
          <mc:Choice Requires="x14">
            <control shapeId="18610" r:id="rId16" name="Check Box 178">
              <controlPr defaultSize="0" autoFill="0" autoLine="0" autoPict="0">
                <anchor moveWithCells="1">
                  <from>
                    <xdr:col>3</xdr:col>
                    <xdr:colOff>142875</xdr:colOff>
                    <xdr:row>63</xdr:row>
                    <xdr:rowOff>47625</xdr:rowOff>
                  </from>
                  <to>
                    <xdr:col>4</xdr:col>
                    <xdr:colOff>0</xdr:colOff>
                    <xdr:row>64</xdr:row>
                    <xdr:rowOff>104775</xdr:rowOff>
                  </to>
                </anchor>
              </controlPr>
            </control>
          </mc:Choice>
        </mc:AlternateContent>
        <mc:AlternateContent xmlns:mc="http://schemas.openxmlformats.org/markup-compatibility/2006">
          <mc:Choice Requires="x14">
            <control shapeId="18611" r:id="rId17" name="Check Box 179">
              <controlPr defaultSize="0" autoFill="0" autoLine="0" autoPict="0">
                <anchor moveWithCells="1">
                  <from>
                    <xdr:col>3</xdr:col>
                    <xdr:colOff>142875</xdr:colOff>
                    <xdr:row>65</xdr:row>
                    <xdr:rowOff>47625</xdr:rowOff>
                  </from>
                  <to>
                    <xdr:col>4</xdr:col>
                    <xdr:colOff>0</xdr:colOff>
                    <xdr:row>66</xdr:row>
                    <xdr:rowOff>104775</xdr:rowOff>
                  </to>
                </anchor>
              </controlPr>
            </control>
          </mc:Choice>
        </mc:AlternateContent>
        <mc:AlternateContent xmlns:mc="http://schemas.openxmlformats.org/markup-compatibility/2006">
          <mc:Choice Requires="x14">
            <control shapeId="18612" r:id="rId18" name="Check Box 180">
              <controlPr defaultSize="0" autoFill="0" autoLine="0" autoPict="0">
                <anchor moveWithCells="1">
                  <from>
                    <xdr:col>3</xdr:col>
                    <xdr:colOff>142875</xdr:colOff>
                    <xdr:row>67</xdr:row>
                    <xdr:rowOff>47625</xdr:rowOff>
                  </from>
                  <to>
                    <xdr:col>4</xdr:col>
                    <xdr:colOff>0</xdr:colOff>
                    <xdr:row>68</xdr:row>
                    <xdr:rowOff>104775</xdr:rowOff>
                  </to>
                </anchor>
              </controlPr>
            </control>
          </mc:Choice>
        </mc:AlternateContent>
        <mc:AlternateContent xmlns:mc="http://schemas.openxmlformats.org/markup-compatibility/2006">
          <mc:Choice Requires="x14">
            <control shapeId="18613" r:id="rId19" name="Check Box 181">
              <controlPr defaultSize="0" autoFill="0" autoLine="0" autoPict="0">
                <anchor moveWithCells="1">
                  <from>
                    <xdr:col>3</xdr:col>
                    <xdr:colOff>142875</xdr:colOff>
                    <xdr:row>75</xdr:row>
                    <xdr:rowOff>47625</xdr:rowOff>
                  </from>
                  <to>
                    <xdr:col>4</xdr:col>
                    <xdr:colOff>0</xdr:colOff>
                    <xdr:row>76</xdr:row>
                    <xdr:rowOff>104775</xdr:rowOff>
                  </to>
                </anchor>
              </controlPr>
            </control>
          </mc:Choice>
        </mc:AlternateContent>
        <mc:AlternateContent xmlns:mc="http://schemas.openxmlformats.org/markup-compatibility/2006">
          <mc:Choice Requires="x14">
            <control shapeId="18614" r:id="rId20" name="Check Box 182">
              <controlPr defaultSize="0" autoFill="0" autoLine="0" autoPict="0">
                <anchor moveWithCells="1">
                  <from>
                    <xdr:col>3</xdr:col>
                    <xdr:colOff>142875</xdr:colOff>
                    <xdr:row>77</xdr:row>
                    <xdr:rowOff>47625</xdr:rowOff>
                  </from>
                  <to>
                    <xdr:col>4</xdr:col>
                    <xdr:colOff>0</xdr:colOff>
                    <xdr:row>78</xdr:row>
                    <xdr:rowOff>104775</xdr:rowOff>
                  </to>
                </anchor>
              </controlPr>
            </control>
          </mc:Choice>
        </mc:AlternateContent>
        <mc:AlternateContent xmlns:mc="http://schemas.openxmlformats.org/markup-compatibility/2006">
          <mc:Choice Requires="x14">
            <control shapeId="18615" r:id="rId21" name="Check Box 183">
              <controlPr defaultSize="0" autoFill="0" autoLine="0" autoPict="0">
                <anchor moveWithCells="1">
                  <from>
                    <xdr:col>3</xdr:col>
                    <xdr:colOff>142875</xdr:colOff>
                    <xdr:row>79</xdr:row>
                    <xdr:rowOff>47625</xdr:rowOff>
                  </from>
                  <to>
                    <xdr:col>4</xdr:col>
                    <xdr:colOff>0</xdr:colOff>
                    <xdr:row>80</xdr:row>
                    <xdr:rowOff>104775</xdr:rowOff>
                  </to>
                </anchor>
              </controlPr>
            </control>
          </mc:Choice>
        </mc:AlternateContent>
        <mc:AlternateContent xmlns:mc="http://schemas.openxmlformats.org/markup-compatibility/2006">
          <mc:Choice Requires="x14">
            <control shapeId="18616" r:id="rId22" name="Check Box 184">
              <controlPr defaultSize="0" autoFill="0" autoLine="0" autoPict="0">
                <anchor moveWithCells="1">
                  <from>
                    <xdr:col>3</xdr:col>
                    <xdr:colOff>142875</xdr:colOff>
                    <xdr:row>81</xdr:row>
                    <xdr:rowOff>47625</xdr:rowOff>
                  </from>
                  <to>
                    <xdr:col>4</xdr:col>
                    <xdr:colOff>0</xdr:colOff>
                    <xdr:row>82</xdr:row>
                    <xdr:rowOff>104775</xdr:rowOff>
                  </to>
                </anchor>
              </controlPr>
            </control>
          </mc:Choice>
        </mc:AlternateContent>
        <mc:AlternateContent xmlns:mc="http://schemas.openxmlformats.org/markup-compatibility/2006">
          <mc:Choice Requires="x14">
            <control shapeId="18619" r:id="rId23" name="Check Box 187">
              <controlPr defaultSize="0" autoFill="0" autoLine="0" autoPict="0">
                <anchor moveWithCells="1">
                  <from>
                    <xdr:col>3</xdr:col>
                    <xdr:colOff>142875</xdr:colOff>
                    <xdr:row>83</xdr:row>
                    <xdr:rowOff>47625</xdr:rowOff>
                  </from>
                  <to>
                    <xdr:col>4</xdr:col>
                    <xdr:colOff>0</xdr:colOff>
                    <xdr:row>84</xdr:row>
                    <xdr:rowOff>104775</xdr:rowOff>
                  </to>
                </anchor>
              </controlPr>
            </control>
          </mc:Choice>
        </mc:AlternateContent>
        <mc:AlternateContent xmlns:mc="http://schemas.openxmlformats.org/markup-compatibility/2006">
          <mc:Choice Requires="x14">
            <control shapeId="18622" r:id="rId24" name="Check Box 190">
              <controlPr defaultSize="0" autoFill="0" autoLine="0" autoPict="0">
                <anchor moveWithCells="1">
                  <from>
                    <xdr:col>3</xdr:col>
                    <xdr:colOff>142875</xdr:colOff>
                    <xdr:row>87</xdr:row>
                    <xdr:rowOff>47625</xdr:rowOff>
                  </from>
                  <to>
                    <xdr:col>4</xdr:col>
                    <xdr:colOff>0</xdr:colOff>
                    <xdr:row>88</xdr:row>
                    <xdr:rowOff>104775</xdr:rowOff>
                  </to>
                </anchor>
              </controlPr>
            </control>
          </mc:Choice>
        </mc:AlternateContent>
        <mc:AlternateContent xmlns:mc="http://schemas.openxmlformats.org/markup-compatibility/2006">
          <mc:Choice Requires="x14">
            <control shapeId="18625" r:id="rId25" name="Check Box 193">
              <controlPr defaultSize="0" autoFill="0" autoLine="0" autoPict="0">
                <anchor moveWithCells="1">
                  <from>
                    <xdr:col>3</xdr:col>
                    <xdr:colOff>142875</xdr:colOff>
                    <xdr:row>91</xdr:row>
                    <xdr:rowOff>47625</xdr:rowOff>
                  </from>
                  <to>
                    <xdr:col>4</xdr:col>
                    <xdr:colOff>0</xdr:colOff>
                    <xdr:row>92</xdr:row>
                    <xdr:rowOff>104775</xdr:rowOff>
                  </to>
                </anchor>
              </controlPr>
            </control>
          </mc:Choice>
        </mc:AlternateContent>
        <mc:AlternateContent xmlns:mc="http://schemas.openxmlformats.org/markup-compatibility/2006">
          <mc:Choice Requires="x14">
            <control shapeId="18628" r:id="rId26" name="Check Box 196">
              <controlPr defaultSize="0" autoFill="0" autoLine="0" autoPict="0">
                <anchor moveWithCells="1">
                  <from>
                    <xdr:col>3</xdr:col>
                    <xdr:colOff>142875</xdr:colOff>
                    <xdr:row>93</xdr:row>
                    <xdr:rowOff>47625</xdr:rowOff>
                  </from>
                  <to>
                    <xdr:col>4</xdr:col>
                    <xdr:colOff>0</xdr:colOff>
                    <xdr:row>94</xdr:row>
                    <xdr:rowOff>104775</xdr:rowOff>
                  </to>
                </anchor>
              </controlPr>
            </control>
          </mc:Choice>
        </mc:AlternateContent>
        <mc:AlternateContent xmlns:mc="http://schemas.openxmlformats.org/markup-compatibility/2006">
          <mc:Choice Requires="x14">
            <control shapeId="18631" r:id="rId27" name="Check Box 199">
              <controlPr defaultSize="0" autoFill="0" autoLine="0" autoPict="0">
                <anchor moveWithCells="1">
                  <from>
                    <xdr:col>3</xdr:col>
                    <xdr:colOff>142875</xdr:colOff>
                    <xdr:row>95</xdr:row>
                    <xdr:rowOff>47625</xdr:rowOff>
                  </from>
                  <to>
                    <xdr:col>4</xdr:col>
                    <xdr:colOff>0</xdr:colOff>
                    <xdr:row>96</xdr:row>
                    <xdr:rowOff>104775</xdr:rowOff>
                  </to>
                </anchor>
              </controlPr>
            </control>
          </mc:Choice>
        </mc:AlternateContent>
        <mc:AlternateContent xmlns:mc="http://schemas.openxmlformats.org/markup-compatibility/2006">
          <mc:Choice Requires="x14">
            <control shapeId="18634" r:id="rId28" name="Check Box 202">
              <controlPr defaultSize="0" autoFill="0" autoLine="0" autoPict="0">
                <anchor moveWithCells="1">
                  <from>
                    <xdr:col>3</xdr:col>
                    <xdr:colOff>142875</xdr:colOff>
                    <xdr:row>97</xdr:row>
                    <xdr:rowOff>47625</xdr:rowOff>
                  </from>
                  <to>
                    <xdr:col>4</xdr:col>
                    <xdr:colOff>0</xdr:colOff>
                    <xdr:row>98</xdr:row>
                    <xdr:rowOff>104775</xdr:rowOff>
                  </to>
                </anchor>
              </controlPr>
            </control>
          </mc:Choice>
        </mc:AlternateContent>
        <mc:AlternateContent xmlns:mc="http://schemas.openxmlformats.org/markup-compatibility/2006">
          <mc:Choice Requires="x14">
            <control shapeId="18637" r:id="rId29" name="Check Box 205">
              <controlPr defaultSize="0" autoFill="0" autoLine="0" autoPict="0">
                <anchor moveWithCells="1">
                  <from>
                    <xdr:col>3</xdr:col>
                    <xdr:colOff>142875</xdr:colOff>
                    <xdr:row>99</xdr:row>
                    <xdr:rowOff>47625</xdr:rowOff>
                  </from>
                  <to>
                    <xdr:col>4</xdr:col>
                    <xdr:colOff>0</xdr:colOff>
                    <xdr:row>100</xdr:row>
                    <xdr:rowOff>104775</xdr:rowOff>
                  </to>
                </anchor>
              </controlPr>
            </control>
          </mc:Choice>
        </mc:AlternateContent>
        <mc:AlternateContent xmlns:mc="http://schemas.openxmlformats.org/markup-compatibility/2006">
          <mc:Choice Requires="x14">
            <control shapeId="18640" r:id="rId30" name="Check Box 208">
              <controlPr defaultSize="0" autoFill="0" autoLine="0" autoPict="0">
                <anchor moveWithCells="1">
                  <from>
                    <xdr:col>3</xdr:col>
                    <xdr:colOff>142875</xdr:colOff>
                    <xdr:row>101</xdr:row>
                    <xdr:rowOff>47625</xdr:rowOff>
                  </from>
                  <to>
                    <xdr:col>4</xdr:col>
                    <xdr:colOff>0</xdr:colOff>
                    <xdr:row>102</xdr:row>
                    <xdr:rowOff>104775</xdr:rowOff>
                  </to>
                </anchor>
              </controlPr>
            </control>
          </mc:Choice>
        </mc:AlternateContent>
        <mc:AlternateContent xmlns:mc="http://schemas.openxmlformats.org/markup-compatibility/2006">
          <mc:Choice Requires="x14">
            <control shapeId="18643" r:id="rId31" name="Check Box 211">
              <controlPr defaultSize="0" autoFill="0" autoLine="0" autoPict="0">
                <anchor moveWithCells="1">
                  <from>
                    <xdr:col>3</xdr:col>
                    <xdr:colOff>142875</xdr:colOff>
                    <xdr:row>105</xdr:row>
                    <xdr:rowOff>47625</xdr:rowOff>
                  </from>
                  <to>
                    <xdr:col>4</xdr:col>
                    <xdr:colOff>0</xdr:colOff>
                    <xdr:row>106</xdr:row>
                    <xdr:rowOff>104775</xdr:rowOff>
                  </to>
                </anchor>
              </controlPr>
            </control>
          </mc:Choice>
        </mc:AlternateContent>
        <mc:AlternateContent xmlns:mc="http://schemas.openxmlformats.org/markup-compatibility/2006">
          <mc:Choice Requires="x14">
            <control shapeId="18646" r:id="rId32" name="Check Box 214">
              <controlPr defaultSize="0" autoFill="0" autoLine="0" autoPict="0">
                <anchor moveWithCells="1">
                  <from>
                    <xdr:col>3</xdr:col>
                    <xdr:colOff>142875</xdr:colOff>
                    <xdr:row>107</xdr:row>
                    <xdr:rowOff>47625</xdr:rowOff>
                  </from>
                  <to>
                    <xdr:col>4</xdr:col>
                    <xdr:colOff>0</xdr:colOff>
                    <xdr:row>108</xdr:row>
                    <xdr:rowOff>104775</xdr:rowOff>
                  </to>
                </anchor>
              </controlPr>
            </control>
          </mc:Choice>
        </mc:AlternateContent>
        <mc:AlternateContent xmlns:mc="http://schemas.openxmlformats.org/markup-compatibility/2006">
          <mc:Choice Requires="x14">
            <control shapeId="18649" r:id="rId33" name="Check Box 217">
              <controlPr defaultSize="0" autoFill="0" autoLine="0" autoPict="0">
                <anchor moveWithCells="1">
                  <from>
                    <xdr:col>3</xdr:col>
                    <xdr:colOff>142875</xdr:colOff>
                    <xdr:row>109</xdr:row>
                    <xdr:rowOff>47625</xdr:rowOff>
                  </from>
                  <to>
                    <xdr:col>4</xdr:col>
                    <xdr:colOff>0</xdr:colOff>
                    <xdr:row>110</xdr:row>
                    <xdr:rowOff>104775</xdr:rowOff>
                  </to>
                </anchor>
              </controlPr>
            </control>
          </mc:Choice>
        </mc:AlternateContent>
        <mc:AlternateContent xmlns:mc="http://schemas.openxmlformats.org/markup-compatibility/2006">
          <mc:Choice Requires="x14">
            <control shapeId="18652" r:id="rId34" name="Check Box 220">
              <controlPr defaultSize="0" autoFill="0" autoLine="0" autoPict="0">
                <anchor moveWithCells="1">
                  <from>
                    <xdr:col>3</xdr:col>
                    <xdr:colOff>142875</xdr:colOff>
                    <xdr:row>111</xdr:row>
                    <xdr:rowOff>47625</xdr:rowOff>
                  </from>
                  <to>
                    <xdr:col>4</xdr:col>
                    <xdr:colOff>0</xdr:colOff>
                    <xdr:row>112</xdr:row>
                    <xdr:rowOff>104775</xdr:rowOff>
                  </to>
                </anchor>
              </controlPr>
            </control>
          </mc:Choice>
        </mc:AlternateContent>
        <mc:AlternateContent xmlns:mc="http://schemas.openxmlformats.org/markup-compatibility/2006">
          <mc:Choice Requires="x14">
            <control shapeId="18655" r:id="rId35" name="Check Box 223">
              <controlPr defaultSize="0" autoFill="0" autoLine="0" autoPict="0">
                <anchor moveWithCells="1">
                  <from>
                    <xdr:col>3</xdr:col>
                    <xdr:colOff>142875</xdr:colOff>
                    <xdr:row>113</xdr:row>
                    <xdr:rowOff>57150</xdr:rowOff>
                  </from>
                  <to>
                    <xdr:col>4</xdr:col>
                    <xdr:colOff>0</xdr:colOff>
                    <xdr:row>114</xdr:row>
                    <xdr:rowOff>123825</xdr:rowOff>
                  </to>
                </anchor>
              </controlPr>
            </control>
          </mc:Choice>
        </mc:AlternateContent>
        <mc:AlternateContent xmlns:mc="http://schemas.openxmlformats.org/markup-compatibility/2006">
          <mc:Choice Requires="x14">
            <control shapeId="18658" r:id="rId36" name="Check Box 226">
              <controlPr defaultSize="0" autoFill="0" autoLine="0" autoPict="0">
                <anchor moveWithCells="1">
                  <from>
                    <xdr:col>3</xdr:col>
                    <xdr:colOff>142875</xdr:colOff>
                    <xdr:row>117</xdr:row>
                    <xdr:rowOff>57150</xdr:rowOff>
                  </from>
                  <to>
                    <xdr:col>4</xdr:col>
                    <xdr:colOff>0</xdr:colOff>
                    <xdr:row>118</xdr:row>
                    <xdr:rowOff>123825</xdr:rowOff>
                  </to>
                </anchor>
              </controlPr>
            </control>
          </mc:Choice>
        </mc:AlternateContent>
        <mc:AlternateContent xmlns:mc="http://schemas.openxmlformats.org/markup-compatibility/2006">
          <mc:Choice Requires="x14">
            <control shapeId="18661" r:id="rId37" name="Check Box 229">
              <controlPr defaultSize="0" autoFill="0" autoLine="0" autoPict="0">
                <anchor moveWithCells="1">
                  <from>
                    <xdr:col>3</xdr:col>
                    <xdr:colOff>142875</xdr:colOff>
                    <xdr:row>119</xdr:row>
                    <xdr:rowOff>57150</xdr:rowOff>
                  </from>
                  <to>
                    <xdr:col>4</xdr:col>
                    <xdr:colOff>0</xdr:colOff>
                    <xdr:row>120</xdr:row>
                    <xdr:rowOff>123825</xdr:rowOff>
                  </to>
                </anchor>
              </controlPr>
            </control>
          </mc:Choice>
        </mc:AlternateContent>
        <mc:AlternateContent xmlns:mc="http://schemas.openxmlformats.org/markup-compatibility/2006">
          <mc:Choice Requires="x14">
            <control shapeId="18664" r:id="rId38" name="Check Box 232">
              <controlPr defaultSize="0" autoFill="0" autoLine="0" autoPict="0">
                <anchor moveWithCells="1">
                  <from>
                    <xdr:col>3</xdr:col>
                    <xdr:colOff>142875</xdr:colOff>
                    <xdr:row>121</xdr:row>
                    <xdr:rowOff>57150</xdr:rowOff>
                  </from>
                  <to>
                    <xdr:col>4</xdr:col>
                    <xdr:colOff>0</xdr:colOff>
                    <xdr:row>122</xdr:row>
                    <xdr:rowOff>123825</xdr:rowOff>
                  </to>
                </anchor>
              </controlPr>
            </control>
          </mc:Choice>
        </mc:AlternateContent>
        <mc:AlternateContent xmlns:mc="http://schemas.openxmlformats.org/markup-compatibility/2006">
          <mc:Choice Requires="x14">
            <control shapeId="18667" r:id="rId39" name="Check Box 235">
              <controlPr defaultSize="0" autoFill="0" autoLine="0" autoPict="0">
                <anchor moveWithCells="1">
                  <from>
                    <xdr:col>3</xdr:col>
                    <xdr:colOff>142875</xdr:colOff>
                    <xdr:row>125</xdr:row>
                    <xdr:rowOff>57150</xdr:rowOff>
                  </from>
                  <to>
                    <xdr:col>4</xdr:col>
                    <xdr:colOff>0</xdr:colOff>
                    <xdr:row>126</xdr:row>
                    <xdr:rowOff>123825</xdr:rowOff>
                  </to>
                </anchor>
              </controlPr>
            </control>
          </mc:Choice>
        </mc:AlternateContent>
        <mc:AlternateContent xmlns:mc="http://schemas.openxmlformats.org/markup-compatibility/2006">
          <mc:Choice Requires="x14">
            <control shapeId="18670" r:id="rId40" name="Check Box 238">
              <controlPr defaultSize="0" autoFill="0" autoLine="0" autoPict="0">
                <anchor moveWithCells="1">
                  <from>
                    <xdr:col>3</xdr:col>
                    <xdr:colOff>142875</xdr:colOff>
                    <xdr:row>127</xdr:row>
                    <xdr:rowOff>57150</xdr:rowOff>
                  </from>
                  <to>
                    <xdr:col>4</xdr:col>
                    <xdr:colOff>0</xdr:colOff>
                    <xdr:row>128</xdr:row>
                    <xdr:rowOff>123825</xdr:rowOff>
                  </to>
                </anchor>
              </controlPr>
            </control>
          </mc:Choice>
        </mc:AlternateContent>
        <mc:AlternateContent xmlns:mc="http://schemas.openxmlformats.org/markup-compatibility/2006">
          <mc:Choice Requires="x14">
            <control shapeId="18673" r:id="rId41" name="Check Box 241">
              <controlPr defaultSize="0" autoFill="0" autoLine="0" autoPict="0">
                <anchor moveWithCells="1">
                  <from>
                    <xdr:col>3</xdr:col>
                    <xdr:colOff>142875</xdr:colOff>
                    <xdr:row>131</xdr:row>
                    <xdr:rowOff>57150</xdr:rowOff>
                  </from>
                  <to>
                    <xdr:col>4</xdr:col>
                    <xdr:colOff>0</xdr:colOff>
                    <xdr:row>132</xdr:row>
                    <xdr:rowOff>123825</xdr:rowOff>
                  </to>
                </anchor>
              </controlPr>
            </control>
          </mc:Choice>
        </mc:AlternateContent>
        <mc:AlternateContent xmlns:mc="http://schemas.openxmlformats.org/markup-compatibility/2006">
          <mc:Choice Requires="x14">
            <control shapeId="18676" r:id="rId42" name="Check Box 244">
              <controlPr defaultSize="0" autoFill="0" autoLine="0" autoPict="0">
                <anchor moveWithCells="1">
                  <from>
                    <xdr:col>3</xdr:col>
                    <xdr:colOff>142875</xdr:colOff>
                    <xdr:row>133</xdr:row>
                    <xdr:rowOff>57150</xdr:rowOff>
                  </from>
                  <to>
                    <xdr:col>4</xdr:col>
                    <xdr:colOff>0</xdr:colOff>
                    <xdr:row>134</xdr:row>
                    <xdr:rowOff>123825</xdr:rowOff>
                  </to>
                </anchor>
              </controlPr>
            </control>
          </mc:Choice>
        </mc:AlternateContent>
        <mc:AlternateContent xmlns:mc="http://schemas.openxmlformats.org/markup-compatibility/2006">
          <mc:Choice Requires="x14">
            <control shapeId="18679" r:id="rId43" name="Check Box 247">
              <controlPr defaultSize="0" autoFill="0" autoLine="0" autoPict="0">
                <anchor moveWithCells="1">
                  <from>
                    <xdr:col>3</xdr:col>
                    <xdr:colOff>142875</xdr:colOff>
                    <xdr:row>135</xdr:row>
                    <xdr:rowOff>57150</xdr:rowOff>
                  </from>
                  <to>
                    <xdr:col>4</xdr:col>
                    <xdr:colOff>0</xdr:colOff>
                    <xdr:row>136</xdr:row>
                    <xdr:rowOff>123825</xdr:rowOff>
                  </to>
                </anchor>
              </controlPr>
            </control>
          </mc:Choice>
        </mc:AlternateContent>
        <mc:AlternateContent xmlns:mc="http://schemas.openxmlformats.org/markup-compatibility/2006">
          <mc:Choice Requires="x14">
            <control shapeId="18682" r:id="rId44" name="Check Box 250">
              <controlPr defaultSize="0" autoFill="0" autoLine="0" autoPict="0">
                <anchor moveWithCells="1">
                  <from>
                    <xdr:col>3</xdr:col>
                    <xdr:colOff>142875</xdr:colOff>
                    <xdr:row>137</xdr:row>
                    <xdr:rowOff>47625</xdr:rowOff>
                  </from>
                  <to>
                    <xdr:col>4</xdr:col>
                    <xdr:colOff>0</xdr:colOff>
                    <xdr:row>138</xdr:row>
                    <xdr:rowOff>104775</xdr:rowOff>
                  </to>
                </anchor>
              </controlPr>
            </control>
          </mc:Choice>
        </mc:AlternateContent>
        <mc:AlternateContent xmlns:mc="http://schemas.openxmlformats.org/markup-compatibility/2006">
          <mc:Choice Requires="x14">
            <control shapeId="18685" r:id="rId45" name="Check Box 253">
              <controlPr defaultSize="0" autoFill="0" autoLine="0" autoPict="0">
                <anchor moveWithCells="1">
                  <from>
                    <xdr:col>3</xdr:col>
                    <xdr:colOff>142875</xdr:colOff>
                    <xdr:row>139</xdr:row>
                    <xdr:rowOff>47625</xdr:rowOff>
                  </from>
                  <to>
                    <xdr:col>4</xdr:col>
                    <xdr:colOff>0</xdr:colOff>
                    <xdr:row>140</xdr:row>
                    <xdr:rowOff>104775</xdr:rowOff>
                  </to>
                </anchor>
              </controlPr>
            </control>
          </mc:Choice>
        </mc:AlternateContent>
        <mc:AlternateContent xmlns:mc="http://schemas.openxmlformats.org/markup-compatibility/2006">
          <mc:Choice Requires="x14">
            <control shapeId="18688" r:id="rId46" name="Check Box 256">
              <controlPr defaultSize="0" autoFill="0" autoLine="0" autoPict="0">
                <anchor moveWithCells="1">
                  <from>
                    <xdr:col>3</xdr:col>
                    <xdr:colOff>142875</xdr:colOff>
                    <xdr:row>143</xdr:row>
                    <xdr:rowOff>47625</xdr:rowOff>
                  </from>
                  <to>
                    <xdr:col>4</xdr:col>
                    <xdr:colOff>0</xdr:colOff>
                    <xdr:row>144</xdr:row>
                    <xdr:rowOff>104775</xdr:rowOff>
                  </to>
                </anchor>
              </controlPr>
            </control>
          </mc:Choice>
        </mc:AlternateContent>
        <mc:AlternateContent xmlns:mc="http://schemas.openxmlformats.org/markup-compatibility/2006">
          <mc:Choice Requires="x14">
            <control shapeId="18691" r:id="rId47" name="Check Box 259">
              <controlPr defaultSize="0" autoFill="0" autoLine="0" autoPict="0">
                <anchor moveWithCells="1">
                  <from>
                    <xdr:col>3</xdr:col>
                    <xdr:colOff>142875</xdr:colOff>
                    <xdr:row>147</xdr:row>
                    <xdr:rowOff>47625</xdr:rowOff>
                  </from>
                  <to>
                    <xdr:col>4</xdr:col>
                    <xdr:colOff>0</xdr:colOff>
                    <xdr:row>148</xdr:row>
                    <xdr:rowOff>104775</xdr:rowOff>
                  </to>
                </anchor>
              </controlPr>
            </control>
          </mc:Choice>
        </mc:AlternateContent>
        <mc:AlternateContent xmlns:mc="http://schemas.openxmlformats.org/markup-compatibility/2006">
          <mc:Choice Requires="x14">
            <control shapeId="18694" r:id="rId48" name="Check Box 262">
              <controlPr defaultSize="0" autoFill="0" autoLine="0" autoPict="0">
                <anchor moveWithCells="1">
                  <from>
                    <xdr:col>3</xdr:col>
                    <xdr:colOff>142875</xdr:colOff>
                    <xdr:row>149</xdr:row>
                    <xdr:rowOff>47625</xdr:rowOff>
                  </from>
                  <to>
                    <xdr:col>4</xdr:col>
                    <xdr:colOff>0</xdr:colOff>
                    <xdr:row>150</xdr:row>
                    <xdr:rowOff>104775</xdr:rowOff>
                  </to>
                </anchor>
              </controlPr>
            </control>
          </mc:Choice>
        </mc:AlternateContent>
        <mc:AlternateContent xmlns:mc="http://schemas.openxmlformats.org/markup-compatibility/2006">
          <mc:Choice Requires="x14">
            <control shapeId="18697" r:id="rId49" name="Check Box 265">
              <controlPr defaultSize="0" autoFill="0" autoLine="0" autoPict="0">
                <anchor moveWithCells="1">
                  <from>
                    <xdr:col>3</xdr:col>
                    <xdr:colOff>142875</xdr:colOff>
                    <xdr:row>151</xdr:row>
                    <xdr:rowOff>47625</xdr:rowOff>
                  </from>
                  <to>
                    <xdr:col>4</xdr:col>
                    <xdr:colOff>0</xdr:colOff>
                    <xdr:row>152</xdr:row>
                    <xdr:rowOff>104775</xdr:rowOff>
                  </to>
                </anchor>
              </controlPr>
            </control>
          </mc:Choice>
        </mc:AlternateContent>
        <mc:AlternateContent xmlns:mc="http://schemas.openxmlformats.org/markup-compatibility/2006">
          <mc:Choice Requires="x14">
            <control shapeId="18700" r:id="rId50" name="Check Box 268">
              <controlPr defaultSize="0" autoFill="0" autoLine="0" autoPict="0">
                <anchor moveWithCells="1">
                  <from>
                    <xdr:col>3</xdr:col>
                    <xdr:colOff>142875</xdr:colOff>
                    <xdr:row>155</xdr:row>
                    <xdr:rowOff>57150</xdr:rowOff>
                  </from>
                  <to>
                    <xdr:col>4</xdr:col>
                    <xdr:colOff>0</xdr:colOff>
                    <xdr:row>156</xdr:row>
                    <xdr:rowOff>123825</xdr:rowOff>
                  </to>
                </anchor>
              </controlPr>
            </control>
          </mc:Choice>
        </mc:AlternateContent>
        <mc:AlternateContent xmlns:mc="http://schemas.openxmlformats.org/markup-compatibility/2006">
          <mc:Choice Requires="x14">
            <control shapeId="18703" r:id="rId51" name="Check Box 271">
              <controlPr defaultSize="0" autoFill="0" autoLine="0" autoPict="0">
                <anchor moveWithCells="1">
                  <from>
                    <xdr:col>3</xdr:col>
                    <xdr:colOff>142875</xdr:colOff>
                    <xdr:row>157</xdr:row>
                    <xdr:rowOff>57150</xdr:rowOff>
                  </from>
                  <to>
                    <xdr:col>4</xdr:col>
                    <xdr:colOff>0</xdr:colOff>
                    <xdr:row>158</xdr:row>
                    <xdr:rowOff>123825</xdr:rowOff>
                  </to>
                </anchor>
              </controlPr>
            </control>
          </mc:Choice>
        </mc:AlternateContent>
        <mc:AlternateContent xmlns:mc="http://schemas.openxmlformats.org/markup-compatibility/2006">
          <mc:Choice Requires="x14">
            <control shapeId="18706" r:id="rId52" name="Check Box 274">
              <controlPr defaultSize="0" autoFill="0" autoLine="0" autoPict="0">
                <anchor moveWithCells="1">
                  <from>
                    <xdr:col>3</xdr:col>
                    <xdr:colOff>142875</xdr:colOff>
                    <xdr:row>159</xdr:row>
                    <xdr:rowOff>57150</xdr:rowOff>
                  </from>
                  <to>
                    <xdr:col>4</xdr:col>
                    <xdr:colOff>0</xdr:colOff>
                    <xdr:row>160</xdr:row>
                    <xdr:rowOff>123825</xdr:rowOff>
                  </to>
                </anchor>
              </controlPr>
            </control>
          </mc:Choice>
        </mc:AlternateContent>
        <mc:AlternateContent xmlns:mc="http://schemas.openxmlformats.org/markup-compatibility/2006">
          <mc:Choice Requires="x14">
            <control shapeId="18709" r:id="rId53" name="Check Box 277">
              <controlPr defaultSize="0" autoFill="0" autoLine="0" autoPict="0">
                <anchor moveWithCells="1">
                  <from>
                    <xdr:col>3</xdr:col>
                    <xdr:colOff>142875</xdr:colOff>
                    <xdr:row>161</xdr:row>
                    <xdr:rowOff>57150</xdr:rowOff>
                  </from>
                  <to>
                    <xdr:col>4</xdr:col>
                    <xdr:colOff>0</xdr:colOff>
                    <xdr:row>162</xdr:row>
                    <xdr:rowOff>123825</xdr:rowOff>
                  </to>
                </anchor>
              </controlPr>
            </control>
          </mc:Choice>
        </mc:AlternateContent>
        <mc:AlternateContent xmlns:mc="http://schemas.openxmlformats.org/markup-compatibility/2006">
          <mc:Choice Requires="x14">
            <control shapeId="18712" r:id="rId54" name="Check Box 280">
              <controlPr defaultSize="0" autoFill="0" autoLine="0" autoPict="0">
                <anchor moveWithCells="1">
                  <from>
                    <xdr:col>3</xdr:col>
                    <xdr:colOff>142875</xdr:colOff>
                    <xdr:row>163</xdr:row>
                    <xdr:rowOff>57150</xdr:rowOff>
                  </from>
                  <to>
                    <xdr:col>4</xdr:col>
                    <xdr:colOff>0</xdr:colOff>
                    <xdr:row>164</xdr:row>
                    <xdr:rowOff>123825</xdr:rowOff>
                  </to>
                </anchor>
              </controlPr>
            </control>
          </mc:Choice>
        </mc:AlternateContent>
        <mc:AlternateContent xmlns:mc="http://schemas.openxmlformats.org/markup-compatibility/2006">
          <mc:Choice Requires="x14">
            <control shapeId="18715" r:id="rId55" name="Check Box 283">
              <controlPr defaultSize="0" autoFill="0" autoLine="0" autoPict="0">
                <anchor moveWithCells="1">
                  <from>
                    <xdr:col>3</xdr:col>
                    <xdr:colOff>142875</xdr:colOff>
                    <xdr:row>165</xdr:row>
                    <xdr:rowOff>57150</xdr:rowOff>
                  </from>
                  <to>
                    <xdr:col>4</xdr:col>
                    <xdr:colOff>0</xdr:colOff>
                    <xdr:row>166</xdr:row>
                    <xdr:rowOff>123825</xdr:rowOff>
                  </to>
                </anchor>
              </controlPr>
            </control>
          </mc:Choice>
        </mc:AlternateContent>
        <mc:AlternateContent xmlns:mc="http://schemas.openxmlformats.org/markup-compatibility/2006">
          <mc:Choice Requires="x14">
            <control shapeId="18737" r:id="rId56" name="Check Box 305">
              <controlPr defaultSize="0" autoFill="0" autoLine="0" autoPict="0">
                <anchor moveWithCells="1">
                  <from>
                    <xdr:col>3</xdr:col>
                    <xdr:colOff>142875</xdr:colOff>
                    <xdr:row>15</xdr:row>
                    <xdr:rowOff>123825</xdr:rowOff>
                  </from>
                  <to>
                    <xdr:col>4</xdr:col>
                    <xdr:colOff>0</xdr:colOff>
                    <xdr:row>17</xdr:row>
                    <xdr:rowOff>28575</xdr:rowOff>
                  </to>
                </anchor>
              </controlPr>
            </control>
          </mc:Choice>
        </mc:AlternateContent>
        <mc:AlternateContent xmlns:mc="http://schemas.openxmlformats.org/markup-compatibility/2006">
          <mc:Choice Requires="x14">
            <control shapeId="18828" r:id="rId57" name="Check Box 396">
              <controlPr defaultSize="0" autoFill="0" autoLine="0" autoPict="0">
                <anchor moveWithCells="1">
                  <from>
                    <xdr:col>3</xdr:col>
                    <xdr:colOff>142875</xdr:colOff>
                    <xdr:row>329</xdr:row>
                    <xdr:rowOff>133350</xdr:rowOff>
                  </from>
                  <to>
                    <xdr:col>4</xdr:col>
                    <xdr:colOff>0</xdr:colOff>
                    <xdr:row>331</xdr:row>
                    <xdr:rowOff>28575</xdr:rowOff>
                  </to>
                </anchor>
              </controlPr>
            </control>
          </mc:Choice>
        </mc:AlternateContent>
        <mc:AlternateContent xmlns:mc="http://schemas.openxmlformats.org/markup-compatibility/2006">
          <mc:Choice Requires="x14">
            <control shapeId="18829" r:id="rId58" name="Check Box 397">
              <controlPr defaultSize="0" autoFill="0" autoLine="0" autoPict="0">
                <anchor moveWithCells="1">
                  <from>
                    <xdr:col>3</xdr:col>
                    <xdr:colOff>142875</xdr:colOff>
                    <xdr:row>331</xdr:row>
                    <xdr:rowOff>123825</xdr:rowOff>
                  </from>
                  <to>
                    <xdr:col>4</xdr:col>
                    <xdr:colOff>0</xdr:colOff>
                    <xdr:row>333</xdr:row>
                    <xdr:rowOff>28575</xdr:rowOff>
                  </to>
                </anchor>
              </controlPr>
            </control>
          </mc:Choice>
        </mc:AlternateContent>
        <mc:AlternateContent xmlns:mc="http://schemas.openxmlformats.org/markup-compatibility/2006">
          <mc:Choice Requires="x14">
            <control shapeId="18830" r:id="rId59" name="Check Box 398">
              <controlPr defaultSize="0" autoFill="0" autoLine="0" autoPict="0">
                <anchor moveWithCells="1">
                  <from>
                    <xdr:col>3</xdr:col>
                    <xdr:colOff>142875</xdr:colOff>
                    <xdr:row>334</xdr:row>
                    <xdr:rowOff>133350</xdr:rowOff>
                  </from>
                  <to>
                    <xdr:col>4</xdr:col>
                    <xdr:colOff>0</xdr:colOff>
                    <xdr:row>336</xdr:row>
                    <xdr:rowOff>28575</xdr:rowOff>
                  </to>
                </anchor>
              </controlPr>
            </control>
          </mc:Choice>
        </mc:AlternateContent>
        <mc:AlternateContent xmlns:mc="http://schemas.openxmlformats.org/markup-compatibility/2006">
          <mc:Choice Requires="x14">
            <control shapeId="18831" r:id="rId60" name="Check Box 399">
              <controlPr defaultSize="0" autoFill="0" autoLine="0" autoPict="0">
                <anchor moveWithCells="1">
                  <from>
                    <xdr:col>3</xdr:col>
                    <xdr:colOff>142875</xdr:colOff>
                    <xdr:row>390</xdr:row>
                    <xdr:rowOff>123825</xdr:rowOff>
                  </from>
                  <to>
                    <xdr:col>4</xdr:col>
                    <xdr:colOff>0</xdr:colOff>
                    <xdr:row>392</xdr:row>
                    <xdr:rowOff>28575</xdr:rowOff>
                  </to>
                </anchor>
              </controlPr>
            </control>
          </mc:Choice>
        </mc:AlternateContent>
        <mc:AlternateContent xmlns:mc="http://schemas.openxmlformats.org/markup-compatibility/2006">
          <mc:Choice Requires="x14">
            <control shapeId="18832" r:id="rId61" name="Check Box 400">
              <controlPr defaultSize="0" autoFill="0" autoLine="0" autoPict="0">
                <anchor moveWithCells="1">
                  <from>
                    <xdr:col>3</xdr:col>
                    <xdr:colOff>142875</xdr:colOff>
                    <xdr:row>391</xdr:row>
                    <xdr:rowOff>133350</xdr:rowOff>
                  </from>
                  <to>
                    <xdr:col>4</xdr:col>
                    <xdr:colOff>0</xdr:colOff>
                    <xdr:row>393</xdr:row>
                    <xdr:rowOff>28575</xdr:rowOff>
                  </to>
                </anchor>
              </controlPr>
            </control>
          </mc:Choice>
        </mc:AlternateContent>
        <mc:AlternateContent xmlns:mc="http://schemas.openxmlformats.org/markup-compatibility/2006">
          <mc:Choice Requires="x14">
            <control shapeId="18833" r:id="rId62" name="Check Box 401">
              <controlPr defaultSize="0" autoFill="0" autoLine="0" autoPict="0">
                <anchor moveWithCells="1">
                  <from>
                    <xdr:col>3</xdr:col>
                    <xdr:colOff>142875</xdr:colOff>
                    <xdr:row>393</xdr:row>
                    <xdr:rowOff>123825</xdr:rowOff>
                  </from>
                  <to>
                    <xdr:col>4</xdr:col>
                    <xdr:colOff>0</xdr:colOff>
                    <xdr:row>395</xdr:row>
                    <xdr:rowOff>28575</xdr:rowOff>
                  </to>
                </anchor>
              </controlPr>
            </control>
          </mc:Choice>
        </mc:AlternateContent>
        <mc:AlternateContent xmlns:mc="http://schemas.openxmlformats.org/markup-compatibility/2006">
          <mc:Choice Requires="x14">
            <control shapeId="18913" r:id="rId63" name="Check Box 481">
              <controlPr defaultSize="0" autoFill="0" autoLine="0" autoPict="0">
                <anchor moveWithCells="1">
                  <from>
                    <xdr:col>1</xdr:col>
                    <xdr:colOff>1314450</xdr:colOff>
                    <xdr:row>80</xdr:row>
                    <xdr:rowOff>133350</xdr:rowOff>
                  </from>
                  <to>
                    <xdr:col>1</xdr:col>
                    <xdr:colOff>1619250</xdr:colOff>
                    <xdr:row>82</xdr:row>
                    <xdr:rowOff>28575</xdr:rowOff>
                  </to>
                </anchor>
              </controlPr>
            </control>
          </mc:Choice>
        </mc:AlternateContent>
        <mc:AlternateContent xmlns:mc="http://schemas.openxmlformats.org/markup-compatibility/2006">
          <mc:Choice Requires="x14">
            <control shapeId="18954" r:id="rId64" name="Check Box 522">
              <controlPr defaultSize="0" autoFill="0" autoLine="0" autoPict="0">
                <anchor moveWithCells="1">
                  <from>
                    <xdr:col>3</xdr:col>
                    <xdr:colOff>142875</xdr:colOff>
                    <xdr:row>169</xdr:row>
                    <xdr:rowOff>123825</xdr:rowOff>
                  </from>
                  <to>
                    <xdr:col>4</xdr:col>
                    <xdr:colOff>0</xdr:colOff>
                    <xdr:row>171</xdr:row>
                    <xdr:rowOff>28575</xdr:rowOff>
                  </to>
                </anchor>
              </controlPr>
            </control>
          </mc:Choice>
        </mc:AlternateContent>
        <mc:AlternateContent xmlns:mc="http://schemas.openxmlformats.org/markup-compatibility/2006">
          <mc:Choice Requires="x14">
            <control shapeId="18962" r:id="rId65" name="Check Box 530">
              <controlPr defaultSize="0" autoFill="0" autoLine="0" autoPict="0">
                <anchor moveWithCells="1">
                  <from>
                    <xdr:col>3</xdr:col>
                    <xdr:colOff>142875</xdr:colOff>
                    <xdr:row>123</xdr:row>
                    <xdr:rowOff>47625</xdr:rowOff>
                  </from>
                  <to>
                    <xdr:col>4</xdr:col>
                    <xdr:colOff>0</xdr:colOff>
                    <xdr:row>124</xdr:row>
                    <xdr:rowOff>104775</xdr:rowOff>
                  </to>
                </anchor>
              </controlPr>
            </control>
          </mc:Choice>
        </mc:AlternateContent>
        <mc:AlternateContent xmlns:mc="http://schemas.openxmlformats.org/markup-compatibility/2006">
          <mc:Choice Requires="x14">
            <control shapeId="18963" r:id="rId66" name="Check Box 531">
              <controlPr defaultSize="0" autoFill="0" autoLine="0" autoPict="0">
                <anchor moveWithCells="1">
                  <from>
                    <xdr:col>3</xdr:col>
                    <xdr:colOff>142875</xdr:colOff>
                    <xdr:row>145</xdr:row>
                    <xdr:rowOff>47625</xdr:rowOff>
                  </from>
                  <to>
                    <xdr:col>4</xdr:col>
                    <xdr:colOff>0</xdr:colOff>
                    <xdr:row>146</xdr:row>
                    <xdr:rowOff>104775</xdr:rowOff>
                  </to>
                </anchor>
              </controlPr>
            </control>
          </mc:Choice>
        </mc:AlternateContent>
        <mc:AlternateContent xmlns:mc="http://schemas.openxmlformats.org/markup-compatibility/2006">
          <mc:Choice Requires="x14">
            <control shapeId="18964" r:id="rId67" name="Check Box 532">
              <controlPr defaultSize="0" autoFill="0" autoLine="0" autoPict="0">
                <anchor moveWithCells="1">
                  <from>
                    <xdr:col>3</xdr:col>
                    <xdr:colOff>142875</xdr:colOff>
                    <xdr:row>39</xdr:row>
                    <xdr:rowOff>47625</xdr:rowOff>
                  </from>
                  <to>
                    <xdr:col>4</xdr:col>
                    <xdr:colOff>0</xdr:colOff>
                    <xdr:row>40</xdr:row>
                    <xdr:rowOff>104775</xdr:rowOff>
                  </to>
                </anchor>
              </controlPr>
            </control>
          </mc:Choice>
        </mc:AlternateContent>
        <mc:AlternateContent xmlns:mc="http://schemas.openxmlformats.org/markup-compatibility/2006">
          <mc:Choice Requires="x14">
            <control shapeId="18965" r:id="rId68" name="Check Box 533">
              <controlPr defaultSize="0" autoFill="0" autoLine="0" autoPict="0">
                <anchor moveWithCells="1">
                  <from>
                    <xdr:col>3</xdr:col>
                    <xdr:colOff>142875</xdr:colOff>
                    <xdr:row>41</xdr:row>
                    <xdr:rowOff>47625</xdr:rowOff>
                  </from>
                  <to>
                    <xdr:col>4</xdr:col>
                    <xdr:colOff>0</xdr:colOff>
                    <xdr:row>42</xdr:row>
                    <xdr:rowOff>104775</xdr:rowOff>
                  </to>
                </anchor>
              </controlPr>
            </control>
          </mc:Choice>
        </mc:AlternateContent>
        <mc:AlternateContent xmlns:mc="http://schemas.openxmlformats.org/markup-compatibility/2006">
          <mc:Choice Requires="x14">
            <control shapeId="18966" r:id="rId69" name="Check Box 534">
              <controlPr defaultSize="0" autoFill="0" autoLine="0" autoPict="0">
                <anchor moveWithCells="1">
                  <from>
                    <xdr:col>3</xdr:col>
                    <xdr:colOff>142875</xdr:colOff>
                    <xdr:row>43</xdr:row>
                    <xdr:rowOff>38100</xdr:rowOff>
                  </from>
                  <to>
                    <xdr:col>4</xdr:col>
                    <xdr:colOff>0</xdr:colOff>
                    <xdr:row>44</xdr:row>
                    <xdr:rowOff>95250</xdr:rowOff>
                  </to>
                </anchor>
              </controlPr>
            </control>
          </mc:Choice>
        </mc:AlternateContent>
        <mc:AlternateContent xmlns:mc="http://schemas.openxmlformats.org/markup-compatibility/2006">
          <mc:Choice Requires="x14">
            <control shapeId="18967" r:id="rId70" name="Check Box 535">
              <controlPr defaultSize="0" autoFill="0" autoLine="0" autoPict="0">
                <anchor moveWithCells="1">
                  <from>
                    <xdr:col>3</xdr:col>
                    <xdr:colOff>142875</xdr:colOff>
                    <xdr:row>57</xdr:row>
                    <xdr:rowOff>47625</xdr:rowOff>
                  </from>
                  <to>
                    <xdr:col>4</xdr:col>
                    <xdr:colOff>0</xdr:colOff>
                    <xdr:row>58</xdr:row>
                    <xdr:rowOff>104775</xdr:rowOff>
                  </to>
                </anchor>
              </controlPr>
            </control>
          </mc:Choice>
        </mc:AlternateContent>
        <mc:AlternateContent xmlns:mc="http://schemas.openxmlformats.org/markup-compatibility/2006">
          <mc:Choice Requires="x14">
            <control shapeId="18968" r:id="rId71" name="Check Box 536">
              <controlPr defaultSize="0" autoFill="0" autoLine="0" autoPict="0">
                <anchor moveWithCells="1">
                  <from>
                    <xdr:col>3</xdr:col>
                    <xdr:colOff>142875</xdr:colOff>
                    <xdr:row>69</xdr:row>
                    <xdr:rowOff>47625</xdr:rowOff>
                  </from>
                  <to>
                    <xdr:col>4</xdr:col>
                    <xdr:colOff>0</xdr:colOff>
                    <xdr:row>70</xdr:row>
                    <xdr:rowOff>104775</xdr:rowOff>
                  </to>
                </anchor>
              </controlPr>
            </control>
          </mc:Choice>
        </mc:AlternateContent>
        <mc:AlternateContent xmlns:mc="http://schemas.openxmlformats.org/markup-compatibility/2006">
          <mc:Choice Requires="x14">
            <control shapeId="18969" r:id="rId72" name="Check Box 537">
              <controlPr defaultSize="0" autoFill="0" autoLine="0" autoPict="0">
                <anchor moveWithCells="1">
                  <from>
                    <xdr:col>3</xdr:col>
                    <xdr:colOff>142875</xdr:colOff>
                    <xdr:row>71</xdr:row>
                    <xdr:rowOff>47625</xdr:rowOff>
                  </from>
                  <to>
                    <xdr:col>4</xdr:col>
                    <xdr:colOff>0</xdr:colOff>
                    <xdr:row>72</xdr:row>
                    <xdr:rowOff>104775</xdr:rowOff>
                  </to>
                </anchor>
              </controlPr>
            </control>
          </mc:Choice>
        </mc:AlternateContent>
        <mc:AlternateContent xmlns:mc="http://schemas.openxmlformats.org/markup-compatibility/2006">
          <mc:Choice Requires="x14">
            <control shapeId="18970" r:id="rId73" name="Check Box 538">
              <controlPr defaultSize="0" autoFill="0" autoLine="0" autoPict="0">
                <anchor moveWithCells="1">
                  <from>
                    <xdr:col>3</xdr:col>
                    <xdr:colOff>142875</xdr:colOff>
                    <xdr:row>73</xdr:row>
                    <xdr:rowOff>47625</xdr:rowOff>
                  </from>
                  <to>
                    <xdr:col>4</xdr:col>
                    <xdr:colOff>0</xdr:colOff>
                    <xdr:row>74</xdr:row>
                    <xdr:rowOff>104775</xdr:rowOff>
                  </to>
                </anchor>
              </controlPr>
            </control>
          </mc:Choice>
        </mc:AlternateContent>
        <mc:AlternateContent xmlns:mc="http://schemas.openxmlformats.org/markup-compatibility/2006">
          <mc:Choice Requires="x14">
            <control shapeId="18971" r:id="rId74" name="Check Box 539">
              <controlPr defaultSize="0" autoFill="0" autoLine="0" autoPict="0">
                <anchor moveWithCells="1">
                  <from>
                    <xdr:col>3</xdr:col>
                    <xdr:colOff>142875</xdr:colOff>
                    <xdr:row>85</xdr:row>
                    <xdr:rowOff>47625</xdr:rowOff>
                  </from>
                  <to>
                    <xdr:col>4</xdr:col>
                    <xdr:colOff>0</xdr:colOff>
                    <xdr:row>86</xdr:row>
                    <xdr:rowOff>104775</xdr:rowOff>
                  </to>
                </anchor>
              </controlPr>
            </control>
          </mc:Choice>
        </mc:AlternateContent>
        <mc:AlternateContent xmlns:mc="http://schemas.openxmlformats.org/markup-compatibility/2006">
          <mc:Choice Requires="x14">
            <control shapeId="18972" r:id="rId75" name="Check Box 540">
              <controlPr defaultSize="0" autoFill="0" autoLine="0" autoPict="0">
                <anchor moveWithCells="1">
                  <from>
                    <xdr:col>3</xdr:col>
                    <xdr:colOff>142875</xdr:colOff>
                    <xdr:row>89</xdr:row>
                    <xdr:rowOff>47625</xdr:rowOff>
                  </from>
                  <to>
                    <xdr:col>4</xdr:col>
                    <xdr:colOff>0</xdr:colOff>
                    <xdr:row>90</xdr:row>
                    <xdr:rowOff>104775</xdr:rowOff>
                  </to>
                </anchor>
              </controlPr>
            </control>
          </mc:Choice>
        </mc:AlternateContent>
        <mc:AlternateContent xmlns:mc="http://schemas.openxmlformats.org/markup-compatibility/2006">
          <mc:Choice Requires="x14">
            <control shapeId="18973" r:id="rId76" name="Check Box 541">
              <controlPr defaultSize="0" autoFill="0" autoLine="0" autoPict="0">
                <anchor moveWithCells="1">
                  <from>
                    <xdr:col>3</xdr:col>
                    <xdr:colOff>142875</xdr:colOff>
                    <xdr:row>103</xdr:row>
                    <xdr:rowOff>47625</xdr:rowOff>
                  </from>
                  <to>
                    <xdr:col>4</xdr:col>
                    <xdr:colOff>0</xdr:colOff>
                    <xdr:row>104</xdr:row>
                    <xdr:rowOff>104775</xdr:rowOff>
                  </to>
                </anchor>
              </controlPr>
            </control>
          </mc:Choice>
        </mc:AlternateContent>
        <mc:AlternateContent xmlns:mc="http://schemas.openxmlformats.org/markup-compatibility/2006">
          <mc:Choice Requires="x14">
            <control shapeId="18974" r:id="rId77" name="Check Box 542">
              <controlPr defaultSize="0" autoFill="0" autoLine="0" autoPict="0">
                <anchor moveWithCells="1">
                  <from>
                    <xdr:col>3</xdr:col>
                    <xdr:colOff>142875</xdr:colOff>
                    <xdr:row>115</xdr:row>
                    <xdr:rowOff>47625</xdr:rowOff>
                  </from>
                  <to>
                    <xdr:col>4</xdr:col>
                    <xdr:colOff>0</xdr:colOff>
                    <xdr:row>116</xdr:row>
                    <xdr:rowOff>104775</xdr:rowOff>
                  </to>
                </anchor>
              </controlPr>
            </control>
          </mc:Choice>
        </mc:AlternateContent>
        <mc:AlternateContent xmlns:mc="http://schemas.openxmlformats.org/markup-compatibility/2006">
          <mc:Choice Requires="x14">
            <control shapeId="18975" r:id="rId78" name="Check Box 543">
              <controlPr defaultSize="0" autoFill="0" autoLine="0" autoPict="0">
                <anchor moveWithCells="1">
                  <from>
                    <xdr:col>3</xdr:col>
                    <xdr:colOff>142875</xdr:colOff>
                    <xdr:row>129</xdr:row>
                    <xdr:rowOff>47625</xdr:rowOff>
                  </from>
                  <to>
                    <xdr:col>4</xdr:col>
                    <xdr:colOff>0</xdr:colOff>
                    <xdr:row>130</xdr:row>
                    <xdr:rowOff>104775</xdr:rowOff>
                  </to>
                </anchor>
              </controlPr>
            </control>
          </mc:Choice>
        </mc:AlternateContent>
        <mc:AlternateContent xmlns:mc="http://schemas.openxmlformats.org/markup-compatibility/2006">
          <mc:Choice Requires="x14">
            <control shapeId="18976" r:id="rId79" name="Check Box 544">
              <controlPr defaultSize="0" autoFill="0" autoLine="0" autoPict="0">
                <anchor moveWithCells="1">
                  <from>
                    <xdr:col>3</xdr:col>
                    <xdr:colOff>142875</xdr:colOff>
                    <xdr:row>141</xdr:row>
                    <xdr:rowOff>47625</xdr:rowOff>
                  </from>
                  <to>
                    <xdr:col>4</xdr:col>
                    <xdr:colOff>0</xdr:colOff>
                    <xdr:row>142</xdr:row>
                    <xdr:rowOff>104775</xdr:rowOff>
                  </to>
                </anchor>
              </controlPr>
            </control>
          </mc:Choice>
        </mc:AlternateContent>
        <mc:AlternateContent xmlns:mc="http://schemas.openxmlformats.org/markup-compatibility/2006">
          <mc:Choice Requires="x14">
            <control shapeId="18977" r:id="rId80" name="Check Box 545">
              <controlPr defaultSize="0" autoFill="0" autoLine="0" autoPict="0">
                <anchor moveWithCells="1">
                  <from>
                    <xdr:col>3</xdr:col>
                    <xdr:colOff>142875</xdr:colOff>
                    <xdr:row>153</xdr:row>
                    <xdr:rowOff>47625</xdr:rowOff>
                  </from>
                  <to>
                    <xdr:col>4</xdr:col>
                    <xdr:colOff>0</xdr:colOff>
                    <xdr:row>154</xdr:row>
                    <xdr:rowOff>104775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46" id="{2119CF1D-2E4A-4C1D-9EA8-4C51B9D676D2}">
            <xm:f>AND(Stammblatt!$I$8=TRUE,$AY$82=FALSE)</xm:f>
            <x14:dxf>
              <font>
                <color rgb="FFC00000"/>
              </font>
              <fill>
                <patternFill>
                  <bgColor rgb="FFFFC7CE"/>
                </patternFill>
              </fill>
            </x14:dxf>
          </x14:cfRule>
          <xm:sqref>F82:F83</xm:sqref>
        </x14:conditionalFormatting>
        <x14:conditionalFormatting xmlns:xm="http://schemas.microsoft.com/office/excel/2006/main">
          <x14:cfRule type="cellIs" priority="1331" operator="greaterThan" id="{F24DDC7E-F562-4D89-8D77-4D458FC9F7BA}">
            <xm:f>Stammblatt!$B$26*17</xm:f>
            <x14:dxf>
              <fill>
                <patternFill>
                  <bgColor rgb="FFFF0000"/>
                </patternFill>
              </fill>
            </x14:dxf>
          </x14:cfRule>
          <xm:sqref>F435</xm:sqref>
        </x14:conditionalFormatting>
        <x14:conditionalFormatting xmlns:xm="http://schemas.microsoft.com/office/excel/2006/main">
          <x14:cfRule type="cellIs" priority="1330" operator="greaterThan" id="{67369653-02C1-4679-90CD-8755E4DF9563}">
            <xm:f>Stammblatt!$B$26*50</xm:f>
            <x14:dxf>
              <fill>
                <patternFill>
                  <bgColor rgb="FFFF0000"/>
                </patternFill>
              </fill>
            </x14:dxf>
          </x14:cfRule>
          <xm:sqref>F436</xm:sqref>
        </x14:conditionalFormatting>
      </x14:conditionalFormattings>
    </ext>
    <ext xmlns:x14="http://schemas.microsoft.com/office/spreadsheetml/2009/9/main" uri="{CCE6A557-97BC-4b89-ADB6-D9C93CAAB3DF}">
      <x14:dataValidations xmlns:xm="http://schemas.microsoft.com/office/excel/2006/main" xWindow="703" yWindow="503" count="3">
        <x14:dataValidation type="whole" allowBlank="1" showInputMessage="1" showErrorMessage="1" xr:uid="{54C5C661-AB33-4312-AA99-423108C136D9}">
          <x14:formula1>
            <xm:f>0</xm:f>
          </x14:formula1>
          <x14:formula2>
            <xm:f>IF(Stammblatt!J10=TRUE,1000)</xm:f>
          </x14:formula2>
          <xm:sqref>E391</xm:sqref>
        </x14:dataValidation>
        <x14:dataValidation type="whole" allowBlank="1" showInputMessage="1" showErrorMessage="1" xr:uid="{88A65B3C-7F3C-4A64-A4D8-9C253F72056E}">
          <x14:formula1>
            <xm:f>0</xm:f>
          </x14:formula1>
          <x14:formula2>
            <xm:f>IF(Stammblatt!J10=TRUE,1000)</xm:f>
          </x14:formula2>
          <xm:sqref>E392</xm:sqref>
        </x14:dataValidation>
        <x14:dataValidation type="whole" allowBlank="1" showInputMessage="1" showErrorMessage="1" xr:uid="{F717C923-45A0-4EA6-804C-B3F818A02C21}">
          <x14:formula1>
            <xm:f>0</xm:f>
          </x14:formula1>
          <x14:formula2>
            <xm:f>IF(Stammblatt!J10=TRUE,1000)</xm:f>
          </x14:formula2>
          <xm:sqref>E393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7">
    <tabColor rgb="FFFFFF00"/>
    <pageSetUpPr fitToPage="1"/>
  </sheetPr>
  <dimension ref="A1:AP168"/>
  <sheetViews>
    <sheetView zoomScale="70" zoomScaleNormal="70" workbookViewId="0">
      <pane ySplit="10" topLeftCell="A23" activePane="bottomLeft" state="frozen"/>
      <selection pane="bottomLeft" activeCell="A12" sqref="A12:A75"/>
    </sheetView>
  </sheetViews>
  <sheetFormatPr baseColWidth="10" defaultColWidth="11" defaultRowHeight="15" x14ac:dyDescent="0.2"/>
  <cols>
    <col min="1" max="1" width="49.125" style="93" customWidth="1"/>
    <col min="2" max="12" width="14.125" style="93" customWidth="1"/>
    <col min="13" max="13" width="5.25" style="689" customWidth="1"/>
    <col min="14" max="14" width="49.625" style="93" hidden="1" customWidth="1"/>
    <col min="15" max="15" width="9.375" style="93" hidden="1" customWidth="1"/>
    <col min="16" max="16" width="10.375" style="93" hidden="1" customWidth="1"/>
    <col min="17" max="17" width="6.75" style="93" hidden="1" customWidth="1"/>
    <col min="18" max="18" width="11" style="689"/>
    <col min="19" max="22" width="11" style="93"/>
    <col min="23" max="25" width="11" style="93" customWidth="1"/>
    <col min="26" max="16384" width="11" style="93"/>
  </cols>
  <sheetData>
    <row r="1" spans="1:42" s="92" customFormat="1" ht="19.5" x14ac:dyDescent="0.2">
      <c r="A1" s="1450" t="s">
        <v>560</v>
      </c>
      <c r="B1" s="1450"/>
      <c r="C1" s="1450"/>
      <c r="D1" s="1450"/>
      <c r="E1" s="1450"/>
      <c r="F1" s="1450"/>
      <c r="G1" s="1450"/>
      <c r="H1" s="1450"/>
      <c r="I1" s="1450"/>
      <c r="J1" s="1450"/>
      <c r="K1" s="1450"/>
      <c r="L1" s="1450"/>
      <c r="M1" s="693"/>
      <c r="N1" s="399"/>
      <c r="O1" s="399"/>
      <c r="P1" s="399"/>
      <c r="Q1" s="399"/>
      <c r="R1" s="688"/>
      <c r="S1" s="399"/>
      <c r="T1" s="399"/>
      <c r="U1" s="399"/>
      <c r="V1" s="399"/>
      <c r="W1" s="399"/>
      <c r="X1" s="399"/>
      <c r="Y1" s="399"/>
      <c r="Z1" s="399"/>
      <c r="AA1" s="399"/>
      <c r="AB1" s="399"/>
      <c r="AC1" s="399"/>
      <c r="AD1" s="399"/>
      <c r="AE1" s="399"/>
      <c r="AF1" s="399"/>
      <c r="AG1" s="399"/>
      <c r="AH1" s="399"/>
      <c r="AI1" s="399"/>
      <c r="AJ1" s="399"/>
      <c r="AK1" s="399"/>
      <c r="AL1" s="399"/>
      <c r="AM1" s="399"/>
      <c r="AN1" s="399"/>
      <c r="AO1" s="399"/>
      <c r="AP1" s="399"/>
    </row>
    <row r="2" spans="1:42" s="92" customFormat="1" ht="18" x14ac:dyDescent="0.2">
      <c r="A2" s="1451" t="s">
        <v>1205</v>
      </c>
      <c r="B2" s="1451"/>
      <c r="C2" s="1451"/>
      <c r="D2" s="1451"/>
      <c r="E2" s="1451"/>
      <c r="F2" s="1451"/>
      <c r="G2" s="1451"/>
      <c r="H2" s="1451"/>
      <c r="I2" s="1451"/>
      <c r="J2" s="1451"/>
      <c r="K2" s="1451"/>
      <c r="L2" s="1451"/>
      <c r="M2" s="693"/>
      <c r="N2" s="399"/>
      <c r="O2" s="399"/>
      <c r="P2" s="399"/>
      <c r="Q2" s="399"/>
      <c r="R2" s="688"/>
      <c r="S2" s="399"/>
      <c r="T2" s="399"/>
      <c r="U2" s="399"/>
      <c r="V2" s="399"/>
      <c r="W2" s="399"/>
      <c r="X2" s="399"/>
      <c r="Y2" s="399"/>
      <c r="Z2" s="399"/>
      <c r="AA2" s="399"/>
      <c r="AB2" s="399"/>
      <c r="AC2" s="399"/>
      <c r="AD2" s="399"/>
      <c r="AE2" s="399"/>
      <c r="AF2" s="399"/>
      <c r="AG2" s="399"/>
      <c r="AH2" s="399"/>
      <c r="AI2" s="399"/>
      <c r="AJ2" s="399"/>
      <c r="AK2" s="399"/>
      <c r="AL2" s="399"/>
      <c r="AM2" s="399"/>
      <c r="AN2" s="399"/>
      <c r="AO2" s="399"/>
      <c r="AP2" s="399"/>
    </row>
    <row r="3" spans="1:42" x14ac:dyDescent="0.2">
      <c r="A3" s="1452"/>
      <c r="B3" s="1452"/>
      <c r="C3" s="1452"/>
      <c r="D3" s="1452"/>
      <c r="E3" s="1452"/>
      <c r="F3" s="1452"/>
      <c r="G3" s="1452"/>
      <c r="H3" s="1452"/>
      <c r="I3" s="1452"/>
      <c r="J3" s="1452"/>
      <c r="K3" s="1452"/>
      <c r="L3" s="1452"/>
      <c r="M3" s="693"/>
      <c r="N3" s="400"/>
      <c r="O3" s="400"/>
      <c r="P3" s="400"/>
      <c r="Q3" s="400"/>
      <c r="R3" s="688"/>
      <c r="S3" s="400"/>
      <c r="T3" s="400"/>
      <c r="U3" s="400"/>
      <c r="V3" s="400"/>
      <c r="W3" s="400"/>
      <c r="X3" s="400"/>
      <c r="Y3" s="400"/>
      <c r="Z3" s="400"/>
      <c r="AA3" s="400"/>
      <c r="AB3" s="400"/>
      <c r="AC3" s="400"/>
      <c r="AD3" s="400"/>
      <c r="AE3" s="400"/>
      <c r="AF3" s="400"/>
      <c r="AG3" s="400"/>
      <c r="AH3" s="400"/>
      <c r="AI3" s="400"/>
      <c r="AJ3" s="400"/>
      <c r="AK3" s="400"/>
      <c r="AL3" s="400"/>
      <c r="AM3" s="400"/>
      <c r="AN3" s="400"/>
      <c r="AO3" s="400"/>
      <c r="AP3" s="400"/>
    </row>
    <row r="4" spans="1:42" ht="15.75" thickBot="1" x14ac:dyDescent="0.25">
      <c r="A4" s="1453"/>
      <c r="B4" s="1453"/>
      <c r="C4" s="1453"/>
      <c r="D4" s="1453"/>
      <c r="E4" s="1453"/>
      <c r="F4" s="1453"/>
      <c r="G4" s="1453"/>
      <c r="H4" s="1453"/>
      <c r="I4" s="1453"/>
      <c r="J4" s="1453"/>
      <c r="K4" s="1453"/>
      <c r="L4" s="1453"/>
      <c r="M4" s="693"/>
      <c r="N4" s="400"/>
      <c r="O4" s="400"/>
      <c r="P4" s="400"/>
      <c r="Q4" s="400"/>
      <c r="R4" s="688"/>
      <c r="S4" s="400"/>
      <c r="T4" s="400"/>
      <c r="U4" s="400"/>
      <c r="V4" s="400"/>
      <c r="W4" s="400"/>
      <c r="X4" s="400"/>
      <c r="Y4" s="400"/>
      <c r="Z4" s="400"/>
      <c r="AA4" s="400"/>
      <c r="AB4" s="400"/>
      <c r="AC4" s="400"/>
      <c r="AD4" s="400"/>
      <c r="AE4" s="400"/>
      <c r="AF4" s="400"/>
      <c r="AG4" s="400"/>
      <c r="AH4" s="400"/>
      <c r="AI4" s="400"/>
      <c r="AJ4" s="400"/>
      <c r="AK4" s="400"/>
      <c r="AL4" s="400"/>
      <c r="AM4" s="400"/>
      <c r="AN4" s="400"/>
      <c r="AO4" s="400"/>
      <c r="AP4" s="400"/>
    </row>
    <row r="5" spans="1:42" ht="18" customHeight="1" x14ac:dyDescent="0.2">
      <c r="A5" s="401"/>
      <c r="B5" s="1454" t="s">
        <v>561</v>
      </c>
      <c r="C5" s="1454"/>
      <c r="D5" s="1456" t="s">
        <v>562</v>
      </c>
      <c r="E5" s="1456"/>
      <c r="F5" s="1456" t="s">
        <v>563</v>
      </c>
      <c r="G5" s="1456"/>
      <c r="H5" s="1456"/>
      <c r="I5" s="1456"/>
      <c r="J5" s="1456" t="s">
        <v>564</v>
      </c>
      <c r="K5" s="1456"/>
      <c r="L5" s="1458"/>
      <c r="M5" s="688"/>
      <c r="N5" s="400"/>
      <c r="O5" s="400"/>
      <c r="P5" s="400"/>
      <c r="Q5" s="400"/>
      <c r="R5" s="688"/>
      <c r="S5" s="400"/>
      <c r="T5" s="400"/>
      <c r="U5" s="400"/>
      <c r="V5" s="400"/>
      <c r="W5" s="400"/>
      <c r="X5" s="400"/>
      <c r="Y5" s="400"/>
      <c r="Z5" s="400"/>
      <c r="AA5" s="400"/>
      <c r="AB5" s="400"/>
      <c r="AC5" s="400"/>
      <c r="AD5" s="400"/>
      <c r="AE5" s="400"/>
      <c r="AF5" s="400"/>
      <c r="AG5" s="400"/>
      <c r="AH5" s="400"/>
      <c r="AI5" s="400"/>
      <c r="AJ5" s="400"/>
      <c r="AK5" s="400"/>
      <c r="AL5" s="400"/>
      <c r="AM5" s="400"/>
      <c r="AN5" s="400"/>
      <c r="AO5" s="400"/>
      <c r="AP5" s="400"/>
    </row>
    <row r="6" spans="1:42" ht="18" customHeight="1" x14ac:dyDescent="0.2">
      <c r="A6" s="402"/>
      <c r="B6" s="1455"/>
      <c r="C6" s="1455"/>
      <c r="D6" s="1457"/>
      <c r="E6" s="1457"/>
      <c r="F6" s="1457"/>
      <c r="G6" s="1457"/>
      <c r="H6" s="1457"/>
      <c r="I6" s="1457"/>
      <c r="J6" s="1457"/>
      <c r="K6" s="1457"/>
      <c r="L6" s="1459"/>
      <c r="M6" s="688"/>
      <c r="N6" s="400"/>
      <c r="O6" s="400"/>
      <c r="P6" s="400"/>
      <c r="Q6" s="400"/>
      <c r="R6" s="688"/>
      <c r="S6" s="400"/>
      <c r="T6" s="400"/>
      <c r="U6" s="400"/>
      <c r="V6" s="400"/>
      <c r="W6" s="400"/>
      <c r="X6" s="400"/>
      <c r="Y6" s="400"/>
      <c r="Z6" s="400"/>
      <c r="AA6" s="400"/>
      <c r="AB6" s="400"/>
      <c r="AC6" s="400"/>
      <c r="AD6" s="400"/>
      <c r="AE6" s="400"/>
      <c r="AF6" s="400"/>
      <c r="AG6" s="400"/>
      <c r="AH6" s="400"/>
      <c r="AI6" s="400"/>
      <c r="AJ6" s="400"/>
      <c r="AK6" s="400"/>
      <c r="AL6" s="400"/>
      <c r="AM6" s="400"/>
      <c r="AN6" s="400"/>
      <c r="AO6" s="400"/>
      <c r="AP6" s="400"/>
    </row>
    <row r="7" spans="1:42" ht="18" customHeight="1" x14ac:dyDescent="0.2">
      <c r="A7" s="402"/>
      <c r="B7" s="852" t="s">
        <v>565</v>
      </c>
      <c r="C7" s="852" t="s">
        <v>565</v>
      </c>
      <c r="D7" s="853" t="s">
        <v>566</v>
      </c>
      <c r="E7" s="853" t="s">
        <v>566</v>
      </c>
      <c r="F7" s="1449" t="s">
        <v>567</v>
      </c>
      <c r="G7" s="1449"/>
      <c r="H7" s="1449" t="s">
        <v>568</v>
      </c>
      <c r="I7" s="1449"/>
      <c r="J7" s="854" t="s">
        <v>569</v>
      </c>
      <c r="K7" s="854" t="s">
        <v>570</v>
      </c>
      <c r="L7" s="855" t="s">
        <v>571</v>
      </c>
      <c r="M7" s="688"/>
      <c r="N7" s="400"/>
      <c r="O7" s="400"/>
      <c r="P7" s="400"/>
      <c r="Q7" s="400"/>
      <c r="R7" s="688"/>
      <c r="S7" s="400"/>
      <c r="T7" s="400"/>
      <c r="U7" s="400"/>
      <c r="V7" s="400"/>
      <c r="W7" s="400"/>
      <c r="X7" s="400"/>
      <c r="Y7" s="400"/>
      <c r="Z7" s="400"/>
      <c r="AA7" s="400"/>
      <c r="AB7" s="400"/>
      <c r="AC7" s="400"/>
      <c r="AD7" s="400"/>
      <c r="AE7" s="400"/>
      <c r="AF7" s="400"/>
      <c r="AG7" s="400"/>
      <c r="AH7" s="400"/>
      <c r="AI7" s="400"/>
      <c r="AJ7" s="400"/>
      <c r="AK7" s="400"/>
      <c r="AL7" s="400"/>
      <c r="AM7" s="400"/>
      <c r="AN7" s="400"/>
      <c r="AO7" s="400"/>
      <c r="AP7" s="400"/>
    </row>
    <row r="8" spans="1:42" ht="18" customHeight="1" x14ac:dyDescent="0.2">
      <c r="A8" s="402"/>
      <c r="B8" s="856"/>
      <c r="C8" s="856" t="s">
        <v>574</v>
      </c>
      <c r="D8" s="856"/>
      <c r="E8" s="856" t="s">
        <v>574</v>
      </c>
      <c r="F8" s="856" t="s">
        <v>572</v>
      </c>
      <c r="G8" s="856" t="s">
        <v>572</v>
      </c>
      <c r="H8" s="856" t="s">
        <v>572</v>
      </c>
      <c r="I8" s="856" t="s">
        <v>572</v>
      </c>
      <c r="J8" s="857" t="s">
        <v>573</v>
      </c>
      <c r="K8" s="857" t="s">
        <v>573</v>
      </c>
      <c r="L8" s="858" t="s">
        <v>573</v>
      </c>
      <c r="M8" s="688"/>
      <c r="N8" s="400"/>
      <c r="O8" s="400"/>
      <c r="P8" s="400"/>
      <c r="Q8" s="400"/>
      <c r="R8" s="688"/>
      <c r="S8" s="400"/>
      <c r="T8" s="400"/>
      <c r="U8" s="400"/>
      <c r="V8" s="400"/>
      <c r="W8" s="400"/>
      <c r="X8" s="400"/>
      <c r="Y8" s="400"/>
      <c r="Z8" s="400"/>
      <c r="AA8" s="400"/>
      <c r="AB8" s="400"/>
      <c r="AC8" s="400"/>
      <c r="AD8" s="400"/>
      <c r="AE8" s="400"/>
      <c r="AF8" s="400"/>
      <c r="AG8" s="400"/>
      <c r="AH8" s="400"/>
      <c r="AI8" s="400"/>
      <c r="AJ8" s="400"/>
      <c r="AK8" s="400"/>
      <c r="AL8" s="400"/>
      <c r="AM8" s="400"/>
      <c r="AN8" s="400"/>
      <c r="AO8" s="400"/>
      <c r="AP8" s="400"/>
    </row>
    <row r="9" spans="1:42" ht="18" customHeight="1" x14ac:dyDescent="0.2">
      <c r="A9" s="402"/>
      <c r="B9" s="856"/>
      <c r="C9" s="856"/>
      <c r="D9" s="856"/>
      <c r="E9" s="856"/>
      <c r="F9" s="859"/>
      <c r="G9" s="856" t="s">
        <v>574</v>
      </c>
      <c r="H9" s="859"/>
      <c r="I9" s="856" t="s">
        <v>574</v>
      </c>
      <c r="J9" s="857" t="s">
        <v>575</v>
      </c>
      <c r="K9" s="857" t="s">
        <v>575</v>
      </c>
      <c r="L9" s="858" t="s">
        <v>575</v>
      </c>
      <c r="M9" s="688"/>
      <c r="N9" s="400"/>
      <c r="O9" s="770">
        <v>2024</v>
      </c>
      <c r="P9" s="770">
        <v>2025</v>
      </c>
      <c r="Q9" s="400"/>
      <c r="R9" s="688"/>
      <c r="S9" s="400"/>
      <c r="T9" s="400"/>
      <c r="U9" s="400"/>
      <c r="V9" s="400"/>
      <c r="W9" s="400"/>
      <c r="X9" s="400"/>
      <c r="Y9" s="400"/>
      <c r="Z9" s="400"/>
      <c r="AA9" s="400"/>
      <c r="AB9" s="400"/>
      <c r="AC9" s="400"/>
      <c r="AD9" s="400"/>
      <c r="AE9" s="400"/>
      <c r="AF9" s="400"/>
      <c r="AG9" s="400"/>
      <c r="AH9" s="400"/>
      <c r="AI9" s="400"/>
      <c r="AJ9" s="400"/>
      <c r="AK9" s="400"/>
      <c r="AL9" s="400"/>
      <c r="AM9" s="400"/>
      <c r="AN9" s="400"/>
      <c r="AO9" s="400"/>
      <c r="AP9" s="400"/>
    </row>
    <row r="10" spans="1:42" ht="18" customHeight="1" x14ac:dyDescent="0.2">
      <c r="A10" s="402"/>
      <c r="B10" s="860"/>
      <c r="C10" s="861"/>
      <c r="D10" s="860"/>
      <c r="E10" s="861"/>
      <c r="F10" s="862"/>
      <c r="G10" s="861"/>
      <c r="H10" s="862"/>
      <c r="I10" s="861"/>
      <c r="J10" s="863">
        <v>0.4</v>
      </c>
      <c r="K10" s="863">
        <v>0.35</v>
      </c>
      <c r="L10" s="864">
        <v>0.3</v>
      </c>
      <c r="M10" s="688"/>
      <c r="N10" s="400"/>
      <c r="O10" s="400"/>
      <c r="P10" s="687"/>
      <c r="Q10" s="687"/>
      <c r="R10" s="688"/>
      <c r="S10" s="400"/>
      <c r="T10" s="400"/>
      <c r="U10" s="400"/>
      <c r="V10" s="400"/>
      <c r="W10" s="400"/>
      <c r="X10" s="400"/>
      <c r="Y10" s="400"/>
      <c r="Z10" s="400"/>
      <c r="AA10" s="400"/>
      <c r="AB10" s="400"/>
      <c r="AC10" s="400"/>
      <c r="AD10" s="400"/>
      <c r="AE10" s="400"/>
      <c r="AF10" s="400"/>
      <c r="AG10" s="400"/>
      <c r="AH10" s="400"/>
      <c r="AI10" s="400"/>
      <c r="AJ10" s="400"/>
      <c r="AK10" s="400"/>
      <c r="AL10" s="400"/>
      <c r="AM10" s="400"/>
      <c r="AN10" s="400"/>
      <c r="AO10" s="400"/>
      <c r="AP10" s="400"/>
    </row>
    <row r="11" spans="1:42" ht="18" customHeight="1" x14ac:dyDescent="0.2">
      <c r="A11" s="682" t="s">
        <v>576</v>
      </c>
      <c r="B11" s="403">
        <v>0</v>
      </c>
      <c r="C11" s="403">
        <f t="shared" ref="C11:C42" si="0">B11*1.2881166</f>
        <v>0</v>
      </c>
      <c r="D11" s="403">
        <f t="shared" ref="D11:D18" si="1">B11*1.385</f>
        <v>0</v>
      </c>
      <c r="E11" s="403">
        <f>D11*1.2881166</f>
        <v>0</v>
      </c>
      <c r="F11" s="403">
        <f t="shared" ref="F11:F42" si="2">B11/4</f>
        <v>0</v>
      </c>
      <c r="G11" s="403">
        <f>F11*1.2881166</f>
        <v>0</v>
      </c>
      <c r="H11" s="403">
        <f t="shared" ref="H11:H42" si="3">B11/5</f>
        <v>0</v>
      </c>
      <c r="I11" s="403">
        <f t="shared" ref="I11:I16" si="4">H11*1.2881166</f>
        <v>0</v>
      </c>
      <c r="J11" s="403">
        <f t="shared" ref="J11:J21" si="5">B11*4.33*0.6</f>
        <v>0</v>
      </c>
      <c r="K11" s="403">
        <f t="shared" ref="K11:K21" si="6">B11*4.33*0.65</f>
        <v>0</v>
      </c>
      <c r="L11" s="404">
        <f t="shared" ref="L11:L21" si="7">B11*4.33*0.7</f>
        <v>0</v>
      </c>
      <c r="M11" s="688"/>
      <c r="N11" s="764" t="s">
        <v>576</v>
      </c>
      <c r="O11" s="768">
        <v>0</v>
      </c>
      <c r="P11" s="765">
        <v>0</v>
      </c>
      <c r="Q11" s="767"/>
      <c r="R11" s="688"/>
      <c r="S11" s="400"/>
      <c r="T11" s="400"/>
      <c r="U11" s="400"/>
      <c r="V11" s="400"/>
      <c r="W11" s="400"/>
      <c r="X11" s="400"/>
      <c r="Y11" s="400"/>
      <c r="Z11" s="400"/>
      <c r="AA11" s="400"/>
      <c r="AB11" s="400"/>
      <c r="AC11" s="400"/>
      <c r="AD11" s="400"/>
      <c r="AE11" s="400"/>
      <c r="AF11" s="400"/>
      <c r="AG11" s="400"/>
      <c r="AH11" s="400"/>
      <c r="AI11" s="400"/>
      <c r="AJ11" s="400"/>
      <c r="AK11" s="400"/>
      <c r="AL11" s="400"/>
      <c r="AM11" s="400"/>
      <c r="AN11" s="400"/>
      <c r="AO11" s="400"/>
      <c r="AP11" s="400"/>
    </row>
    <row r="12" spans="1:42" ht="18" customHeight="1" x14ac:dyDescent="0.2">
      <c r="A12" s="682" t="s">
        <v>577</v>
      </c>
      <c r="B12" s="403">
        <v>1293.7780169932803</v>
      </c>
      <c r="C12" s="403">
        <f t="shared" si="0"/>
        <v>1666.5369404041264</v>
      </c>
      <c r="D12" s="403">
        <f t="shared" si="1"/>
        <v>1791.8825535356932</v>
      </c>
      <c r="E12" s="403">
        <f>D12*1.2881166</f>
        <v>2308.1536624597152</v>
      </c>
      <c r="F12" s="403">
        <f t="shared" si="2"/>
        <v>323.44450424832007</v>
      </c>
      <c r="G12" s="403">
        <f>F12*1.2881166</f>
        <v>416.63423510103161</v>
      </c>
      <c r="H12" s="403">
        <f t="shared" si="3"/>
        <v>258.75560339865604</v>
      </c>
      <c r="I12" s="403">
        <f t="shared" si="4"/>
        <v>333.30738808082526</v>
      </c>
      <c r="J12" s="403">
        <f t="shared" si="5"/>
        <v>3361.2352881485422</v>
      </c>
      <c r="K12" s="403">
        <f t="shared" si="6"/>
        <v>3641.3382288275875</v>
      </c>
      <c r="L12" s="404">
        <f t="shared" si="7"/>
        <v>3921.4411695066324</v>
      </c>
      <c r="M12" s="688"/>
      <c r="N12" s="764" t="s">
        <v>577</v>
      </c>
      <c r="O12" s="768">
        <v>1222.5740800000001</v>
      </c>
      <c r="P12" s="765">
        <v>1269.0318950400001</v>
      </c>
      <c r="Q12" s="767">
        <f>P12/O12-1</f>
        <v>3.8000000000000034E-2</v>
      </c>
      <c r="R12" s="688"/>
      <c r="S12" s="1265"/>
      <c r="T12" s="1265"/>
      <c r="U12" s="1265"/>
      <c r="V12" s="1265"/>
      <c r="W12" s="1265"/>
      <c r="X12" s="1265"/>
      <c r="Y12" s="1265"/>
      <c r="Z12" s="400"/>
      <c r="AA12" s="400"/>
      <c r="AB12" s="400"/>
      <c r="AC12" s="400"/>
      <c r="AD12" s="400"/>
      <c r="AE12" s="400"/>
      <c r="AF12" s="400"/>
      <c r="AG12" s="400"/>
      <c r="AH12" s="400"/>
      <c r="AI12" s="400"/>
      <c r="AJ12" s="400"/>
      <c r="AK12" s="400"/>
      <c r="AL12" s="400"/>
      <c r="AM12" s="400"/>
      <c r="AN12" s="400"/>
      <c r="AO12" s="400"/>
      <c r="AP12" s="400"/>
    </row>
    <row r="13" spans="1:42" ht="18" customHeight="1" x14ac:dyDescent="0.2">
      <c r="A13" s="682" t="s">
        <v>766</v>
      </c>
      <c r="B13" s="403">
        <v>2134.8808418758035</v>
      </c>
      <c r="C13" s="403">
        <f t="shared" si="0"/>
        <v>2749.9754514421975</v>
      </c>
      <c r="D13" s="403">
        <f t="shared" si="1"/>
        <v>2956.809965997988</v>
      </c>
      <c r="E13" s="403">
        <f>D13*1.2881166</f>
        <v>3808.7160002474438</v>
      </c>
      <c r="F13" s="403">
        <f t="shared" si="2"/>
        <v>533.72021046895088</v>
      </c>
      <c r="G13" s="403">
        <f t="shared" ref="G13:G17" si="8">F13*1.2881166</f>
        <v>687.49386286054937</v>
      </c>
      <c r="H13" s="403">
        <f t="shared" si="3"/>
        <v>426.97616837516068</v>
      </c>
      <c r="I13" s="403">
        <f t="shared" si="4"/>
        <v>549.99509028843943</v>
      </c>
      <c r="J13" s="403">
        <f t="shared" si="5"/>
        <v>5546.4204271933368</v>
      </c>
      <c r="K13" s="403">
        <f t="shared" si="6"/>
        <v>6008.6221294594488</v>
      </c>
      <c r="L13" s="404">
        <f t="shared" si="7"/>
        <v>6470.82383172556</v>
      </c>
      <c r="M13" s="688"/>
      <c r="N13" s="764" t="s">
        <v>1141</v>
      </c>
      <c r="O13" s="768">
        <v>2017.3862493286531</v>
      </c>
      <c r="P13" s="765">
        <v>2094.046926803142</v>
      </c>
      <c r="Q13" s="767">
        <f t="shared" ref="Q13:Q75" si="9">P13/O13-1</f>
        <v>3.8000000000000034E-2</v>
      </c>
      <c r="R13" s="688"/>
      <c r="S13" s="1265"/>
      <c r="T13" s="1265"/>
      <c r="U13" s="1265"/>
      <c r="V13" s="1265"/>
      <c r="W13" s="1265"/>
      <c r="X13" s="1265"/>
      <c r="Y13" s="1265"/>
      <c r="Z13" s="400"/>
      <c r="AA13" s="400"/>
      <c r="AB13" s="400"/>
      <c r="AC13" s="400"/>
      <c r="AD13" s="400"/>
      <c r="AE13" s="400"/>
      <c r="AF13" s="400"/>
      <c r="AG13" s="400"/>
      <c r="AH13" s="400"/>
      <c r="AI13" s="400"/>
      <c r="AJ13" s="400"/>
      <c r="AK13" s="400"/>
      <c r="AL13" s="400"/>
      <c r="AM13" s="400"/>
      <c r="AN13" s="400"/>
      <c r="AO13" s="400"/>
      <c r="AP13" s="400"/>
    </row>
    <row r="14" spans="1:42" ht="18" customHeight="1" x14ac:dyDescent="0.2">
      <c r="A14" s="682" t="s">
        <v>767</v>
      </c>
      <c r="B14" s="403">
        <v>1341.1410805371283</v>
      </c>
      <c r="C14" s="403">
        <f t="shared" si="0"/>
        <v>1727.5460887818119</v>
      </c>
      <c r="D14" s="403">
        <f t="shared" si="1"/>
        <v>1857.4803965439228</v>
      </c>
      <c r="E14" s="403">
        <f>D14*1.2881166</f>
        <v>2392.6513329628096</v>
      </c>
      <c r="F14" s="403">
        <f t="shared" si="2"/>
        <v>335.28527013428209</v>
      </c>
      <c r="G14" s="403">
        <f t="shared" si="8"/>
        <v>431.88652219545298</v>
      </c>
      <c r="H14" s="403">
        <f t="shared" si="3"/>
        <v>268.22821610742568</v>
      </c>
      <c r="I14" s="403">
        <f t="shared" si="4"/>
        <v>345.50921775636237</v>
      </c>
      <c r="J14" s="403">
        <f t="shared" si="5"/>
        <v>3484.2845272354593</v>
      </c>
      <c r="K14" s="403">
        <f t="shared" si="6"/>
        <v>3774.6415711717482</v>
      </c>
      <c r="L14" s="404">
        <f t="shared" si="7"/>
        <v>4064.9986151080361</v>
      </c>
      <c r="M14" s="688"/>
      <c r="N14" s="764" t="s">
        <v>1142</v>
      </c>
      <c r="O14" s="768">
        <v>1267.330485718403</v>
      </c>
      <c r="P14" s="765">
        <v>1315.4890441757022</v>
      </c>
      <c r="Q14" s="767">
        <f t="shared" si="9"/>
        <v>3.8000000000000034E-2</v>
      </c>
      <c r="R14" s="688"/>
      <c r="S14" s="1265"/>
      <c r="T14" s="1265"/>
      <c r="U14" s="1265"/>
      <c r="V14" s="1265"/>
      <c r="W14" s="1265"/>
      <c r="X14" s="1265"/>
      <c r="Y14" s="1265"/>
      <c r="Z14" s="400"/>
      <c r="AA14" s="400"/>
      <c r="AB14" s="400"/>
      <c r="AC14" s="400"/>
      <c r="AD14" s="400"/>
      <c r="AE14" s="400"/>
      <c r="AF14" s="400"/>
      <c r="AG14" s="400"/>
      <c r="AH14" s="400"/>
      <c r="AI14" s="400"/>
      <c r="AJ14" s="400"/>
      <c r="AK14" s="400"/>
      <c r="AL14" s="400"/>
      <c r="AM14" s="400"/>
      <c r="AN14" s="400"/>
      <c r="AO14" s="400"/>
      <c r="AP14" s="400"/>
    </row>
    <row r="15" spans="1:42" ht="18" customHeight="1" x14ac:dyDescent="0.2">
      <c r="A15" s="682" t="s">
        <v>768</v>
      </c>
      <c r="B15" s="403">
        <v>2036.9999756957141</v>
      </c>
      <c r="C15" s="403">
        <f t="shared" si="0"/>
        <v>2623.8934828932456</v>
      </c>
      <c r="D15" s="403">
        <f t="shared" si="1"/>
        <v>2821.2449663385642</v>
      </c>
      <c r="E15" s="403">
        <f>D15*1.2881166</f>
        <v>3634.0924738071453</v>
      </c>
      <c r="F15" s="403">
        <f t="shared" si="2"/>
        <v>509.24999392392851</v>
      </c>
      <c r="G15" s="403">
        <f t="shared" si="8"/>
        <v>655.9733707233114</v>
      </c>
      <c r="H15" s="403">
        <f t="shared" si="3"/>
        <v>407.39999513914279</v>
      </c>
      <c r="I15" s="403">
        <f t="shared" si="4"/>
        <v>524.77869657864915</v>
      </c>
      <c r="J15" s="403">
        <f t="shared" si="5"/>
        <v>5292.1259368574647</v>
      </c>
      <c r="K15" s="403">
        <f t="shared" si="6"/>
        <v>5733.1364315955871</v>
      </c>
      <c r="L15" s="404">
        <f t="shared" si="7"/>
        <v>6174.1469263337085</v>
      </c>
      <c r="M15" s="688"/>
      <c r="N15" s="764" t="s">
        <v>1143</v>
      </c>
      <c r="O15" s="768">
        <v>1924.8923219717569</v>
      </c>
      <c r="P15" s="765">
        <v>1998.0382302066837</v>
      </c>
      <c r="Q15" s="767">
        <f t="shared" si="9"/>
        <v>3.8000000000000034E-2</v>
      </c>
      <c r="R15" s="688"/>
      <c r="S15" s="1265"/>
      <c r="T15" s="1265"/>
      <c r="U15" s="1265"/>
      <c r="V15" s="1265"/>
      <c r="W15" s="1265"/>
      <c r="X15" s="1265"/>
      <c r="Y15" s="1265"/>
      <c r="Z15" s="400"/>
      <c r="AA15" s="400"/>
      <c r="AB15" s="400"/>
      <c r="AC15" s="400"/>
      <c r="AD15" s="400"/>
      <c r="AE15" s="400"/>
      <c r="AF15" s="400"/>
      <c r="AG15" s="400"/>
      <c r="AH15" s="400"/>
      <c r="AI15" s="400"/>
      <c r="AJ15" s="400"/>
      <c r="AK15" s="400"/>
      <c r="AL15" s="400"/>
      <c r="AM15" s="400"/>
      <c r="AN15" s="400"/>
      <c r="AO15" s="400"/>
      <c r="AP15" s="400"/>
    </row>
    <row r="16" spans="1:42" ht="18" customHeight="1" x14ac:dyDescent="0.2">
      <c r="A16" s="682" t="s">
        <v>769</v>
      </c>
      <c r="B16" s="403">
        <v>1320.2994751868564</v>
      </c>
      <c r="C16" s="403">
        <f t="shared" si="0"/>
        <v>1700.6996709594778</v>
      </c>
      <c r="D16" s="403">
        <f t="shared" si="1"/>
        <v>1828.6147731337962</v>
      </c>
      <c r="E16" s="403">
        <f t="shared" ref="E16:E59" si="10">D16*1.2881166</f>
        <v>2355.4690442788769</v>
      </c>
      <c r="F16" s="403">
        <f t="shared" si="2"/>
        <v>330.0748687967141</v>
      </c>
      <c r="G16" s="403">
        <f t="shared" si="8"/>
        <v>425.17491773986944</v>
      </c>
      <c r="H16" s="403">
        <f t="shared" si="3"/>
        <v>264.05989503737129</v>
      </c>
      <c r="I16" s="403">
        <f t="shared" si="4"/>
        <v>340.13993419189558</v>
      </c>
      <c r="J16" s="403">
        <f t="shared" si="5"/>
        <v>3430.138036535453</v>
      </c>
      <c r="K16" s="403">
        <f t="shared" si="6"/>
        <v>3715.9828729134078</v>
      </c>
      <c r="L16" s="404">
        <f t="shared" si="7"/>
        <v>4001.8277092913618</v>
      </c>
      <c r="M16" s="688"/>
      <c r="N16" s="764" t="s">
        <v>1144</v>
      </c>
      <c r="O16" s="768">
        <v>1247.6359120340792</v>
      </c>
      <c r="P16" s="765">
        <v>1295.0460766913743</v>
      </c>
      <c r="Q16" s="767">
        <f t="shared" si="9"/>
        <v>3.8000000000000034E-2</v>
      </c>
      <c r="R16" s="688"/>
      <c r="S16" s="1265"/>
      <c r="T16" s="1265"/>
      <c r="U16" s="1265"/>
      <c r="V16" s="1265"/>
      <c r="W16" s="1265"/>
      <c r="X16" s="1265"/>
      <c r="Y16" s="1265"/>
      <c r="Z16" s="400"/>
      <c r="AA16" s="400"/>
      <c r="AB16" s="400"/>
      <c r="AC16" s="400"/>
      <c r="AD16" s="400"/>
      <c r="AE16" s="400"/>
      <c r="AF16" s="400"/>
      <c r="AG16" s="400"/>
      <c r="AH16" s="400"/>
      <c r="AI16" s="400"/>
      <c r="AJ16" s="400"/>
      <c r="AK16" s="400"/>
      <c r="AL16" s="400"/>
      <c r="AM16" s="400"/>
      <c r="AN16" s="400"/>
      <c r="AO16" s="400"/>
      <c r="AP16" s="400"/>
    </row>
    <row r="17" spans="1:42" ht="18" customHeight="1" x14ac:dyDescent="0.2">
      <c r="A17" s="682" t="s">
        <v>770</v>
      </c>
      <c r="B17" s="403">
        <v>1230.4613423594053</v>
      </c>
      <c r="C17" s="403">
        <f t="shared" si="0"/>
        <v>1584.9776807514331</v>
      </c>
      <c r="D17" s="403">
        <f t="shared" si="1"/>
        <v>1704.1889591677764</v>
      </c>
      <c r="E17" s="403">
        <f t="shared" si="10"/>
        <v>2195.1940878407349</v>
      </c>
      <c r="F17" s="403">
        <f t="shared" si="2"/>
        <v>307.61533558985133</v>
      </c>
      <c r="G17" s="403">
        <f t="shared" si="8"/>
        <v>396.24442018785828</v>
      </c>
      <c r="H17" s="403">
        <f t="shared" si="3"/>
        <v>246.09226847188106</v>
      </c>
      <c r="I17" s="403">
        <f>H17*1.2881166</f>
        <v>316.99553615028663</v>
      </c>
      <c r="J17" s="403">
        <f t="shared" si="5"/>
        <v>3196.738567449735</v>
      </c>
      <c r="K17" s="403">
        <f t="shared" si="6"/>
        <v>3463.1334480705468</v>
      </c>
      <c r="L17" s="404">
        <f t="shared" si="7"/>
        <v>3729.5283286913577</v>
      </c>
      <c r="M17" s="688"/>
      <c r="N17" s="764" t="s">
        <v>1145</v>
      </c>
      <c r="O17" s="768">
        <v>1162.742080829797</v>
      </c>
      <c r="P17" s="765">
        <v>1206.9262799013293</v>
      </c>
      <c r="Q17" s="767">
        <f t="shared" si="9"/>
        <v>3.8000000000000034E-2</v>
      </c>
      <c r="R17" s="688"/>
      <c r="S17" s="1265"/>
      <c r="T17" s="1265"/>
      <c r="U17" s="1265"/>
      <c r="V17" s="1265"/>
      <c r="W17" s="1265"/>
      <c r="X17" s="1265"/>
      <c r="Y17" s="1265"/>
      <c r="Z17" s="400"/>
      <c r="AA17" s="400"/>
      <c r="AB17" s="400"/>
      <c r="AC17" s="400"/>
      <c r="AD17" s="400"/>
      <c r="AE17" s="400"/>
      <c r="AF17" s="400"/>
      <c r="AG17" s="400"/>
      <c r="AH17" s="400"/>
      <c r="AI17" s="400"/>
      <c r="AJ17" s="400"/>
      <c r="AK17" s="400"/>
      <c r="AL17" s="400"/>
      <c r="AM17" s="400"/>
      <c r="AN17" s="400"/>
      <c r="AO17" s="400"/>
      <c r="AP17" s="400"/>
    </row>
    <row r="18" spans="1:42" ht="18" customHeight="1" x14ac:dyDescent="0.2">
      <c r="A18" s="682" t="s">
        <v>771</v>
      </c>
      <c r="B18" s="403">
        <v>1116.9902355224172</v>
      </c>
      <c r="C18" s="403">
        <f t="shared" si="0"/>
        <v>1438.8136644143351</v>
      </c>
      <c r="D18" s="403">
        <f t="shared" si="1"/>
        <v>1547.0314761985478</v>
      </c>
      <c r="E18" s="403">
        <f t="shared" si="10"/>
        <v>1992.7569252138542</v>
      </c>
      <c r="F18" s="403">
        <f t="shared" si="2"/>
        <v>279.24755888060429</v>
      </c>
      <c r="G18" s="403">
        <f>F18*1.2881166</f>
        <v>359.70341610358378</v>
      </c>
      <c r="H18" s="403">
        <f t="shared" si="3"/>
        <v>223.39804710448342</v>
      </c>
      <c r="I18" s="403">
        <f>H18*1.2881166</f>
        <v>287.762732882867</v>
      </c>
      <c r="J18" s="403">
        <f t="shared" si="5"/>
        <v>2901.9406318872398</v>
      </c>
      <c r="K18" s="403">
        <f t="shared" si="6"/>
        <v>3143.7690178778435</v>
      </c>
      <c r="L18" s="404">
        <f t="shared" si="7"/>
        <v>3385.5974038684462</v>
      </c>
      <c r="M18" s="688"/>
      <c r="N18" s="764" t="s">
        <v>1146</v>
      </c>
      <c r="O18" s="768">
        <v>1055.5159321198264</v>
      </c>
      <c r="P18" s="765">
        <v>1095.6255375403798</v>
      </c>
      <c r="Q18" s="767">
        <f t="shared" si="9"/>
        <v>3.8000000000000034E-2</v>
      </c>
      <c r="R18" s="688"/>
      <c r="S18" s="1265"/>
      <c r="T18" s="1265"/>
      <c r="U18" s="1265"/>
      <c r="V18" s="1265"/>
      <c r="W18" s="1265"/>
      <c r="X18" s="1265"/>
      <c r="Y18" s="1265"/>
      <c r="Z18" s="400"/>
      <c r="AA18" s="400"/>
      <c r="AB18" s="400"/>
      <c r="AC18" s="400"/>
      <c r="AD18" s="400"/>
      <c r="AE18" s="400"/>
      <c r="AF18" s="400"/>
      <c r="AG18" s="400"/>
      <c r="AH18" s="400"/>
      <c r="AI18" s="400"/>
      <c r="AJ18" s="400"/>
      <c r="AK18" s="400"/>
      <c r="AL18" s="400"/>
      <c r="AM18" s="400"/>
      <c r="AN18" s="400"/>
      <c r="AO18" s="400"/>
      <c r="AP18" s="400"/>
    </row>
    <row r="19" spans="1:42" ht="18" customHeight="1" x14ac:dyDescent="0.2">
      <c r="A19" s="682" t="s">
        <v>578</v>
      </c>
      <c r="B19" s="403">
        <v>994.58349823008768</v>
      </c>
      <c r="C19" s="403">
        <f t="shared" si="0"/>
        <v>1281.1395141562466</v>
      </c>
      <c r="D19" s="403">
        <f t="shared" ref="D19:D59" si="11">B19*1.385</f>
        <v>1377.4981450486714</v>
      </c>
      <c r="E19" s="403">
        <f t="shared" si="10"/>
        <v>1774.3782271064013</v>
      </c>
      <c r="F19" s="403">
        <f t="shared" si="2"/>
        <v>248.64587455752192</v>
      </c>
      <c r="G19" s="403">
        <f>F19*1.2881166</f>
        <v>320.28487853906165</v>
      </c>
      <c r="H19" s="403">
        <f t="shared" si="3"/>
        <v>198.91669964601755</v>
      </c>
      <c r="I19" s="403">
        <f>H19*1.2881166</f>
        <v>256.22790283124931</v>
      </c>
      <c r="J19" s="403">
        <f t="shared" si="5"/>
        <v>2583.927928401768</v>
      </c>
      <c r="K19" s="403">
        <f t="shared" si="6"/>
        <v>2799.2552557685822</v>
      </c>
      <c r="L19" s="404">
        <f t="shared" si="7"/>
        <v>3014.5825831353959</v>
      </c>
      <c r="M19" s="688"/>
      <c r="N19" s="764" t="s">
        <v>578</v>
      </c>
      <c r="O19" s="768">
        <v>939.84593134275428</v>
      </c>
      <c r="P19" s="765">
        <v>975.56007673377894</v>
      </c>
      <c r="Q19" s="767">
        <f t="shared" si="9"/>
        <v>3.8000000000000034E-2</v>
      </c>
      <c r="R19" s="688"/>
      <c r="S19" s="1265"/>
      <c r="T19" s="1265"/>
      <c r="U19" s="1265"/>
      <c r="V19" s="1265"/>
      <c r="W19" s="1265"/>
      <c r="X19" s="1265"/>
      <c r="Y19" s="1265"/>
      <c r="Z19" s="400"/>
      <c r="AA19" s="400"/>
      <c r="AB19" s="400"/>
      <c r="AC19" s="400"/>
      <c r="AD19" s="400"/>
      <c r="AE19" s="400"/>
      <c r="AF19" s="400"/>
      <c r="AG19" s="400"/>
      <c r="AH19" s="400"/>
      <c r="AI19" s="400"/>
      <c r="AJ19" s="400"/>
      <c r="AK19" s="400"/>
      <c r="AL19" s="400"/>
      <c r="AM19" s="400"/>
      <c r="AN19" s="400"/>
      <c r="AO19" s="400"/>
      <c r="AP19" s="400"/>
    </row>
    <row r="20" spans="1:42" ht="18" customHeight="1" x14ac:dyDescent="0.2">
      <c r="A20" s="682" t="s">
        <v>579</v>
      </c>
      <c r="B20" s="403">
        <v>1205.7269842893402</v>
      </c>
      <c r="C20" s="403">
        <f t="shared" si="0"/>
        <v>1553.1169435310383</v>
      </c>
      <c r="D20" s="403">
        <f t="shared" si="11"/>
        <v>1669.9318732407362</v>
      </c>
      <c r="E20" s="403">
        <f t="shared" si="10"/>
        <v>2151.0669667904881</v>
      </c>
      <c r="F20" s="403">
        <f t="shared" si="2"/>
        <v>301.43174607233505</v>
      </c>
      <c r="G20" s="403">
        <f>F20*1.2881166</f>
        <v>388.27923588275956</v>
      </c>
      <c r="H20" s="403">
        <f t="shared" si="3"/>
        <v>241.14539685786804</v>
      </c>
      <c r="I20" s="403">
        <f>H20*1.2881166</f>
        <v>310.62338870620766</v>
      </c>
      <c r="J20" s="403">
        <f t="shared" si="5"/>
        <v>3132.4787051837061</v>
      </c>
      <c r="K20" s="403">
        <f t="shared" si="6"/>
        <v>3393.5185972823483</v>
      </c>
      <c r="L20" s="404">
        <f t="shared" si="7"/>
        <v>3654.5584893809901</v>
      </c>
      <c r="M20" s="688"/>
      <c r="N20" s="764" t="s">
        <v>579</v>
      </c>
      <c r="O20" s="768">
        <v>1139.3689946707225</v>
      </c>
      <c r="P20" s="765">
        <v>1182.6650164682101</v>
      </c>
      <c r="Q20" s="767">
        <f t="shared" si="9"/>
        <v>3.8000000000000034E-2</v>
      </c>
      <c r="R20" s="688"/>
      <c r="S20" s="1265"/>
      <c r="T20" s="1265"/>
      <c r="U20" s="1265"/>
      <c r="V20" s="1265"/>
      <c r="W20" s="1265"/>
      <c r="X20" s="1265"/>
      <c r="Y20" s="1265"/>
      <c r="Z20" s="400"/>
      <c r="AA20" s="400"/>
      <c r="AB20" s="400"/>
      <c r="AC20" s="400"/>
      <c r="AD20" s="400"/>
      <c r="AE20" s="400"/>
      <c r="AF20" s="400"/>
      <c r="AG20" s="400"/>
      <c r="AH20" s="400"/>
      <c r="AI20" s="400"/>
      <c r="AJ20" s="400"/>
      <c r="AK20" s="400"/>
      <c r="AL20" s="400"/>
      <c r="AM20" s="400"/>
      <c r="AN20" s="400"/>
      <c r="AO20" s="400"/>
      <c r="AP20" s="400"/>
    </row>
    <row r="21" spans="1:42" ht="18" customHeight="1" x14ac:dyDescent="0.2">
      <c r="A21" s="682" t="s">
        <v>580</v>
      </c>
      <c r="B21" s="403">
        <v>0</v>
      </c>
      <c r="C21" s="403">
        <f t="shared" si="0"/>
        <v>0</v>
      </c>
      <c r="D21" s="403">
        <f t="shared" si="11"/>
        <v>0</v>
      </c>
      <c r="E21" s="403">
        <f t="shared" si="10"/>
        <v>0</v>
      </c>
      <c r="F21" s="403">
        <f t="shared" si="2"/>
        <v>0</v>
      </c>
      <c r="G21" s="403">
        <f>F21*1.2881166</f>
        <v>0</v>
      </c>
      <c r="H21" s="403">
        <f t="shared" si="3"/>
        <v>0</v>
      </c>
      <c r="I21" s="403">
        <f>H21*1.2881166</f>
        <v>0</v>
      </c>
      <c r="J21" s="403">
        <f t="shared" si="5"/>
        <v>0</v>
      </c>
      <c r="K21" s="403">
        <f t="shared" si="6"/>
        <v>0</v>
      </c>
      <c r="L21" s="404">
        <f t="shared" si="7"/>
        <v>0</v>
      </c>
      <c r="M21" s="688"/>
      <c r="N21" s="764" t="s">
        <v>580</v>
      </c>
      <c r="O21" s="768">
        <v>0</v>
      </c>
      <c r="P21" s="765">
        <v>0</v>
      </c>
      <c r="Q21" s="767"/>
      <c r="R21" s="688"/>
      <c r="S21" s="400"/>
      <c r="T21" s="400"/>
      <c r="U21" s="400"/>
      <c r="V21" s="400"/>
      <c r="W21" s="400"/>
      <c r="X21" s="400"/>
      <c r="Y21" s="400"/>
      <c r="Z21" s="400"/>
      <c r="AA21" s="400"/>
      <c r="AB21" s="400"/>
      <c r="AC21" s="400"/>
      <c r="AD21" s="400"/>
      <c r="AE21" s="400"/>
      <c r="AF21" s="400"/>
      <c r="AG21" s="400"/>
      <c r="AH21" s="400"/>
      <c r="AI21" s="400"/>
      <c r="AJ21" s="400"/>
      <c r="AK21" s="400"/>
      <c r="AL21" s="400"/>
      <c r="AM21" s="400"/>
      <c r="AN21" s="400"/>
      <c r="AO21" s="400"/>
      <c r="AP21" s="400"/>
    </row>
    <row r="22" spans="1:42" ht="18" customHeight="1" x14ac:dyDescent="0.2">
      <c r="A22" s="682" t="s">
        <v>180</v>
      </c>
      <c r="B22" s="403">
        <v>1285.1459750098718</v>
      </c>
      <c r="C22" s="403">
        <f t="shared" si="0"/>
        <v>1655.417863833401</v>
      </c>
      <c r="D22" s="403">
        <f t="shared" si="11"/>
        <v>1779.9271753886724</v>
      </c>
      <c r="E22" s="403">
        <f t="shared" si="10"/>
        <v>2292.7537414092603</v>
      </c>
      <c r="F22" s="403">
        <f t="shared" si="2"/>
        <v>321.28649375246795</v>
      </c>
      <c r="G22" s="403">
        <f t="shared" ref="G22:G55" si="12">F22*1.2881166</f>
        <v>413.85446595835026</v>
      </c>
      <c r="H22" s="403">
        <f t="shared" si="3"/>
        <v>257.02919500197436</v>
      </c>
      <c r="I22" s="403">
        <f t="shared" ref="I22:I59" si="13">H22*1.2881166</f>
        <v>331.08357276668016</v>
      </c>
      <c r="J22" s="403">
        <f t="shared" ref="J22:J55" si="14">B22*4.33*0.6</f>
        <v>3338.8092430756469</v>
      </c>
      <c r="K22" s="403">
        <f t="shared" ref="K22:K55" si="15">B22*4.33*0.65</f>
        <v>3617.0433466652844</v>
      </c>
      <c r="L22" s="404">
        <f t="shared" ref="L22:L55" si="16">B22*4.33*0.7</f>
        <v>3895.277450254921</v>
      </c>
      <c r="M22" s="688"/>
      <c r="N22" s="764" t="s">
        <v>180</v>
      </c>
      <c r="O22" s="768">
        <v>1214.4171082105793</v>
      </c>
      <c r="P22" s="765">
        <v>1260.5649583225813</v>
      </c>
      <c r="Q22" s="767">
        <f t="shared" si="9"/>
        <v>3.8000000000000034E-2</v>
      </c>
      <c r="R22" s="688"/>
      <c r="S22" s="400"/>
      <c r="T22" s="400"/>
      <c r="U22" s="400"/>
      <c r="V22" s="400"/>
      <c r="W22" s="400"/>
      <c r="X22" s="400"/>
      <c r="Y22" s="400"/>
      <c r="Z22" s="400"/>
      <c r="AA22" s="400"/>
      <c r="AB22" s="400"/>
      <c r="AC22" s="400"/>
      <c r="AD22" s="400"/>
      <c r="AE22" s="400"/>
      <c r="AF22" s="400"/>
      <c r="AG22" s="400"/>
      <c r="AH22" s="400"/>
      <c r="AI22" s="400"/>
      <c r="AJ22" s="400"/>
      <c r="AK22" s="400"/>
      <c r="AL22" s="400"/>
      <c r="AM22" s="400"/>
      <c r="AN22" s="400"/>
      <c r="AO22" s="400"/>
      <c r="AP22" s="400"/>
    </row>
    <row r="23" spans="1:42" ht="18" customHeight="1" x14ac:dyDescent="0.2">
      <c r="A23" s="682" t="s">
        <v>581</v>
      </c>
      <c r="B23" s="403">
        <v>782.08903499999997</v>
      </c>
      <c r="C23" s="403">
        <f t="shared" si="0"/>
        <v>1007.421868661481</v>
      </c>
      <c r="D23" s="403">
        <f t="shared" si="11"/>
        <v>1083.193313475</v>
      </c>
      <c r="E23" s="403">
        <f t="shared" si="10"/>
        <v>1395.279288096151</v>
      </c>
      <c r="F23" s="403">
        <f t="shared" si="2"/>
        <v>195.52225874999999</v>
      </c>
      <c r="G23" s="403">
        <f t="shared" si="12"/>
        <v>251.85546716537024</v>
      </c>
      <c r="H23" s="403">
        <f t="shared" si="3"/>
        <v>156.41780699999998</v>
      </c>
      <c r="I23" s="403">
        <f t="shared" si="13"/>
        <v>201.48437373229618</v>
      </c>
      <c r="J23" s="403">
        <f t="shared" si="14"/>
        <v>2031.8673129299998</v>
      </c>
      <c r="K23" s="403">
        <f t="shared" si="15"/>
        <v>2201.1895890074998</v>
      </c>
      <c r="L23" s="404">
        <f t="shared" si="16"/>
        <v>2370.5118650849995</v>
      </c>
      <c r="M23" s="688"/>
      <c r="N23" s="764" t="s">
        <v>581</v>
      </c>
      <c r="O23" s="768">
        <v>737.12683873501703</v>
      </c>
      <c r="P23" s="765">
        <v>767.13</v>
      </c>
      <c r="Q23" s="767">
        <f t="shared" si="9"/>
        <v>4.0702847445456491E-2</v>
      </c>
      <c r="R23" s="688"/>
      <c r="S23" s="400"/>
      <c r="T23" s="400"/>
      <c r="U23" s="400"/>
      <c r="V23" s="400"/>
      <c r="W23" s="400"/>
      <c r="X23" s="400"/>
      <c r="Y23" s="400"/>
      <c r="Z23" s="400"/>
      <c r="AA23" s="400"/>
      <c r="AB23" s="400"/>
      <c r="AC23" s="400"/>
      <c r="AD23" s="400"/>
      <c r="AE23" s="400"/>
      <c r="AF23" s="400"/>
      <c r="AG23" s="400"/>
      <c r="AH23" s="400"/>
      <c r="AI23" s="400"/>
      <c r="AJ23" s="400"/>
      <c r="AK23" s="400"/>
      <c r="AL23" s="400"/>
      <c r="AM23" s="400"/>
      <c r="AN23" s="400"/>
      <c r="AO23" s="400"/>
      <c r="AP23" s="400"/>
    </row>
    <row r="24" spans="1:42" ht="18" customHeight="1" x14ac:dyDescent="0.2">
      <c r="A24" s="682" t="s">
        <v>582</v>
      </c>
      <c r="B24" s="403">
        <v>937.98689504256026</v>
      </c>
      <c r="C24" s="403">
        <f t="shared" si="0"/>
        <v>1208.2364900867794</v>
      </c>
      <c r="D24" s="403">
        <f t="shared" si="11"/>
        <v>1299.1118496339459</v>
      </c>
      <c r="E24" s="403">
        <f t="shared" si="10"/>
        <v>1673.4075387701896</v>
      </c>
      <c r="F24" s="403">
        <f t="shared" si="2"/>
        <v>234.49672376064007</v>
      </c>
      <c r="G24" s="403">
        <f t="shared" si="12"/>
        <v>302.05912252169486</v>
      </c>
      <c r="H24" s="403">
        <f t="shared" si="3"/>
        <v>187.59737900851206</v>
      </c>
      <c r="I24" s="403">
        <f t="shared" si="13"/>
        <v>241.64729801735592</v>
      </c>
      <c r="J24" s="403">
        <f t="shared" si="14"/>
        <v>2436.8899533205713</v>
      </c>
      <c r="K24" s="403">
        <f t="shared" si="15"/>
        <v>2639.964116097286</v>
      </c>
      <c r="L24" s="404">
        <f t="shared" si="16"/>
        <v>2843.0382788739998</v>
      </c>
      <c r="M24" s="688"/>
      <c r="N24" s="764" t="s">
        <v>1147</v>
      </c>
      <c r="O24" s="768">
        <v>886.36416000000008</v>
      </c>
      <c r="P24" s="765">
        <v>920.04599808000012</v>
      </c>
      <c r="Q24" s="767">
        <f t="shared" si="9"/>
        <v>3.8000000000000034E-2</v>
      </c>
      <c r="R24" s="688"/>
      <c r="S24" s="400"/>
      <c r="T24" s="400"/>
      <c r="U24" s="400"/>
      <c r="V24" s="400"/>
      <c r="W24" s="400"/>
      <c r="X24" s="400"/>
      <c r="Y24" s="400"/>
      <c r="Z24" s="400"/>
      <c r="AA24" s="400"/>
      <c r="AB24" s="400"/>
      <c r="AC24" s="400"/>
      <c r="AD24" s="400"/>
      <c r="AE24" s="400"/>
      <c r="AF24" s="400"/>
      <c r="AG24" s="400"/>
      <c r="AH24" s="400"/>
      <c r="AI24" s="400"/>
      <c r="AJ24" s="400"/>
      <c r="AK24" s="400"/>
      <c r="AL24" s="400"/>
      <c r="AM24" s="400"/>
      <c r="AN24" s="400"/>
      <c r="AO24" s="400"/>
      <c r="AP24" s="400"/>
    </row>
    <row r="25" spans="1:42" ht="18" customHeight="1" x14ac:dyDescent="0.2">
      <c r="A25" s="682" t="s">
        <v>46</v>
      </c>
      <c r="B25" s="403">
        <v>2116.1641639642362</v>
      </c>
      <c r="C25" s="403">
        <f t="shared" si="0"/>
        <v>2725.8661879274541</v>
      </c>
      <c r="D25" s="403">
        <f t="shared" si="11"/>
        <v>2930.8873670904673</v>
      </c>
      <c r="E25" s="403">
        <f t="shared" si="10"/>
        <v>3775.3246702795245</v>
      </c>
      <c r="F25" s="403">
        <f t="shared" si="2"/>
        <v>529.04104099105905</v>
      </c>
      <c r="G25" s="403">
        <f t="shared" si="12"/>
        <v>681.46654698186353</v>
      </c>
      <c r="H25" s="403">
        <f t="shared" si="3"/>
        <v>423.23283279284726</v>
      </c>
      <c r="I25" s="403">
        <f t="shared" si="13"/>
        <v>545.17323758549094</v>
      </c>
      <c r="J25" s="403">
        <f t="shared" si="14"/>
        <v>5497.7944979790855</v>
      </c>
      <c r="K25" s="403">
        <f t="shared" si="15"/>
        <v>5955.9440394773437</v>
      </c>
      <c r="L25" s="404">
        <f t="shared" si="16"/>
        <v>6414.0935809756002</v>
      </c>
      <c r="M25" s="688"/>
      <c r="N25" s="764" t="s">
        <v>46</v>
      </c>
      <c r="O25" s="768">
        <v>1999.6996562826764</v>
      </c>
      <c r="P25" s="765">
        <v>2075.6882432214184</v>
      </c>
      <c r="Q25" s="767">
        <f t="shared" si="9"/>
        <v>3.8000000000000034E-2</v>
      </c>
      <c r="R25" s="688"/>
      <c r="S25" s="400"/>
      <c r="T25" s="400"/>
      <c r="U25" s="400"/>
      <c r="V25" s="400"/>
      <c r="W25" s="400"/>
      <c r="X25" s="400"/>
      <c r="Y25" s="400"/>
      <c r="Z25" s="400"/>
      <c r="AA25" s="400"/>
      <c r="AB25" s="400"/>
      <c r="AC25" s="400"/>
      <c r="AD25" s="400"/>
      <c r="AE25" s="400"/>
      <c r="AF25" s="400"/>
      <c r="AG25" s="400"/>
      <c r="AH25" s="400"/>
      <c r="AI25" s="400"/>
      <c r="AJ25" s="400"/>
      <c r="AK25" s="400"/>
      <c r="AL25" s="400"/>
      <c r="AM25" s="400"/>
      <c r="AN25" s="400"/>
      <c r="AO25" s="400"/>
      <c r="AP25" s="400"/>
    </row>
    <row r="26" spans="1:42" ht="18" customHeight="1" x14ac:dyDescent="0.2">
      <c r="A26" s="682" t="s">
        <v>772</v>
      </c>
      <c r="B26" s="403">
        <v>2925.5529204975501</v>
      </c>
      <c r="C26" s="403">
        <f t="shared" si="0"/>
        <v>3768.4532810713745</v>
      </c>
      <c r="D26" s="403">
        <f t="shared" si="11"/>
        <v>4051.8907948891069</v>
      </c>
      <c r="E26" s="403">
        <f t="shared" si="10"/>
        <v>5219.3077942838536</v>
      </c>
      <c r="F26" s="403">
        <f t="shared" si="2"/>
        <v>731.38823012438752</v>
      </c>
      <c r="G26" s="403">
        <f t="shared" si="12"/>
        <v>942.11332026784362</v>
      </c>
      <c r="H26" s="403">
        <f t="shared" si="3"/>
        <v>585.11058409950999</v>
      </c>
      <c r="I26" s="403">
        <f t="shared" si="13"/>
        <v>753.6906562142749</v>
      </c>
      <c r="J26" s="403">
        <f t="shared" si="14"/>
        <v>7600.5864874526342</v>
      </c>
      <c r="K26" s="403">
        <f t="shared" si="15"/>
        <v>8233.9686947403552</v>
      </c>
      <c r="L26" s="404">
        <f t="shared" si="16"/>
        <v>8867.3509020280726</v>
      </c>
      <c r="M26" s="688"/>
      <c r="N26" s="764" t="s">
        <v>1148</v>
      </c>
      <c r="O26" s="768">
        <v>2764.5431621885277</v>
      </c>
      <c r="P26" s="765">
        <v>2869.5958023516919</v>
      </c>
      <c r="Q26" s="767">
        <f t="shared" si="9"/>
        <v>3.8000000000000034E-2</v>
      </c>
      <c r="R26" s="688"/>
      <c r="S26" s="400"/>
      <c r="T26" s="400"/>
      <c r="U26" s="400"/>
      <c r="V26" s="400"/>
      <c r="W26" s="400"/>
      <c r="X26" s="400"/>
      <c r="Y26" s="400"/>
      <c r="Z26" s="400"/>
      <c r="AA26" s="400"/>
      <c r="AB26" s="400"/>
      <c r="AC26" s="400"/>
      <c r="AD26" s="400"/>
      <c r="AE26" s="400"/>
      <c r="AF26" s="400"/>
      <c r="AG26" s="400"/>
      <c r="AH26" s="400"/>
      <c r="AI26" s="400"/>
      <c r="AJ26" s="400"/>
      <c r="AK26" s="400"/>
      <c r="AL26" s="400"/>
      <c r="AM26" s="400"/>
      <c r="AN26" s="400"/>
      <c r="AO26" s="400"/>
      <c r="AP26" s="400"/>
    </row>
    <row r="27" spans="1:42" ht="18" customHeight="1" x14ac:dyDescent="0.2">
      <c r="A27" s="682" t="s">
        <v>773</v>
      </c>
      <c r="B27" s="403">
        <v>2169.3356880555348</v>
      </c>
      <c r="C27" s="403">
        <f t="shared" si="0"/>
        <v>2794.3573107567559</v>
      </c>
      <c r="D27" s="403">
        <f t="shared" si="11"/>
        <v>3004.5299279569158</v>
      </c>
      <c r="E27" s="403">
        <f t="shared" si="10"/>
        <v>3870.1848753981071</v>
      </c>
      <c r="F27" s="403">
        <f t="shared" si="2"/>
        <v>542.33392201388369</v>
      </c>
      <c r="G27" s="403">
        <f t="shared" si="12"/>
        <v>698.58932768918896</v>
      </c>
      <c r="H27" s="403">
        <f t="shared" si="3"/>
        <v>433.86713761110695</v>
      </c>
      <c r="I27" s="403">
        <f t="shared" si="13"/>
        <v>558.87146215135124</v>
      </c>
      <c r="J27" s="403">
        <f t="shared" si="14"/>
        <v>5635.9341175682794</v>
      </c>
      <c r="K27" s="403">
        <f t="shared" si="15"/>
        <v>6105.5952940323023</v>
      </c>
      <c r="L27" s="404">
        <f t="shared" si="16"/>
        <v>6575.2564704963252</v>
      </c>
      <c r="M27" s="688"/>
      <c r="N27" s="764" t="s">
        <v>1149</v>
      </c>
      <c r="O27" s="768">
        <v>2049.9448500441154</v>
      </c>
      <c r="P27" s="765">
        <v>2127.8427543457919</v>
      </c>
      <c r="Q27" s="767">
        <f t="shared" si="9"/>
        <v>3.8000000000000034E-2</v>
      </c>
      <c r="R27" s="688"/>
      <c r="S27" s="400"/>
      <c r="T27" s="400"/>
      <c r="U27" s="400"/>
      <c r="V27" s="400"/>
      <c r="W27" s="400"/>
      <c r="X27" s="400"/>
      <c r="Y27" s="400"/>
      <c r="Z27" s="400"/>
      <c r="AA27" s="400"/>
      <c r="AB27" s="400"/>
      <c r="AC27" s="400"/>
      <c r="AD27" s="400"/>
      <c r="AE27" s="400"/>
      <c r="AF27" s="400"/>
      <c r="AG27" s="400"/>
      <c r="AH27" s="400"/>
      <c r="AI27" s="400"/>
      <c r="AJ27" s="400"/>
      <c r="AK27" s="400"/>
      <c r="AL27" s="400"/>
      <c r="AM27" s="400"/>
      <c r="AN27" s="400"/>
      <c r="AO27" s="400"/>
      <c r="AP27" s="400"/>
    </row>
    <row r="28" spans="1:42" ht="18" customHeight="1" x14ac:dyDescent="0.2">
      <c r="A28" s="682" t="s">
        <v>774</v>
      </c>
      <c r="B28" s="403">
        <v>1671.4287044465016</v>
      </c>
      <c r="C28" s="403">
        <f t="shared" si="0"/>
        <v>2152.9950599140325</v>
      </c>
      <c r="D28" s="403">
        <f t="shared" si="11"/>
        <v>2314.9287556584045</v>
      </c>
      <c r="E28" s="403">
        <f t="shared" si="10"/>
        <v>2981.8981579809347</v>
      </c>
      <c r="F28" s="403">
        <f t="shared" si="2"/>
        <v>417.85717611162539</v>
      </c>
      <c r="G28" s="403">
        <f>F28*1.2881166</f>
        <v>538.24876497850812</v>
      </c>
      <c r="H28" s="403">
        <f t="shared" si="3"/>
        <v>334.28574088930031</v>
      </c>
      <c r="I28" s="403">
        <f>H28*1.2881166</f>
        <v>430.59901198280647</v>
      </c>
      <c r="J28" s="403">
        <f>B28*4.33*0.6</f>
        <v>4342.3717741520104</v>
      </c>
      <c r="K28" s="403">
        <f>B28*4.33*0.65</f>
        <v>4704.2360886646784</v>
      </c>
      <c r="L28" s="404">
        <f>B28*4.33*0.7</f>
        <v>5066.1004031773455</v>
      </c>
      <c r="M28" s="688"/>
      <c r="N28" s="764" t="s">
        <v>1150</v>
      </c>
      <c r="O28" s="768">
        <v>1579.4405097199046</v>
      </c>
      <c r="P28" s="765">
        <v>1639.459249089261</v>
      </c>
      <c r="Q28" s="767">
        <f t="shared" si="9"/>
        <v>3.8000000000000034E-2</v>
      </c>
      <c r="R28" s="688"/>
      <c r="S28" s="400"/>
      <c r="T28" s="400"/>
      <c r="U28" s="400"/>
      <c r="V28" s="400"/>
      <c r="W28" s="400"/>
      <c r="X28" s="400"/>
      <c r="Y28" s="400"/>
      <c r="Z28" s="400"/>
      <c r="AA28" s="400"/>
      <c r="AB28" s="400"/>
      <c r="AC28" s="400"/>
      <c r="AD28" s="400"/>
      <c r="AE28" s="400"/>
      <c r="AF28" s="400"/>
      <c r="AG28" s="400"/>
      <c r="AH28" s="400"/>
      <c r="AI28" s="400"/>
      <c r="AJ28" s="400"/>
      <c r="AK28" s="400"/>
      <c r="AL28" s="400"/>
      <c r="AM28" s="400"/>
      <c r="AN28" s="400"/>
      <c r="AO28" s="400"/>
      <c r="AP28" s="400"/>
    </row>
    <row r="29" spans="1:42" ht="18" customHeight="1" x14ac:dyDescent="0.2">
      <c r="A29" s="682" t="s">
        <v>760</v>
      </c>
      <c r="B29" s="403">
        <v>1260.4116169398058</v>
      </c>
      <c r="C29" s="403">
        <f t="shared" si="0"/>
        <v>1623.5571266130048</v>
      </c>
      <c r="D29" s="403">
        <f t="shared" si="11"/>
        <v>1745.6700894616311</v>
      </c>
      <c r="E29" s="403">
        <f t="shared" si="10"/>
        <v>2248.6266203590121</v>
      </c>
      <c r="F29" s="403">
        <f t="shared" si="2"/>
        <v>315.10290423495144</v>
      </c>
      <c r="G29" s="403">
        <f>F29*1.2881166</f>
        <v>405.8892816532512</v>
      </c>
      <c r="H29" s="403">
        <f t="shared" si="3"/>
        <v>252.08232338796114</v>
      </c>
      <c r="I29" s="403">
        <f>H29*1.2881166</f>
        <v>324.71142532260097</v>
      </c>
      <c r="J29" s="403">
        <f>B29*4.33*0.6</f>
        <v>3274.5493808096153</v>
      </c>
      <c r="K29" s="403">
        <f>B29*4.33*0.65</f>
        <v>3547.4284958770836</v>
      </c>
      <c r="L29" s="404">
        <f>B29*4.33*0.7</f>
        <v>3820.307610944551</v>
      </c>
      <c r="M29" s="688"/>
      <c r="N29" s="764" t="s">
        <v>760</v>
      </c>
      <c r="O29" s="768">
        <v>1191.044022051504</v>
      </c>
      <c r="P29" s="765">
        <v>1236.3036948894612</v>
      </c>
      <c r="Q29" s="767">
        <f t="shared" si="9"/>
        <v>3.8000000000000034E-2</v>
      </c>
      <c r="R29" s="688"/>
      <c r="S29" s="400"/>
      <c r="T29" s="400"/>
      <c r="U29" s="400"/>
      <c r="V29" s="400"/>
      <c r="W29" s="400"/>
      <c r="X29" s="400"/>
      <c r="Y29" s="400"/>
      <c r="Z29" s="400"/>
      <c r="AA29" s="400"/>
      <c r="AB29" s="400"/>
      <c r="AC29" s="400"/>
      <c r="AD29" s="400"/>
      <c r="AE29" s="400"/>
      <c r="AF29" s="400"/>
      <c r="AG29" s="400"/>
      <c r="AH29" s="400"/>
      <c r="AI29" s="400"/>
      <c r="AJ29" s="400"/>
      <c r="AK29" s="400"/>
      <c r="AL29" s="400"/>
      <c r="AM29" s="400"/>
      <c r="AN29" s="400"/>
      <c r="AO29" s="400"/>
      <c r="AP29" s="400"/>
    </row>
    <row r="30" spans="1:42" ht="18" customHeight="1" x14ac:dyDescent="0.2">
      <c r="A30" s="682" t="s">
        <v>583</v>
      </c>
      <c r="B30" s="403">
        <v>1230.4613423594053</v>
      </c>
      <c r="C30" s="403">
        <f t="shared" si="0"/>
        <v>1584.9776807514331</v>
      </c>
      <c r="D30" s="403">
        <f t="shared" si="11"/>
        <v>1704.1889591677764</v>
      </c>
      <c r="E30" s="403">
        <f t="shared" si="10"/>
        <v>2195.1940878407349</v>
      </c>
      <c r="F30" s="403">
        <f t="shared" si="2"/>
        <v>307.61533558985133</v>
      </c>
      <c r="G30" s="403">
        <f t="shared" si="12"/>
        <v>396.24442018785828</v>
      </c>
      <c r="H30" s="403">
        <f t="shared" si="3"/>
        <v>246.09226847188106</v>
      </c>
      <c r="I30" s="403">
        <f t="shared" si="13"/>
        <v>316.99553615028663</v>
      </c>
      <c r="J30" s="403">
        <f t="shared" si="14"/>
        <v>3196.738567449735</v>
      </c>
      <c r="K30" s="403">
        <f t="shared" si="15"/>
        <v>3463.1334480705468</v>
      </c>
      <c r="L30" s="404">
        <f t="shared" si="16"/>
        <v>3729.5283286913577</v>
      </c>
      <c r="M30" s="688"/>
      <c r="N30" s="764" t="s">
        <v>583</v>
      </c>
      <c r="O30" s="768">
        <v>1162.742080829797</v>
      </c>
      <c r="P30" s="765">
        <v>1206.9262799013293</v>
      </c>
      <c r="Q30" s="767">
        <f t="shared" si="9"/>
        <v>3.8000000000000034E-2</v>
      </c>
      <c r="R30" s="688"/>
      <c r="S30" s="400"/>
      <c r="T30" s="400"/>
      <c r="U30" s="400"/>
      <c r="V30" s="400"/>
      <c r="W30" s="400"/>
      <c r="X30" s="400"/>
      <c r="Y30" s="400"/>
      <c r="Z30" s="400"/>
      <c r="AA30" s="400"/>
      <c r="AB30" s="400"/>
      <c r="AC30" s="400"/>
      <c r="AD30" s="400"/>
      <c r="AE30" s="400"/>
      <c r="AF30" s="400"/>
      <c r="AG30" s="400"/>
      <c r="AH30" s="400"/>
      <c r="AI30" s="400"/>
      <c r="AJ30" s="400"/>
      <c r="AK30" s="400"/>
      <c r="AL30" s="400"/>
      <c r="AM30" s="400"/>
      <c r="AN30" s="400"/>
      <c r="AO30" s="400"/>
      <c r="AP30" s="400"/>
    </row>
    <row r="31" spans="1:42" ht="18" customHeight="1" x14ac:dyDescent="0.2">
      <c r="A31" s="682" t="s">
        <v>584</v>
      </c>
      <c r="B31" s="403">
        <v>936.93069500000001</v>
      </c>
      <c r="C31" s="403">
        <f t="shared" si="0"/>
        <v>1206.875981279037</v>
      </c>
      <c r="D31" s="403">
        <f t="shared" si="11"/>
        <v>1297.6490125749999</v>
      </c>
      <c r="E31" s="403">
        <f t="shared" si="10"/>
        <v>1671.523234071466</v>
      </c>
      <c r="F31" s="403">
        <f t="shared" si="2"/>
        <v>234.23267375</v>
      </c>
      <c r="G31" s="403">
        <f t="shared" si="12"/>
        <v>301.71899531975924</v>
      </c>
      <c r="H31" s="403">
        <f t="shared" si="3"/>
        <v>187.38613900000001</v>
      </c>
      <c r="I31" s="403">
        <f t="shared" si="13"/>
        <v>241.3751962558074</v>
      </c>
      <c r="J31" s="403">
        <f t="shared" si="14"/>
        <v>2434.1459456099997</v>
      </c>
      <c r="K31" s="403">
        <f t="shared" si="15"/>
        <v>2636.9914410775</v>
      </c>
      <c r="L31" s="404">
        <f t="shared" si="16"/>
        <v>2839.8369365449998</v>
      </c>
      <c r="M31" s="688"/>
      <c r="N31" s="764" t="s">
        <v>584</v>
      </c>
      <c r="O31" s="768">
        <v>885.36665690482869</v>
      </c>
      <c r="P31" s="765">
        <v>919.01</v>
      </c>
      <c r="Q31" s="767">
        <f t="shared" si="9"/>
        <v>3.7999333759400677E-2</v>
      </c>
      <c r="R31" s="688"/>
      <c r="S31" s="400"/>
      <c r="T31" s="400"/>
      <c r="U31" s="400"/>
      <c r="V31" s="400"/>
      <c r="W31" s="400"/>
      <c r="X31" s="400"/>
      <c r="Y31" s="400"/>
      <c r="Z31" s="400"/>
      <c r="AA31" s="400"/>
      <c r="AB31" s="400"/>
      <c r="AC31" s="400"/>
      <c r="AD31" s="400"/>
      <c r="AE31" s="400"/>
      <c r="AF31" s="400"/>
      <c r="AG31" s="400"/>
      <c r="AH31" s="400"/>
      <c r="AI31" s="400"/>
      <c r="AJ31" s="400"/>
      <c r="AK31" s="400"/>
      <c r="AL31" s="400"/>
      <c r="AM31" s="400"/>
      <c r="AN31" s="400"/>
      <c r="AO31" s="400"/>
      <c r="AP31" s="400"/>
    </row>
    <row r="32" spans="1:42" ht="18" customHeight="1" x14ac:dyDescent="0.2">
      <c r="A32" s="682" t="s">
        <v>761</v>
      </c>
      <c r="B32" s="403">
        <v>1260.4116169398058</v>
      </c>
      <c r="C32" s="403">
        <f t="shared" si="0"/>
        <v>1623.5571266130048</v>
      </c>
      <c r="D32" s="403">
        <f t="shared" si="11"/>
        <v>1745.6700894616311</v>
      </c>
      <c r="E32" s="403">
        <f t="shared" si="10"/>
        <v>2248.6266203590121</v>
      </c>
      <c r="F32" s="403">
        <f t="shared" si="2"/>
        <v>315.10290423495144</v>
      </c>
      <c r="G32" s="403">
        <f t="shared" si="12"/>
        <v>405.8892816532512</v>
      </c>
      <c r="H32" s="403">
        <f t="shared" si="3"/>
        <v>252.08232338796114</v>
      </c>
      <c r="I32" s="403">
        <f t="shared" si="13"/>
        <v>324.71142532260097</v>
      </c>
      <c r="J32" s="403">
        <f t="shared" si="14"/>
        <v>3274.5493808096153</v>
      </c>
      <c r="K32" s="403">
        <f t="shared" si="15"/>
        <v>3547.4284958770836</v>
      </c>
      <c r="L32" s="404">
        <f t="shared" si="16"/>
        <v>3820.307610944551</v>
      </c>
      <c r="M32" s="688"/>
      <c r="N32" s="764" t="s">
        <v>761</v>
      </c>
      <c r="O32" s="768">
        <v>1191.044022051504</v>
      </c>
      <c r="P32" s="765">
        <v>1236.3036948894612</v>
      </c>
      <c r="Q32" s="767">
        <f t="shared" si="9"/>
        <v>3.8000000000000034E-2</v>
      </c>
      <c r="R32" s="688"/>
      <c r="S32" s="400"/>
      <c r="T32" s="400"/>
      <c r="U32" s="400"/>
      <c r="V32" s="400"/>
      <c r="W32" s="400"/>
      <c r="X32" s="400"/>
      <c r="Y32" s="400"/>
      <c r="Z32" s="400"/>
      <c r="AA32" s="400"/>
      <c r="AB32" s="400"/>
      <c r="AC32" s="400"/>
      <c r="AD32" s="400"/>
      <c r="AE32" s="400"/>
      <c r="AF32" s="400"/>
      <c r="AG32" s="400"/>
      <c r="AH32" s="400"/>
      <c r="AI32" s="400"/>
      <c r="AJ32" s="400"/>
      <c r="AK32" s="400"/>
      <c r="AL32" s="400"/>
      <c r="AM32" s="400"/>
      <c r="AN32" s="400"/>
      <c r="AO32" s="400"/>
      <c r="AP32" s="400"/>
    </row>
    <row r="33" spans="1:42" ht="18" customHeight="1" x14ac:dyDescent="0.2">
      <c r="A33" s="682" t="s">
        <v>762</v>
      </c>
      <c r="B33" s="403">
        <v>1137.4240443026952</v>
      </c>
      <c r="C33" s="403">
        <f t="shared" si="0"/>
        <v>1465.1347927054369</v>
      </c>
      <c r="D33" s="403">
        <f t="shared" si="11"/>
        <v>1575.3323013592328</v>
      </c>
      <c r="E33" s="403">
        <f t="shared" si="10"/>
        <v>2029.2116878970303</v>
      </c>
      <c r="F33" s="403">
        <f t="shared" si="2"/>
        <v>284.35601107567379</v>
      </c>
      <c r="G33" s="403">
        <f t="shared" si="12"/>
        <v>366.28369817635922</v>
      </c>
      <c r="H33" s="403">
        <f t="shared" si="3"/>
        <v>227.48480886053903</v>
      </c>
      <c r="I33" s="403">
        <f t="shared" si="13"/>
        <v>293.02695854108742</v>
      </c>
      <c r="J33" s="403">
        <f t="shared" si="14"/>
        <v>2955.0276670984022</v>
      </c>
      <c r="K33" s="403">
        <f t="shared" si="15"/>
        <v>3201.2799726899357</v>
      </c>
      <c r="L33" s="404">
        <f t="shared" si="16"/>
        <v>3447.5322782814692</v>
      </c>
      <c r="M33" s="688"/>
      <c r="N33" s="764" t="s">
        <v>1151</v>
      </c>
      <c r="O33" s="768">
        <v>1074.8251525906624</v>
      </c>
      <c r="P33" s="765">
        <v>1115.6685083891075</v>
      </c>
      <c r="Q33" s="767">
        <f t="shared" si="9"/>
        <v>3.8000000000000034E-2</v>
      </c>
      <c r="R33" s="688"/>
      <c r="S33" s="400"/>
      <c r="T33" s="400"/>
      <c r="U33" s="400"/>
      <c r="V33" s="400"/>
      <c r="W33" s="400"/>
      <c r="X33" s="400"/>
      <c r="Y33" s="400"/>
      <c r="Z33" s="400"/>
      <c r="AA33" s="400"/>
      <c r="AB33" s="400"/>
      <c r="AC33" s="400"/>
      <c r="AD33" s="400"/>
      <c r="AE33" s="400"/>
      <c r="AF33" s="400"/>
      <c r="AG33" s="400"/>
      <c r="AH33" s="400"/>
      <c r="AI33" s="400"/>
      <c r="AJ33" s="400"/>
      <c r="AK33" s="400"/>
      <c r="AL33" s="400"/>
      <c r="AM33" s="400"/>
      <c r="AN33" s="400"/>
      <c r="AO33" s="400"/>
      <c r="AP33" s="400"/>
    </row>
    <row r="34" spans="1:42" ht="18" customHeight="1" x14ac:dyDescent="0.2">
      <c r="A34" s="682" t="s">
        <v>585</v>
      </c>
      <c r="B34" s="403">
        <v>914.65462000000002</v>
      </c>
      <c r="C34" s="403">
        <f t="shared" si="0"/>
        <v>1178.181799288692</v>
      </c>
      <c r="D34" s="403">
        <f t="shared" si="11"/>
        <v>1266.7966487000001</v>
      </c>
      <c r="E34" s="403">
        <f t="shared" si="10"/>
        <v>1631.7817920148384</v>
      </c>
      <c r="F34" s="403">
        <f t="shared" si="2"/>
        <v>228.66365500000001</v>
      </c>
      <c r="G34" s="403">
        <f t="shared" si="12"/>
        <v>294.545449822173</v>
      </c>
      <c r="H34" s="403">
        <f t="shared" si="3"/>
        <v>182.930924</v>
      </c>
      <c r="I34" s="403">
        <f t="shared" si="13"/>
        <v>235.6363598577384</v>
      </c>
      <c r="J34" s="403">
        <f t="shared" si="14"/>
        <v>2376.2727027599999</v>
      </c>
      <c r="K34" s="403">
        <f t="shared" si="15"/>
        <v>2574.2954279900005</v>
      </c>
      <c r="L34" s="404">
        <f t="shared" si="16"/>
        <v>2772.3181532200001</v>
      </c>
      <c r="M34" s="688"/>
      <c r="N34" s="764" t="s">
        <v>585</v>
      </c>
      <c r="O34" s="768">
        <v>864.31839501789239</v>
      </c>
      <c r="P34" s="765">
        <v>897.16</v>
      </c>
      <c r="Q34" s="767">
        <f t="shared" si="9"/>
        <v>3.7997114456215675E-2</v>
      </c>
      <c r="R34" s="688"/>
      <c r="S34" s="400"/>
      <c r="T34" s="400"/>
      <c r="U34" s="400"/>
      <c r="V34" s="400"/>
      <c r="W34" s="400"/>
      <c r="X34" s="400"/>
      <c r="Y34" s="400"/>
      <c r="Z34" s="400"/>
      <c r="AA34" s="400"/>
      <c r="AB34" s="400"/>
      <c r="AC34" s="400"/>
      <c r="AD34" s="400"/>
      <c r="AE34" s="400"/>
      <c r="AF34" s="400"/>
      <c r="AG34" s="400"/>
      <c r="AH34" s="400"/>
      <c r="AI34" s="400"/>
      <c r="AJ34" s="400"/>
      <c r="AK34" s="400"/>
      <c r="AL34" s="400"/>
      <c r="AM34" s="400"/>
      <c r="AN34" s="400"/>
      <c r="AO34" s="400"/>
      <c r="AP34" s="400"/>
    </row>
    <row r="35" spans="1:42" ht="18" customHeight="1" x14ac:dyDescent="0.2">
      <c r="A35" s="682" t="s">
        <v>586</v>
      </c>
      <c r="B35" s="403">
        <v>1098.2119379497478</v>
      </c>
      <c r="C35" s="403">
        <f t="shared" si="0"/>
        <v>1414.62502759124</v>
      </c>
      <c r="D35" s="403">
        <f t="shared" si="11"/>
        <v>1521.0235340604008</v>
      </c>
      <c r="E35" s="403">
        <f t="shared" si="10"/>
        <v>1959.2556632138676</v>
      </c>
      <c r="F35" s="403">
        <f t="shared" si="2"/>
        <v>274.55298448743696</v>
      </c>
      <c r="G35" s="403">
        <f t="shared" si="12"/>
        <v>353.65625689781001</v>
      </c>
      <c r="H35" s="403">
        <f t="shared" si="3"/>
        <v>219.64238758994958</v>
      </c>
      <c r="I35" s="403">
        <f t="shared" si="13"/>
        <v>282.92500551824804</v>
      </c>
      <c r="J35" s="403">
        <f t="shared" si="14"/>
        <v>2853.154614793445</v>
      </c>
      <c r="K35" s="403">
        <f t="shared" si="15"/>
        <v>3090.9174993595657</v>
      </c>
      <c r="L35" s="404">
        <f t="shared" si="16"/>
        <v>3328.6803839256859</v>
      </c>
      <c r="M35" s="688"/>
      <c r="N35" s="764" t="s">
        <v>586</v>
      </c>
      <c r="O35" s="768">
        <v>1037.7711106919385</v>
      </c>
      <c r="P35" s="765">
        <v>1077.2064128982322</v>
      </c>
      <c r="Q35" s="767">
        <f t="shared" si="9"/>
        <v>3.8000000000000034E-2</v>
      </c>
      <c r="R35" s="688"/>
      <c r="S35" s="400"/>
      <c r="T35" s="400"/>
      <c r="U35" s="400"/>
      <c r="V35" s="400"/>
      <c r="W35" s="400"/>
      <c r="X35" s="400"/>
      <c r="Y35" s="400"/>
      <c r="Z35" s="400"/>
      <c r="AA35" s="400"/>
      <c r="AB35" s="400"/>
      <c r="AC35" s="400"/>
      <c r="AD35" s="400"/>
      <c r="AE35" s="400"/>
      <c r="AF35" s="400"/>
      <c r="AG35" s="400"/>
      <c r="AH35" s="400"/>
      <c r="AI35" s="400"/>
      <c r="AJ35" s="400"/>
      <c r="AK35" s="400"/>
      <c r="AL35" s="400"/>
      <c r="AM35" s="400"/>
      <c r="AN35" s="400"/>
      <c r="AO35" s="400"/>
      <c r="AP35" s="400"/>
    </row>
    <row r="36" spans="1:42" ht="18" customHeight="1" x14ac:dyDescent="0.2">
      <c r="A36" s="682" t="s">
        <v>763</v>
      </c>
      <c r="B36" s="403">
        <v>1098.2119379497478</v>
      </c>
      <c r="C36" s="403">
        <f t="shared" si="0"/>
        <v>1414.62502759124</v>
      </c>
      <c r="D36" s="403">
        <f t="shared" si="11"/>
        <v>1521.0235340604008</v>
      </c>
      <c r="E36" s="403">
        <f t="shared" si="10"/>
        <v>1959.2556632138676</v>
      </c>
      <c r="F36" s="403">
        <f t="shared" si="2"/>
        <v>274.55298448743696</v>
      </c>
      <c r="G36" s="403">
        <f t="shared" si="12"/>
        <v>353.65625689781001</v>
      </c>
      <c r="H36" s="403">
        <f t="shared" si="3"/>
        <v>219.64238758994958</v>
      </c>
      <c r="I36" s="403">
        <f t="shared" si="13"/>
        <v>282.92500551824804</v>
      </c>
      <c r="J36" s="403">
        <f t="shared" si="14"/>
        <v>2853.154614793445</v>
      </c>
      <c r="K36" s="403">
        <f t="shared" si="15"/>
        <v>3090.9174993595657</v>
      </c>
      <c r="L36" s="404">
        <f t="shared" si="16"/>
        <v>3328.6803839256859</v>
      </c>
      <c r="M36" s="688"/>
      <c r="N36" s="764" t="s">
        <v>763</v>
      </c>
      <c r="O36" s="768">
        <v>1037.7711106919385</v>
      </c>
      <c r="P36" s="765">
        <v>1077.2064128982322</v>
      </c>
      <c r="Q36" s="767">
        <f t="shared" si="9"/>
        <v>3.8000000000000034E-2</v>
      </c>
      <c r="R36" s="688"/>
      <c r="S36" s="400"/>
      <c r="T36" s="400"/>
      <c r="U36" s="400"/>
      <c r="V36" s="400"/>
      <c r="W36" s="400"/>
      <c r="X36" s="400"/>
      <c r="Y36" s="400"/>
      <c r="Z36" s="400"/>
      <c r="AA36" s="400"/>
      <c r="AB36" s="400"/>
      <c r="AC36" s="400"/>
      <c r="AD36" s="400"/>
      <c r="AE36" s="400"/>
      <c r="AF36" s="400"/>
      <c r="AG36" s="400"/>
      <c r="AH36" s="400"/>
      <c r="AI36" s="400"/>
      <c r="AJ36" s="400"/>
      <c r="AK36" s="400"/>
      <c r="AL36" s="400"/>
      <c r="AM36" s="400"/>
      <c r="AN36" s="400"/>
      <c r="AO36" s="400"/>
      <c r="AP36" s="400"/>
    </row>
    <row r="37" spans="1:42" ht="18" customHeight="1" x14ac:dyDescent="0.2">
      <c r="A37" s="682" t="s">
        <v>587</v>
      </c>
      <c r="B37" s="403">
        <v>772.88294999999994</v>
      </c>
      <c r="C37" s="403">
        <f t="shared" si="0"/>
        <v>995.56335775196987</v>
      </c>
      <c r="D37" s="403">
        <f t="shared" si="11"/>
        <v>1070.44288575</v>
      </c>
      <c r="E37" s="403">
        <f t="shared" si="10"/>
        <v>1378.8552504864783</v>
      </c>
      <c r="F37" s="403">
        <f t="shared" si="2"/>
        <v>193.22073749999998</v>
      </c>
      <c r="G37" s="403">
        <f t="shared" si="12"/>
        <v>248.89083943799247</v>
      </c>
      <c r="H37" s="403">
        <f t="shared" si="3"/>
        <v>154.57658999999998</v>
      </c>
      <c r="I37" s="403">
        <f t="shared" si="13"/>
        <v>199.11267155039397</v>
      </c>
      <c r="J37" s="403">
        <f t="shared" si="14"/>
        <v>2007.9499040999997</v>
      </c>
      <c r="K37" s="403">
        <f t="shared" si="15"/>
        <v>2175.2790627750001</v>
      </c>
      <c r="L37" s="404">
        <f t="shared" si="16"/>
        <v>2342.6082214499997</v>
      </c>
      <c r="M37" s="688"/>
      <c r="N37" s="764" t="s">
        <v>587</v>
      </c>
      <c r="O37" s="768">
        <v>728.09755881134095</v>
      </c>
      <c r="P37" s="765">
        <v>758.1</v>
      </c>
      <c r="Q37" s="767">
        <f t="shared" si="9"/>
        <v>4.1206622416973593E-2</v>
      </c>
      <c r="R37" s="688"/>
      <c r="S37" s="400"/>
      <c r="T37" s="400"/>
      <c r="U37" s="400"/>
      <c r="V37" s="400"/>
      <c r="W37" s="400"/>
      <c r="X37" s="400"/>
      <c r="Y37" s="400"/>
      <c r="Z37" s="400"/>
      <c r="AA37" s="400"/>
      <c r="AB37" s="400"/>
      <c r="AC37" s="400"/>
      <c r="AD37" s="400"/>
      <c r="AE37" s="400"/>
      <c r="AF37" s="400"/>
      <c r="AG37" s="400"/>
      <c r="AH37" s="400"/>
      <c r="AI37" s="400"/>
      <c r="AJ37" s="400"/>
      <c r="AK37" s="400"/>
      <c r="AL37" s="400"/>
      <c r="AM37" s="400"/>
      <c r="AN37" s="400"/>
      <c r="AO37" s="400"/>
      <c r="AP37" s="400"/>
    </row>
    <row r="38" spans="1:42" ht="18" customHeight="1" x14ac:dyDescent="0.2">
      <c r="A38" s="682" t="s">
        <v>764</v>
      </c>
      <c r="B38" s="403">
        <v>1341.1377594006958</v>
      </c>
      <c r="C38" s="403">
        <f t="shared" si="0"/>
        <v>1727.5418107708422</v>
      </c>
      <c r="D38" s="403">
        <f t="shared" si="11"/>
        <v>1857.4757967699636</v>
      </c>
      <c r="E38" s="403">
        <f t="shared" si="10"/>
        <v>2392.6454079176165</v>
      </c>
      <c r="F38" s="403">
        <f t="shared" si="2"/>
        <v>335.28443985017395</v>
      </c>
      <c r="G38" s="403">
        <f t="shared" si="12"/>
        <v>431.88545269271054</v>
      </c>
      <c r="H38" s="403">
        <f t="shared" si="3"/>
        <v>268.22755188013917</v>
      </c>
      <c r="I38" s="403">
        <f t="shared" si="13"/>
        <v>345.50836215416848</v>
      </c>
      <c r="J38" s="403">
        <f t="shared" si="14"/>
        <v>3484.2758989230078</v>
      </c>
      <c r="K38" s="403">
        <f t="shared" si="15"/>
        <v>3774.6322238332586</v>
      </c>
      <c r="L38" s="404">
        <f t="shared" si="16"/>
        <v>4064.988548743509</v>
      </c>
      <c r="M38" s="688"/>
      <c r="N38" s="764" t="s">
        <v>764</v>
      </c>
      <c r="O38" s="768">
        <v>1267.3273473629311</v>
      </c>
      <c r="P38" s="765">
        <v>1315.4857865627225</v>
      </c>
      <c r="Q38" s="767">
        <f t="shared" si="9"/>
        <v>3.8000000000000034E-2</v>
      </c>
      <c r="R38" s="688"/>
      <c r="S38" s="400"/>
      <c r="T38" s="400"/>
      <c r="U38" s="400"/>
      <c r="V38" s="400"/>
      <c r="W38" s="400"/>
      <c r="X38" s="400"/>
      <c r="Y38" s="400"/>
      <c r="Z38" s="400"/>
      <c r="AA38" s="400"/>
      <c r="AB38" s="400"/>
      <c r="AC38" s="400"/>
      <c r="AD38" s="400"/>
      <c r="AE38" s="400"/>
      <c r="AF38" s="400"/>
      <c r="AG38" s="400"/>
      <c r="AH38" s="400"/>
      <c r="AI38" s="400"/>
      <c r="AJ38" s="400"/>
      <c r="AK38" s="400"/>
      <c r="AL38" s="400"/>
      <c r="AM38" s="400"/>
      <c r="AN38" s="400"/>
      <c r="AO38" s="400"/>
      <c r="AP38" s="400"/>
    </row>
    <row r="39" spans="1:42" ht="18" customHeight="1" x14ac:dyDescent="0.2">
      <c r="A39" s="682" t="s">
        <v>612</v>
      </c>
      <c r="B39" s="403">
        <v>875.37328500000001</v>
      </c>
      <c r="C39" s="403">
        <f t="shared" si="0"/>
        <v>1127.582859605031</v>
      </c>
      <c r="D39" s="403">
        <f t="shared" si="11"/>
        <v>1212.391999725</v>
      </c>
      <c r="E39" s="403">
        <f t="shared" si="10"/>
        <v>1561.7022605529678</v>
      </c>
      <c r="F39" s="403">
        <f t="shared" si="2"/>
        <v>218.84332125</v>
      </c>
      <c r="G39" s="403">
        <f t="shared" si="12"/>
        <v>281.89571490125775</v>
      </c>
      <c r="H39" s="403">
        <f t="shared" si="3"/>
        <v>175.074657</v>
      </c>
      <c r="I39" s="403">
        <f t="shared" si="13"/>
        <v>225.5165719210062</v>
      </c>
      <c r="J39" s="403">
        <f t="shared" si="14"/>
        <v>2274.2197944300001</v>
      </c>
      <c r="K39" s="403">
        <f t="shared" si="15"/>
        <v>2463.7381106325001</v>
      </c>
      <c r="L39" s="404">
        <f t="shared" si="16"/>
        <v>2653.2564268349997</v>
      </c>
      <c r="M39" s="688"/>
      <c r="N39" s="764" t="s">
        <v>612</v>
      </c>
      <c r="O39" s="768">
        <v>827.19945398129687</v>
      </c>
      <c r="P39" s="765">
        <v>858.63</v>
      </c>
      <c r="Q39" s="767">
        <f t="shared" si="9"/>
        <v>3.7996333130333237E-2</v>
      </c>
      <c r="R39" s="688"/>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row>
    <row r="40" spans="1:42" ht="18" customHeight="1" x14ac:dyDescent="0.2">
      <c r="A40" s="682" t="s">
        <v>611</v>
      </c>
      <c r="B40" s="403">
        <v>1005.8523825136507</v>
      </c>
      <c r="C40" s="403">
        <f t="shared" si="0"/>
        <v>1295.6551510653831</v>
      </c>
      <c r="D40" s="403">
        <f t="shared" si="11"/>
        <v>1393.1055497814061</v>
      </c>
      <c r="E40" s="403">
        <f t="shared" si="10"/>
        <v>1794.4823842255555</v>
      </c>
      <c r="F40" s="403">
        <f t="shared" si="2"/>
        <v>251.46309562841267</v>
      </c>
      <c r="G40" s="403">
        <f>F40*1.2881166</f>
        <v>323.91378776634576</v>
      </c>
      <c r="H40" s="403">
        <f t="shared" si="3"/>
        <v>201.17047650273014</v>
      </c>
      <c r="I40" s="403">
        <f>H40*1.2881166</f>
        <v>259.1310302130766</v>
      </c>
      <c r="J40" s="403">
        <f>B40*4.33*0.6</f>
        <v>2613.2044897704645</v>
      </c>
      <c r="K40" s="403">
        <f>B40*4.33*0.65</f>
        <v>2830.9715305846703</v>
      </c>
      <c r="L40" s="404">
        <f>B40*4.33*0.7</f>
        <v>3048.7385713988751</v>
      </c>
      <c r="M40" s="688"/>
      <c r="N40" s="764" t="s">
        <v>611</v>
      </c>
      <c r="O40" s="768">
        <v>950.49462505577708</v>
      </c>
      <c r="P40" s="765">
        <v>986.61342080789666</v>
      </c>
      <c r="Q40" s="767">
        <f t="shared" si="9"/>
        <v>3.8000000000000034E-2</v>
      </c>
      <c r="R40" s="688"/>
      <c r="S40" s="400"/>
      <c r="T40" s="400"/>
      <c r="U40" s="400"/>
      <c r="V40" s="400"/>
      <c r="W40" s="400"/>
      <c r="X40" s="400"/>
      <c r="Y40" s="400"/>
      <c r="Z40" s="400"/>
      <c r="AA40" s="400"/>
      <c r="AB40" s="400"/>
      <c r="AC40" s="400"/>
      <c r="AD40" s="400"/>
      <c r="AE40" s="400"/>
      <c r="AF40" s="400"/>
      <c r="AG40" s="400"/>
      <c r="AH40" s="400"/>
      <c r="AI40" s="400"/>
      <c r="AJ40" s="400"/>
      <c r="AK40" s="400"/>
      <c r="AL40" s="400"/>
      <c r="AM40" s="400"/>
      <c r="AN40" s="400"/>
      <c r="AO40" s="400"/>
      <c r="AP40" s="400"/>
    </row>
    <row r="41" spans="1:42" ht="18" customHeight="1" x14ac:dyDescent="0.2">
      <c r="A41" s="682" t="s">
        <v>617</v>
      </c>
      <c r="B41" s="403">
        <v>1341.1377594006958</v>
      </c>
      <c r="C41" s="403">
        <f t="shared" si="0"/>
        <v>1727.5418107708422</v>
      </c>
      <c r="D41" s="403">
        <f t="shared" si="11"/>
        <v>1857.4757967699636</v>
      </c>
      <c r="E41" s="403">
        <f t="shared" si="10"/>
        <v>2392.6454079176165</v>
      </c>
      <c r="F41" s="403">
        <f t="shared" si="2"/>
        <v>335.28443985017395</v>
      </c>
      <c r="G41" s="403">
        <f>F41*1.2881166</f>
        <v>431.88545269271054</v>
      </c>
      <c r="H41" s="403">
        <f t="shared" si="3"/>
        <v>268.22755188013917</v>
      </c>
      <c r="I41" s="403">
        <f>H41*1.2881166</f>
        <v>345.50836215416848</v>
      </c>
      <c r="J41" s="403">
        <f>B41*4.33*0.6</f>
        <v>3484.2758989230078</v>
      </c>
      <c r="K41" s="403">
        <f>B41*4.33*0.65</f>
        <v>3774.6322238332586</v>
      </c>
      <c r="L41" s="404">
        <f>B41*4.33*0.7</f>
        <v>4064.988548743509</v>
      </c>
      <c r="M41" s="688"/>
      <c r="N41" s="764" t="s">
        <v>617</v>
      </c>
      <c r="O41" s="768">
        <v>1267.3273473629311</v>
      </c>
      <c r="P41" s="765">
        <v>1315.4857865627225</v>
      </c>
      <c r="Q41" s="767">
        <f t="shared" si="9"/>
        <v>3.8000000000000034E-2</v>
      </c>
      <c r="R41" s="688"/>
      <c r="S41" s="400"/>
      <c r="T41" s="400"/>
      <c r="U41" s="400"/>
      <c r="V41" s="400"/>
      <c r="W41" s="400"/>
      <c r="X41" s="400"/>
      <c r="Y41" s="400"/>
      <c r="Z41" s="400"/>
      <c r="AA41" s="400"/>
      <c r="AB41" s="400"/>
      <c r="AC41" s="400"/>
      <c r="AD41" s="400"/>
      <c r="AE41" s="400"/>
      <c r="AF41" s="400"/>
      <c r="AG41" s="400"/>
      <c r="AH41" s="400"/>
      <c r="AI41" s="400"/>
      <c r="AJ41" s="400"/>
      <c r="AK41" s="400"/>
      <c r="AL41" s="400"/>
      <c r="AM41" s="400"/>
      <c r="AN41" s="400"/>
      <c r="AO41" s="400"/>
      <c r="AP41" s="400"/>
    </row>
    <row r="42" spans="1:42" ht="18" customHeight="1" x14ac:dyDescent="0.2">
      <c r="A42" s="682" t="s">
        <v>588</v>
      </c>
      <c r="B42" s="403">
        <v>1099.70914716672</v>
      </c>
      <c r="C42" s="403">
        <f t="shared" si="0"/>
        <v>1416.5536076372948</v>
      </c>
      <c r="D42" s="403">
        <f t="shared" si="11"/>
        <v>1523.0971688259071</v>
      </c>
      <c r="E42" s="403">
        <f t="shared" si="10"/>
        <v>1961.9267465776534</v>
      </c>
      <c r="F42" s="403">
        <f t="shared" si="2"/>
        <v>274.92728679167999</v>
      </c>
      <c r="G42" s="403">
        <f t="shared" si="12"/>
        <v>354.1384019093237</v>
      </c>
      <c r="H42" s="403">
        <f t="shared" si="3"/>
        <v>219.941829433344</v>
      </c>
      <c r="I42" s="403">
        <f t="shared" si="13"/>
        <v>283.31072152745901</v>
      </c>
      <c r="J42" s="403">
        <f t="shared" si="14"/>
        <v>2857.0443643391382</v>
      </c>
      <c r="K42" s="403">
        <f t="shared" si="15"/>
        <v>3095.1313947007334</v>
      </c>
      <c r="L42" s="404">
        <f t="shared" si="16"/>
        <v>3333.2184250623277</v>
      </c>
      <c r="M42" s="688"/>
      <c r="N42" s="764" t="s">
        <v>588</v>
      </c>
      <c r="O42" s="768">
        <v>1039.1859200000001</v>
      </c>
      <c r="P42" s="765">
        <v>1078.6749849600001</v>
      </c>
      <c r="Q42" s="767">
        <f t="shared" si="9"/>
        <v>3.8000000000000034E-2</v>
      </c>
      <c r="R42" s="688"/>
      <c r="S42" s="400"/>
      <c r="T42" s="400"/>
      <c r="U42" s="400"/>
      <c r="V42" s="400"/>
      <c r="W42" s="400"/>
      <c r="X42" s="400"/>
      <c r="Y42" s="400"/>
      <c r="Z42" s="400"/>
      <c r="AA42" s="400"/>
      <c r="AB42" s="400"/>
      <c r="AC42" s="400"/>
      <c r="AD42" s="400"/>
      <c r="AE42" s="400"/>
      <c r="AF42" s="400"/>
      <c r="AG42" s="400"/>
      <c r="AH42" s="400"/>
      <c r="AI42" s="400"/>
      <c r="AJ42" s="400"/>
      <c r="AK42" s="400"/>
      <c r="AL42" s="400"/>
      <c r="AM42" s="400"/>
      <c r="AN42" s="400"/>
      <c r="AO42" s="400"/>
      <c r="AP42" s="400"/>
    </row>
    <row r="43" spans="1:42" ht="18" customHeight="1" x14ac:dyDescent="0.2">
      <c r="A43" s="682" t="s">
        <v>589</v>
      </c>
      <c r="B43" s="403">
        <v>1018.8523556597762</v>
      </c>
      <c r="C43" s="403">
        <f t="shared" ref="C43:C59" si="17">B43*1.2881166</f>
        <v>1312.4006322744617</v>
      </c>
      <c r="D43" s="403">
        <f t="shared" si="11"/>
        <v>1411.11051258879</v>
      </c>
      <c r="E43" s="403">
        <f t="shared" si="10"/>
        <v>1817.6748757001294</v>
      </c>
      <c r="F43" s="403">
        <f t="shared" ref="F43:F59" si="18">B43/4</f>
        <v>254.71308891494405</v>
      </c>
      <c r="G43" s="403">
        <f t="shared" si="12"/>
        <v>328.10015806861543</v>
      </c>
      <c r="H43" s="403">
        <f t="shared" ref="H43:H59" si="19">B43/5</f>
        <v>203.77047113195525</v>
      </c>
      <c r="I43" s="403">
        <f t="shared" si="13"/>
        <v>262.48012645489234</v>
      </c>
      <c r="J43" s="403">
        <f t="shared" si="14"/>
        <v>2646.9784200040986</v>
      </c>
      <c r="K43" s="403">
        <f t="shared" si="15"/>
        <v>2867.5599550044403</v>
      </c>
      <c r="L43" s="404">
        <f t="shared" si="16"/>
        <v>3088.1414900047816</v>
      </c>
      <c r="M43" s="688"/>
      <c r="N43" s="764" t="s">
        <v>589</v>
      </c>
      <c r="O43" s="768">
        <v>962.77913600000011</v>
      </c>
      <c r="P43" s="765">
        <v>999.36474316800013</v>
      </c>
      <c r="Q43" s="767">
        <f t="shared" si="9"/>
        <v>3.8000000000000034E-2</v>
      </c>
      <c r="R43" s="688"/>
      <c r="S43" s="400"/>
      <c r="T43" s="400"/>
      <c r="U43" s="400"/>
      <c r="V43" s="400"/>
      <c r="W43" s="400"/>
      <c r="X43" s="400"/>
      <c r="Y43" s="400"/>
      <c r="Z43" s="400"/>
      <c r="AA43" s="400"/>
      <c r="AB43" s="400"/>
      <c r="AC43" s="400"/>
      <c r="AD43" s="400"/>
      <c r="AE43" s="400"/>
      <c r="AF43" s="400"/>
      <c r="AG43" s="400"/>
      <c r="AH43" s="400"/>
      <c r="AI43" s="400"/>
      <c r="AJ43" s="400"/>
      <c r="AK43" s="400"/>
      <c r="AL43" s="400"/>
      <c r="AM43" s="400"/>
      <c r="AN43" s="400"/>
      <c r="AO43" s="400"/>
      <c r="AP43" s="400"/>
    </row>
    <row r="44" spans="1:42" ht="18" customHeight="1" x14ac:dyDescent="0.2">
      <c r="A44" s="682" t="s">
        <v>590</v>
      </c>
      <c r="B44" s="403">
        <v>1445.8771446850508</v>
      </c>
      <c r="C44" s="403">
        <f t="shared" si="17"/>
        <v>1862.4583516294156</v>
      </c>
      <c r="D44" s="403">
        <f t="shared" si="11"/>
        <v>2002.5398453887954</v>
      </c>
      <c r="E44" s="403">
        <f t="shared" si="10"/>
        <v>2579.5048170067407</v>
      </c>
      <c r="F44" s="403">
        <f t="shared" si="18"/>
        <v>361.4692861712627</v>
      </c>
      <c r="G44" s="403">
        <f t="shared" si="12"/>
        <v>465.61458790735389</v>
      </c>
      <c r="H44" s="403">
        <f t="shared" si="19"/>
        <v>289.17542893701017</v>
      </c>
      <c r="I44" s="403">
        <f t="shared" si="13"/>
        <v>372.49167032588315</v>
      </c>
      <c r="J44" s="403">
        <f t="shared" si="14"/>
        <v>3756.3888218917618</v>
      </c>
      <c r="K44" s="403">
        <f t="shared" si="15"/>
        <v>4069.4212237160755</v>
      </c>
      <c r="L44" s="404">
        <f t="shared" si="16"/>
        <v>4382.4536255403891</v>
      </c>
      <c r="M44" s="688"/>
      <c r="N44" s="764" t="s">
        <v>590</v>
      </c>
      <c r="O44" s="768">
        <v>1366.3023306459029</v>
      </c>
      <c r="P44" s="765">
        <v>1418.2218192104472</v>
      </c>
      <c r="Q44" s="767">
        <f t="shared" si="9"/>
        <v>3.8000000000000034E-2</v>
      </c>
      <c r="R44" s="688"/>
      <c r="S44" s="400"/>
      <c r="T44" s="400"/>
      <c r="U44" s="400"/>
      <c r="V44" s="400"/>
      <c r="W44" s="400"/>
      <c r="X44" s="400"/>
      <c r="Y44" s="400"/>
      <c r="Z44" s="400"/>
      <c r="AA44" s="400"/>
      <c r="AB44" s="400"/>
      <c r="AC44" s="400"/>
      <c r="AD44" s="400"/>
      <c r="AE44" s="400"/>
      <c r="AF44" s="400"/>
      <c r="AG44" s="400"/>
      <c r="AH44" s="400"/>
      <c r="AI44" s="400"/>
      <c r="AJ44" s="400"/>
      <c r="AK44" s="400"/>
      <c r="AL44" s="400"/>
      <c r="AM44" s="400"/>
      <c r="AN44" s="400"/>
      <c r="AO44" s="400"/>
      <c r="AP44" s="400"/>
    </row>
    <row r="45" spans="1:42" ht="18" customHeight="1" x14ac:dyDescent="0.2">
      <c r="A45" s="682" t="s">
        <v>591</v>
      </c>
      <c r="B45" s="403">
        <v>1002.6801304473599</v>
      </c>
      <c r="C45" s="403">
        <f t="shared" si="17"/>
        <v>1291.5689205194096</v>
      </c>
      <c r="D45" s="403">
        <f t="shared" si="11"/>
        <v>1388.7119806695935</v>
      </c>
      <c r="E45" s="403">
        <f t="shared" si="10"/>
        <v>1788.8229549193825</v>
      </c>
      <c r="F45" s="403">
        <f t="shared" si="18"/>
        <v>250.67003261183999</v>
      </c>
      <c r="G45" s="403">
        <f t="shared" si="12"/>
        <v>322.89223012985241</v>
      </c>
      <c r="H45" s="403">
        <f t="shared" si="19"/>
        <v>200.53602608947199</v>
      </c>
      <c r="I45" s="403">
        <f t="shared" si="13"/>
        <v>258.31378410388191</v>
      </c>
      <c r="J45" s="403">
        <f t="shared" si="14"/>
        <v>2604.9629789022415</v>
      </c>
      <c r="K45" s="403">
        <f t="shared" si="15"/>
        <v>2822.043227144095</v>
      </c>
      <c r="L45" s="404">
        <f t="shared" si="16"/>
        <v>3039.123475385948</v>
      </c>
      <c r="M45" s="688"/>
      <c r="N45" s="764" t="s">
        <v>591</v>
      </c>
      <c r="O45" s="768">
        <v>947.49695999999994</v>
      </c>
      <c r="P45" s="765">
        <v>983.50184447999993</v>
      </c>
      <c r="Q45" s="767">
        <f t="shared" si="9"/>
        <v>3.8000000000000034E-2</v>
      </c>
      <c r="R45" s="688"/>
      <c r="S45" s="400"/>
      <c r="T45" s="400"/>
      <c r="U45" s="400"/>
      <c r="V45" s="400"/>
      <c r="W45" s="400"/>
      <c r="X45" s="400"/>
      <c r="Y45" s="400"/>
      <c r="Z45" s="400"/>
      <c r="AA45" s="400"/>
      <c r="AB45" s="400"/>
      <c r="AC45" s="400"/>
      <c r="AD45" s="400"/>
      <c r="AE45" s="400"/>
      <c r="AF45" s="400"/>
      <c r="AG45" s="400"/>
      <c r="AH45" s="400"/>
      <c r="AI45" s="400"/>
      <c r="AJ45" s="400"/>
      <c r="AK45" s="400"/>
      <c r="AL45" s="400"/>
      <c r="AM45" s="400"/>
      <c r="AN45" s="400"/>
      <c r="AO45" s="400"/>
      <c r="AP45" s="400"/>
    </row>
    <row r="46" spans="1:42" ht="18" customHeight="1" x14ac:dyDescent="0.2">
      <c r="A46" s="682" t="s">
        <v>532</v>
      </c>
      <c r="B46" s="403">
        <v>905.64224000000002</v>
      </c>
      <c r="C46" s="403">
        <f t="shared" si="17"/>
        <v>1166.5728030051839</v>
      </c>
      <c r="D46" s="403">
        <f t="shared" si="11"/>
        <v>1254.3145024</v>
      </c>
      <c r="E46" s="403">
        <f t="shared" si="10"/>
        <v>1615.7033321621798</v>
      </c>
      <c r="F46" s="403">
        <f t="shared" si="18"/>
        <v>226.41056</v>
      </c>
      <c r="G46" s="403">
        <f t="shared" si="12"/>
        <v>291.64320075129598</v>
      </c>
      <c r="H46" s="403">
        <f t="shared" si="19"/>
        <v>181.12844799999999</v>
      </c>
      <c r="I46" s="403">
        <f t="shared" si="13"/>
        <v>233.31456060103679</v>
      </c>
      <c r="J46" s="403">
        <f t="shared" si="14"/>
        <v>2352.8585395199998</v>
      </c>
      <c r="K46" s="403">
        <f t="shared" si="15"/>
        <v>2548.93008448</v>
      </c>
      <c r="L46" s="404">
        <f t="shared" si="16"/>
        <v>2745.0016294399998</v>
      </c>
      <c r="M46" s="688"/>
      <c r="N46" s="764" t="s">
        <v>532</v>
      </c>
      <c r="O46" s="768">
        <v>855.79776000000004</v>
      </c>
      <c r="P46" s="765">
        <v>888.32</v>
      </c>
      <c r="Q46" s="767">
        <f t="shared" si="9"/>
        <v>3.8002249503434005E-2</v>
      </c>
      <c r="R46" s="688"/>
      <c r="S46" s="400"/>
      <c r="T46" s="400"/>
      <c r="U46" s="400"/>
      <c r="V46" s="400"/>
      <c r="W46" s="400"/>
      <c r="X46" s="400"/>
      <c r="Y46" s="400"/>
      <c r="Z46" s="400"/>
      <c r="AA46" s="400"/>
      <c r="AB46" s="400"/>
      <c r="AC46" s="400"/>
      <c r="AD46" s="400"/>
      <c r="AE46" s="400"/>
      <c r="AF46" s="400"/>
      <c r="AG46" s="400"/>
      <c r="AH46" s="400"/>
      <c r="AI46" s="400"/>
      <c r="AJ46" s="400"/>
      <c r="AK46" s="400"/>
      <c r="AL46" s="400"/>
      <c r="AM46" s="400"/>
      <c r="AN46" s="400"/>
      <c r="AO46" s="400"/>
      <c r="AP46" s="400"/>
    </row>
    <row r="47" spans="1:42" ht="18" customHeight="1" x14ac:dyDescent="0.2">
      <c r="A47" s="682" t="s">
        <v>1155</v>
      </c>
      <c r="B47" s="403">
        <v>1445.8771446850508</v>
      </c>
      <c r="C47" s="403">
        <f t="shared" ref="C47" si="20">B47*1.2881166</f>
        <v>1862.4583516294156</v>
      </c>
      <c r="D47" s="403">
        <f t="shared" ref="D47" si="21">B47*1.385</f>
        <v>2002.5398453887954</v>
      </c>
      <c r="E47" s="403">
        <f t="shared" ref="E47" si="22">D47*1.2881166</f>
        <v>2579.5048170067407</v>
      </c>
      <c r="F47" s="403">
        <f t="shared" ref="F47" si="23">B47/4</f>
        <v>361.4692861712627</v>
      </c>
      <c r="G47" s="403">
        <f t="shared" ref="G47" si="24">F47*1.2881166</f>
        <v>465.61458790735389</v>
      </c>
      <c r="H47" s="403">
        <f t="shared" ref="H47" si="25">B47/5</f>
        <v>289.17542893701017</v>
      </c>
      <c r="I47" s="403">
        <f t="shared" ref="I47" si="26">H47*1.2881166</f>
        <v>372.49167032588315</v>
      </c>
      <c r="J47" s="403">
        <f t="shared" ref="J47" si="27">B47*4.33*0.6</f>
        <v>3756.3888218917618</v>
      </c>
      <c r="K47" s="403">
        <f t="shared" ref="K47" si="28">B47*4.33*0.65</f>
        <v>4069.4212237160755</v>
      </c>
      <c r="L47" s="404">
        <f t="shared" ref="L47" si="29">B47*4.33*0.7</f>
        <v>4382.4536255403891</v>
      </c>
      <c r="M47" s="688"/>
      <c r="N47" s="764" t="s">
        <v>1152</v>
      </c>
      <c r="O47" s="768">
        <v>1366.3023306459029</v>
      </c>
      <c r="P47" s="765">
        <v>1418.2218192104472</v>
      </c>
      <c r="Q47" s="767">
        <f t="shared" si="9"/>
        <v>3.8000000000000034E-2</v>
      </c>
      <c r="R47" s="688"/>
      <c r="S47" s="400"/>
      <c r="T47" s="400"/>
      <c r="U47" s="400"/>
      <c r="V47" s="400"/>
      <c r="W47" s="400"/>
      <c r="X47" s="400"/>
      <c r="Y47" s="400"/>
      <c r="Z47" s="400"/>
      <c r="AA47" s="400"/>
      <c r="AB47" s="400"/>
      <c r="AC47" s="400"/>
      <c r="AD47" s="400"/>
      <c r="AE47" s="400"/>
      <c r="AF47" s="400"/>
      <c r="AG47" s="400"/>
      <c r="AH47" s="400"/>
      <c r="AI47" s="400"/>
      <c r="AJ47" s="400"/>
      <c r="AK47" s="400"/>
      <c r="AL47" s="400"/>
      <c r="AM47" s="400"/>
      <c r="AN47" s="400"/>
      <c r="AO47" s="400"/>
      <c r="AP47" s="400"/>
    </row>
    <row r="48" spans="1:42" ht="18" customHeight="1" x14ac:dyDescent="0.2">
      <c r="A48" s="682" t="s">
        <v>592</v>
      </c>
      <c r="B48" s="403">
        <v>1341.1377594006958</v>
      </c>
      <c r="C48" s="403">
        <f t="shared" si="17"/>
        <v>1727.5418107708422</v>
      </c>
      <c r="D48" s="403">
        <f t="shared" si="11"/>
        <v>1857.4757967699636</v>
      </c>
      <c r="E48" s="403">
        <f t="shared" si="10"/>
        <v>2392.6454079176165</v>
      </c>
      <c r="F48" s="403">
        <f t="shared" si="18"/>
        <v>335.28443985017395</v>
      </c>
      <c r="G48" s="403">
        <f t="shared" si="12"/>
        <v>431.88545269271054</v>
      </c>
      <c r="H48" s="403">
        <f t="shared" si="19"/>
        <v>268.22755188013917</v>
      </c>
      <c r="I48" s="403">
        <f t="shared" si="13"/>
        <v>345.50836215416848</v>
      </c>
      <c r="J48" s="403">
        <f t="shared" si="14"/>
        <v>3484.2758989230078</v>
      </c>
      <c r="K48" s="403">
        <f t="shared" si="15"/>
        <v>3774.6322238332586</v>
      </c>
      <c r="L48" s="404">
        <f t="shared" si="16"/>
        <v>4064.988548743509</v>
      </c>
      <c r="M48" s="688"/>
      <c r="N48" s="764" t="s">
        <v>592</v>
      </c>
      <c r="O48" s="768">
        <v>1267.3273473629311</v>
      </c>
      <c r="P48" s="765">
        <v>1315.4857865627225</v>
      </c>
      <c r="Q48" s="767">
        <f t="shared" si="9"/>
        <v>3.8000000000000034E-2</v>
      </c>
      <c r="R48" s="688"/>
      <c r="S48" s="400"/>
      <c r="T48" s="400"/>
      <c r="U48" s="400"/>
      <c r="V48" s="400"/>
      <c r="W48" s="400"/>
      <c r="X48" s="400"/>
      <c r="Y48" s="400"/>
      <c r="Z48" s="400"/>
      <c r="AA48" s="400"/>
      <c r="AB48" s="400"/>
      <c r="AC48" s="400"/>
      <c r="AD48" s="400"/>
      <c r="AE48" s="400"/>
      <c r="AF48" s="400"/>
      <c r="AG48" s="400"/>
      <c r="AH48" s="400"/>
      <c r="AI48" s="400"/>
      <c r="AJ48" s="400"/>
      <c r="AK48" s="400"/>
      <c r="AL48" s="400"/>
      <c r="AM48" s="400"/>
      <c r="AN48" s="400"/>
      <c r="AO48" s="400"/>
      <c r="AP48" s="400"/>
    </row>
    <row r="49" spans="1:42" ht="18" customHeight="1" x14ac:dyDescent="0.2">
      <c r="A49" s="682" t="s">
        <v>593</v>
      </c>
      <c r="B49" s="403">
        <v>681.0871699999999</v>
      </c>
      <c r="C49" s="403">
        <f t="shared" si="17"/>
        <v>877.31968972402183</v>
      </c>
      <c r="D49" s="403">
        <f t="shared" si="11"/>
        <v>943.30573044999983</v>
      </c>
      <c r="E49" s="403">
        <f t="shared" si="10"/>
        <v>1215.0877702677701</v>
      </c>
      <c r="F49" s="403">
        <f t="shared" si="18"/>
        <v>170.27179249999998</v>
      </c>
      <c r="G49" s="403">
        <f t="shared" si="12"/>
        <v>219.32992243100546</v>
      </c>
      <c r="H49" s="403">
        <f t="shared" si="19"/>
        <v>136.21743399999997</v>
      </c>
      <c r="I49" s="403">
        <f t="shared" si="13"/>
        <v>175.46393794480434</v>
      </c>
      <c r="J49" s="403">
        <f t="shared" si="14"/>
        <v>1769.4644676599999</v>
      </c>
      <c r="K49" s="403">
        <f t="shared" si="15"/>
        <v>1916.9198399649999</v>
      </c>
      <c r="L49" s="404">
        <f t="shared" si="16"/>
        <v>2064.3752122699998</v>
      </c>
      <c r="M49" s="688"/>
      <c r="N49" s="764" t="s">
        <v>593</v>
      </c>
      <c r="O49" s="768">
        <v>638.05591462915504</v>
      </c>
      <c r="P49" s="765">
        <v>668.06</v>
      </c>
      <c r="Q49" s="767">
        <f t="shared" si="9"/>
        <v>4.7024225750314619E-2</v>
      </c>
      <c r="R49" s="688"/>
      <c r="S49" s="400"/>
      <c r="T49" s="400"/>
      <c r="U49" s="400"/>
      <c r="V49" s="400"/>
      <c r="W49" s="400"/>
      <c r="X49" s="400"/>
      <c r="Y49" s="400"/>
      <c r="Z49" s="400"/>
      <c r="AA49" s="400"/>
      <c r="AB49" s="400"/>
      <c r="AC49" s="400"/>
      <c r="AD49" s="400"/>
      <c r="AE49" s="400"/>
      <c r="AF49" s="400"/>
      <c r="AG49" s="400"/>
      <c r="AH49" s="400"/>
      <c r="AI49" s="400"/>
      <c r="AJ49" s="400"/>
      <c r="AK49" s="400"/>
      <c r="AL49" s="400"/>
      <c r="AM49" s="400"/>
      <c r="AN49" s="400"/>
      <c r="AO49" s="400"/>
      <c r="AP49" s="400"/>
    </row>
    <row r="50" spans="1:42" ht="18" customHeight="1" x14ac:dyDescent="0.2">
      <c r="A50" s="682" t="s">
        <v>910</v>
      </c>
      <c r="B50" s="403">
        <v>1840.8630409721811</v>
      </c>
      <c r="C50" s="403">
        <f t="shared" si="17"/>
        <v>2371.2462414027464</v>
      </c>
      <c r="D50" s="403">
        <f t="shared" si="11"/>
        <v>2549.595311746471</v>
      </c>
      <c r="E50" s="403">
        <f t="shared" si="10"/>
        <v>3284.1760443428043</v>
      </c>
      <c r="F50" s="403">
        <f t="shared" si="18"/>
        <v>460.21576024304528</v>
      </c>
      <c r="G50" s="403">
        <f t="shared" si="12"/>
        <v>592.81156035068659</v>
      </c>
      <c r="H50" s="403">
        <f t="shared" si="19"/>
        <v>368.17260819443624</v>
      </c>
      <c r="I50" s="403">
        <f t="shared" si="13"/>
        <v>474.2492482805493</v>
      </c>
      <c r="J50" s="403">
        <f t="shared" si="14"/>
        <v>4782.562180445726</v>
      </c>
      <c r="K50" s="403">
        <f t="shared" si="15"/>
        <v>5181.109028816204</v>
      </c>
      <c r="L50" s="404">
        <f t="shared" si="16"/>
        <v>5579.6558771866803</v>
      </c>
      <c r="M50" s="688"/>
      <c r="N50" s="764" t="s">
        <v>910</v>
      </c>
      <c r="O50" s="768">
        <v>1739.5499144071919</v>
      </c>
      <c r="P50" s="765">
        <v>1805.6528111546652</v>
      </c>
      <c r="Q50" s="767">
        <f t="shared" si="9"/>
        <v>3.8000000000000034E-2</v>
      </c>
      <c r="R50" s="688"/>
      <c r="S50" s="400"/>
      <c r="T50" s="400"/>
      <c r="U50" s="400"/>
      <c r="V50" s="400"/>
      <c r="W50" s="400"/>
      <c r="X50" s="400"/>
      <c r="Y50" s="400"/>
      <c r="Z50" s="400"/>
      <c r="AA50" s="400"/>
      <c r="AB50" s="400"/>
      <c r="AC50" s="400"/>
      <c r="AD50" s="400"/>
      <c r="AE50" s="400"/>
      <c r="AF50" s="400"/>
      <c r="AG50" s="400"/>
      <c r="AH50" s="400"/>
      <c r="AI50" s="400"/>
      <c r="AJ50" s="400"/>
      <c r="AK50" s="400"/>
      <c r="AL50" s="400"/>
      <c r="AM50" s="400"/>
      <c r="AN50" s="400"/>
      <c r="AO50" s="400"/>
      <c r="AP50" s="400"/>
    </row>
    <row r="51" spans="1:42" ht="18" customHeight="1" x14ac:dyDescent="0.2">
      <c r="A51" s="682" t="s">
        <v>911</v>
      </c>
      <c r="B51" s="403">
        <v>1491.1822372099507</v>
      </c>
      <c r="C51" s="403">
        <f t="shared" si="17"/>
        <v>1920.816593375275</v>
      </c>
      <c r="D51" s="403">
        <f t="shared" si="11"/>
        <v>2065.2873985357819</v>
      </c>
      <c r="E51" s="403">
        <f t="shared" si="10"/>
        <v>2660.3309818247562</v>
      </c>
      <c r="F51" s="403">
        <f t="shared" si="18"/>
        <v>372.79555930248767</v>
      </c>
      <c r="G51" s="403">
        <f t="shared" si="12"/>
        <v>480.20414834381876</v>
      </c>
      <c r="H51" s="403">
        <f t="shared" si="19"/>
        <v>298.23644744199015</v>
      </c>
      <c r="I51" s="403">
        <f t="shared" si="13"/>
        <v>384.16331867505505</v>
      </c>
      <c r="J51" s="403">
        <f t="shared" si="14"/>
        <v>3874.0914522714515</v>
      </c>
      <c r="K51" s="403">
        <f t="shared" si="15"/>
        <v>4196.9324066274066</v>
      </c>
      <c r="L51" s="404">
        <f t="shared" si="16"/>
        <v>4519.7733609833604</v>
      </c>
      <c r="M51" s="688"/>
      <c r="N51" s="764" t="s">
        <v>911</v>
      </c>
      <c r="O51" s="768">
        <v>1409.1140271544484</v>
      </c>
      <c r="P51" s="765">
        <v>1462.6603601863176</v>
      </c>
      <c r="Q51" s="767">
        <f t="shared" si="9"/>
        <v>3.8000000000000034E-2</v>
      </c>
      <c r="R51" s="688"/>
      <c r="S51" s="400"/>
      <c r="T51" s="400"/>
      <c r="U51" s="400"/>
      <c r="V51" s="400"/>
      <c r="W51" s="400"/>
      <c r="X51" s="400"/>
      <c r="Y51" s="400"/>
      <c r="Z51" s="400"/>
      <c r="AA51" s="400"/>
      <c r="AB51" s="400"/>
      <c r="AC51" s="400"/>
      <c r="AD51" s="400"/>
      <c r="AE51" s="400"/>
      <c r="AF51" s="400"/>
      <c r="AG51" s="400"/>
      <c r="AH51" s="400"/>
      <c r="AI51" s="400"/>
      <c r="AJ51" s="400"/>
      <c r="AK51" s="400"/>
      <c r="AL51" s="400"/>
      <c r="AM51" s="400"/>
      <c r="AN51" s="400"/>
      <c r="AO51" s="400"/>
      <c r="AP51" s="400"/>
    </row>
    <row r="52" spans="1:42" ht="18" customHeight="1" x14ac:dyDescent="0.2">
      <c r="A52" s="682" t="s">
        <v>594</v>
      </c>
      <c r="B52" s="403">
        <v>1177.0711707668734</v>
      </c>
      <c r="C52" s="403">
        <f t="shared" si="17"/>
        <v>1516.2049144462442</v>
      </c>
      <c r="D52" s="403">
        <f t="shared" si="11"/>
        <v>1630.2435715121196</v>
      </c>
      <c r="E52" s="403">
        <f t="shared" si="10"/>
        <v>2099.9438065080485</v>
      </c>
      <c r="F52" s="403">
        <f t="shared" si="18"/>
        <v>294.26779269171834</v>
      </c>
      <c r="G52" s="403">
        <f t="shared" si="12"/>
        <v>379.05122861156104</v>
      </c>
      <c r="H52" s="403">
        <f t="shared" si="19"/>
        <v>235.41423415337468</v>
      </c>
      <c r="I52" s="403">
        <f t="shared" si="13"/>
        <v>303.24098288924887</v>
      </c>
      <c r="J52" s="403">
        <f t="shared" si="14"/>
        <v>3058.030901652337</v>
      </c>
      <c r="K52" s="403">
        <f t="shared" si="15"/>
        <v>3312.8668101233652</v>
      </c>
      <c r="L52" s="404">
        <f t="shared" si="16"/>
        <v>3567.702718594393</v>
      </c>
      <c r="M52" s="688"/>
      <c r="N52" s="764" t="s">
        <v>594</v>
      </c>
      <c r="O52" s="768">
        <v>1112.2902729783416</v>
      </c>
      <c r="P52" s="765">
        <v>1154.5573033515186</v>
      </c>
      <c r="Q52" s="767">
        <f t="shared" si="9"/>
        <v>3.8000000000000034E-2</v>
      </c>
      <c r="R52" s="688"/>
      <c r="S52" s="400"/>
      <c r="T52" s="400"/>
      <c r="U52" s="400"/>
      <c r="V52" s="400"/>
      <c r="W52" s="400"/>
      <c r="X52" s="400"/>
      <c r="Y52" s="400"/>
      <c r="Z52" s="400"/>
      <c r="AA52" s="400"/>
      <c r="AB52" s="400"/>
      <c r="AC52" s="400"/>
      <c r="AD52" s="400"/>
      <c r="AE52" s="400"/>
      <c r="AF52" s="400"/>
      <c r="AG52" s="400"/>
      <c r="AH52" s="400"/>
      <c r="AI52" s="400"/>
      <c r="AJ52" s="400"/>
      <c r="AK52" s="400"/>
      <c r="AL52" s="400"/>
      <c r="AM52" s="400"/>
      <c r="AN52" s="400"/>
      <c r="AO52" s="400"/>
      <c r="AP52" s="400"/>
    </row>
    <row r="53" spans="1:42" ht="18" customHeight="1" x14ac:dyDescent="0.2">
      <c r="A53" s="682" t="s">
        <v>595</v>
      </c>
      <c r="B53" s="403">
        <v>1508.2712461694919</v>
      </c>
      <c r="C53" s="403">
        <f t="shared" si="17"/>
        <v>1942.8292294936089</v>
      </c>
      <c r="D53" s="403">
        <f t="shared" si="11"/>
        <v>2088.9556759447464</v>
      </c>
      <c r="E53" s="403">
        <f t="shared" si="10"/>
        <v>2690.8184828486483</v>
      </c>
      <c r="F53" s="403">
        <f t="shared" si="18"/>
        <v>377.06781154237297</v>
      </c>
      <c r="G53" s="403">
        <f t="shared" si="12"/>
        <v>485.70730737340222</v>
      </c>
      <c r="H53" s="403">
        <f t="shared" si="19"/>
        <v>301.65424923389838</v>
      </c>
      <c r="I53" s="403">
        <f t="shared" si="13"/>
        <v>388.56584589872176</v>
      </c>
      <c r="J53" s="403">
        <f t="shared" si="14"/>
        <v>3918.4886975483396</v>
      </c>
      <c r="K53" s="403">
        <f t="shared" si="15"/>
        <v>4245.0294223440351</v>
      </c>
      <c r="L53" s="404">
        <f t="shared" si="16"/>
        <v>4571.5701471397297</v>
      </c>
      <c r="M53" s="688"/>
      <c r="N53" s="764" t="s">
        <v>595</v>
      </c>
      <c r="O53" s="768">
        <v>1425.2625310959334</v>
      </c>
      <c r="P53" s="765">
        <v>1479.4225072775789</v>
      </c>
      <c r="Q53" s="767">
        <f t="shared" si="9"/>
        <v>3.8000000000000034E-2</v>
      </c>
      <c r="R53" s="688"/>
      <c r="S53" s="400"/>
      <c r="T53" s="400"/>
      <c r="U53" s="400"/>
      <c r="V53" s="400"/>
      <c r="W53" s="400"/>
      <c r="X53" s="400"/>
      <c r="Y53" s="400"/>
      <c r="Z53" s="400"/>
      <c r="AA53" s="400"/>
      <c r="AB53" s="400"/>
      <c r="AC53" s="400"/>
      <c r="AD53" s="400"/>
      <c r="AE53" s="400"/>
      <c r="AF53" s="400"/>
      <c r="AG53" s="400"/>
      <c r="AH53" s="400"/>
      <c r="AI53" s="400"/>
      <c r="AJ53" s="400"/>
      <c r="AK53" s="400"/>
      <c r="AL53" s="400"/>
      <c r="AM53" s="400"/>
      <c r="AN53" s="400"/>
      <c r="AO53" s="400"/>
      <c r="AP53" s="400"/>
    </row>
    <row r="54" spans="1:42" ht="18" customHeight="1" x14ac:dyDescent="0.2">
      <c r="A54" s="682" t="s">
        <v>596</v>
      </c>
      <c r="B54" s="403">
        <v>1132.1748074208406</v>
      </c>
      <c r="C54" s="403">
        <f t="shared" si="17"/>
        <v>1458.3731635405879</v>
      </c>
      <c r="D54" s="403">
        <f t="shared" si="11"/>
        <v>1568.0621082778641</v>
      </c>
      <c r="E54" s="403">
        <f t="shared" si="10"/>
        <v>2019.8468315037142</v>
      </c>
      <c r="F54" s="403">
        <f t="shared" si="18"/>
        <v>283.04370185521014</v>
      </c>
      <c r="G54" s="403">
        <f t="shared" si="12"/>
        <v>364.59329088514698</v>
      </c>
      <c r="H54" s="403">
        <f t="shared" si="19"/>
        <v>226.43496148416813</v>
      </c>
      <c r="I54" s="403">
        <f t="shared" si="13"/>
        <v>291.6746327081176</v>
      </c>
      <c r="J54" s="403">
        <f t="shared" si="14"/>
        <v>2941.3901496793437</v>
      </c>
      <c r="K54" s="403">
        <f t="shared" si="15"/>
        <v>3186.5059954859557</v>
      </c>
      <c r="L54" s="404">
        <f t="shared" si="16"/>
        <v>3431.6218412925673</v>
      </c>
      <c r="M54" s="688"/>
      <c r="N54" s="764" t="s">
        <v>596</v>
      </c>
      <c r="O54" s="768">
        <v>1069.8648109654043</v>
      </c>
      <c r="P54" s="765">
        <v>1110.5196737820897</v>
      </c>
      <c r="Q54" s="767">
        <f t="shared" si="9"/>
        <v>3.8000000000000034E-2</v>
      </c>
      <c r="R54" s="688"/>
      <c r="S54" s="400"/>
      <c r="T54" s="400"/>
      <c r="U54" s="400"/>
      <c r="V54" s="400"/>
      <c r="W54" s="400"/>
      <c r="X54" s="400"/>
      <c r="Y54" s="400"/>
      <c r="Z54" s="400"/>
      <c r="AA54" s="400"/>
      <c r="AB54" s="400"/>
      <c r="AC54" s="400"/>
      <c r="AD54" s="400"/>
      <c r="AE54" s="400"/>
      <c r="AF54" s="400"/>
      <c r="AG54" s="400"/>
      <c r="AH54" s="400"/>
      <c r="AI54" s="400"/>
      <c r="AJ54" s="400"/>
      <c r="AK54" s="400"/>
      <c r="AL54" s="400"/>
      <c r="AM54" s="400"/>
      <c r="AN54" s="400"/>
      <c r="AO54" s="400"/>
      <c r="AP54" s="400"/>
    </row>
    <row r="55" spans="1:42" ht="18" customHeight="1" x14ac:dyDescent="0.2">
      <c r="A55" s="682" t="s">
        <v>597</v>
      </c>
      <c r="B55" s="403">
        <v>1196.742498441216</v>
      </c>
      <c r="C55" s="403">
        <f t="shared" si="17"/>
        <v>1541.5438781676044</v>
      </c>
      <c r="D55" s="403">
        <f t="shared" si="11"/>
        <v>1657.4883603410842</v>
      </c>
      <c r="E55" s="403">
        <f t="shared" si="10"/>
        <v>2135.0382712621322</v>
      </c>
      <c r="F55" s="403">
        <f t="shared" si="18"/>
        <v>299.18562461030399</v>
      </c>
      <c r="G55" s="403">
        <f t="shared" si="12"/>
        <v>385.38596954190109</v>
      </c>
      <c r="H55" s="403">
        <f t="shared" si="19"/>
        <v>239.34849968824318</v>
      </c>
      <c r="I55" s="403">
        <f t="shared" si="13"/>
        <v>308.30877563352084</v>
      </c>
      <c r="J55" s="403">
        <f t="shared" si="14"/>
        <v>3109.1370109502791</v>
      </c>
      <c r="K55" s="403">
        <f t="shared" si="15"/>
        <v>3368.2317618628022</v>
      </c>
      <c r="L55" s="404">
        <f t="shared" si="16"/>
        <v>3627.3265127753252</v>
      </c>
      <c r="M55" s="688"/>
      <c r="N55" s="764" t="s">
        <v>597</v>
      </c>
      <c r="O55" s="768">
        <v>1130.878976</v>
      </c>
      <c r="P55" s="765">
        <v>1173.8523770879999</v>
      </c>
      <c r="Q55" s="767">
        <f t="shared" si="9"/>
        <v>3.8000000000000034E-2</v>
      </c>
      <c r="R55" s="688"/>
      <c r="S55" s="400"/>
      <c r="T55" s="400"/>
      <c r="U55" s="400"/>
      <c r="V55" s="400"/>
      <c r="W55" s="400"/>
      <c r="X55" s="400"/>
      <c r="Y55" s="400"/>
      <c r="Z55" s="400"/>
      <c r="AA55" s="400"/>
      <c r="AB55" s="400"/>
      <c r="AC55" s="400"/>
      <c r="AD55" s="400"/>
      <c r="AE55" s="400"/>
      <c r="AF55" s="400"/>
      <c r="AG55" s="400"/>
      <c r="AH55" s="400"/>
      <c r="AI55" s="400"/>
      <c r="AJ55" s="400"/>
      <c r="AK55" s="400"/>
      <c r="AL55" s="400"/>
      <c r="AM55" s="400"/>
      <c r="AN55" s="400"/>
      <c r="AO55" s="400"/>
      <c r="AP55" s="400"/>
    </row>
    <row r="56" spans="1:42" ht="18" customHeight="1" x14ac:dyDescent="0.2">
      <c r="A56" s="682" t="s">
        <v>598</v>
      </c>
      <c r="B56" s="403">
        <v>905.64224000000002</v>
      </c>
      <c r="C56" s="403">
        <f t="shared" si="17"/>
        <v>1166.5728030051839</v>
      </c>
      <c r="D56" s="403">
        <f t="shared" si="11"/>
        <v>1254.3145024</v>
      </c>
      <c r="E56" s="403">
        <f t="shared" si="10"/>
        <v>1615.7033321621798</v>
      </c>
      <c r="F56" s="403">
        <f t="shared" si="18"/>
        <v>226.41056</v>
      </c>
      <c r="G56" s="403">
        <f t="shared" ref="G56:G60" si="30">F56*1.2881166</f>
        <v>291.64320075129598</v>
      </c>
      <c r="H56" s="403">
        <f t="shared" si="19"/>
        <v>181.12844799999999</v>
      </c>
      <c r="I56" s="403">
        <f t="shared" si="13"/>
        <v>233.31456060103679</v>
      </c>
      <c r="J56" s="403">
        <f>B56*4.33*0.6</f>
        <v>2352.8585395199998</v>
      </c>
      <c r="K56" s="403">
        <f>B56*4.33*0.65</f>
        <v>2548.93008448</v>
      </c>
      <c r="L56" s="404">
        <f>B56*4.33*0.7</f>
        <v>2745.0016294399998</v>
      </c>
      <c r="M56" s="688"/>
      <c r="N56" s="764" t="s">
        <v>598</v>
      </c>
      <c r="O56" s="768">
        <v>855.80185600000004</v>
      </c>
      <c r="P56" s="765">
        <v>888.32</v>
      </c>
      <c r="Q56" s="767">
        <f t="shared" si="9"/>
        <v>3.7997281464180466E-2</v>
      </c>
      <c r="R56" s="688"/>
      <c r="S56" s="400"/>
      <c r="T56" s="400"/>
      <c r="U56" s="400"/>
      <c r="V56" s="400"/>
      <c r="W56" s="400"/>
      <c r="X56" s="400"/>
      <c r="Y56" s="400"/>
      <c r="Z56" s="400"/>
      <c r="AA56" s="400"/>
      <c r="AB56" s="400"/>
      <c r="AC56" s="400"/>
      <c r="AD56" s="400"/>
      <c r="AE56" s="400"/>
      <c r="AF56" s="400"/>
      <c r="AG56" s="400"/>
      <c r="AH56" s="400"/>
      <c r="AI56" s="400"/>
      <c r="AJ56" s="400"/>
      <c r="AK56" s="400"/>
      <c r="AL56" s="400"/>
      <c r="AM56" s="400"/>
      <c r="AN56" s="400"/>
      <c r="AO56" s="400"/>
      <c r="AP56" s="400"/>
    </row>
    <row r="57" spans="1:42" ht="18" customHeight="1" x14ac:dyDescent="0.2">
      <c r="A57" s="682" t="s">
        <v>599</v>
      </c>
      <c r="B57" s="403">
        <v>591.47142355200015</v>
      </c>
      <c r="C57" s="403">
        <f t="shared" si="17"/>
        <v>761.88415910296237</v>
      </c>
      <c r="D57" s="403">
        <f t="shared" si="11"/>
        <v>819.18792161952024</v>
      </c>
      <c r="E57" s="403">
        <f t="shared" si="10"/>
        <v>1055.2095603576029</v>
      </c>
      <c r="F57" s="403">
        <f t="shared" si="18"/>
        <v>147.86785588800004</v>
      </c>
      <c r="G57" s="403">
        <f t="shared" si="30"/>
        <v>190.47103977574059</v>
      </c>
      <c r="H57" s="403">
        <f t="shared" si="19"/>
        <v>118.29428471040004</v>
      </c>
      <c r="I57" s="403">
        <f t="shared" si="13"/>
        <v>152.37683182059246</v>
      </c>
      <c r="J57" s="403">
        <f>B57*4.33*0.6</f>
        <v>1536.6427583880966</v>
      </c>
      <c r="K57" s="403">
        <f>B57*4.33*0.65</f>
        <v>1664.6963215871046</v>
      </c>
      <c r="L57" s="404">
        <f>B57*4.33*0.7</f>
        <v>1792.7498847861125</v>
      </c>
      <c r="M57" s="688"/>
      <c r="N57" s="764" t="s">
        <v>599</v>
      </c>
      <c r="O57" s="768">
        <v>550.15833600000008</v>
      </c>
      <c r="P57" s="765">
        <v>580.15833600000008</v>
      </c>
      <c r="Q57" s="767">
        <f t="shared" si="9"/>
        <v>5.4529756320914835E-2</v>
      </c>
      <c r="R57" s="688"/>
      <c r="S57" s="400"/>
      <c r="T57" s="400"/>
      <c r="U57" s="400"/>
      <c r="V57" s="400"/>
      <c r="W57" s="400"/>
      <c r="X57" s="400"/>
      <c r="Y57" s="400"/>
      <c r="Z57" s="400"/>
      <c r="AA57" s="400"/>
      <c r="AB57" s="400"/>
      <c r="AC57" s="400"/>
      <c r="AD57" s="400"/>
      <c r="AE57" s="400"/>
      <c r="AF57" s="400"/>
      <c r="AG57" s="400"/>
      <c r="AH57" s="400"/>
      <c r="AI57" s="400"/>
      <c r="AJ57" s="400"/>
      <c r="AK57" s="400"/>
      <c r="AL57" s="400"/>
      <c r="AM57" s="400"/>
      <c r="AN57" s="400"/>
      <c r="AO57" s="400"/>
      <c r="AP57" s="400"/>
    </row>
    <row r="58" spans="1:42" ht="18" customHeight="1" x14ac:dyDescent="0.2">
      <c r="A58" s="682" t="s">
        <v>937</v>
      </c>
      <c r="B58" s="403">
        <v>855.65615500000001</v>
      </c>
      <c r="C58" s="403">
        <f t="shared" si="17"/>
        <v>1102.1848971476729</v>
      </c>
      <c r="D58" s="403">
        <f t="shared" si="11"/>
        <v>1185.0837746750001</v>
      </c>
      <c r="E58" s="403">
        <f t="shared" si="10"/>
        <v>1526.5260825495272</v>
      </c>
      <c r="F58" s="403">
        <f t="shared" si="18"/>
        <v>213.91403875</v>
      </c>
      <c r="G58" s="403">
        <f t="shared" si="30"/>
        <v>275.54622428691823</v>
      </c>
      <c r="H58" s="403">
        <f t="shared" si="19"/>
        <v>171.13123100000001</v>
      </c>
      <c r="I58" s="403">
        <f t="shared" si="13"/>
        <v>220.4369794295346</v>
      </c>
      <c r="J58" s="403">
        <f>B58*4.33*0.6</f>
        <v>2222.99469069</v>
      </c>
      <c r="K58" s="403">
        <f>B58*4.33*0.65</f>
        <v>2408.2442482474999</v>
      </c>
      <c r="L58" s="404">
        <f>B58*4.33*0.7</f>
        <v>2593.4938058049997</v>
      </c>
      <c r="M58" s="688"/>
      <c r="N58" s="764" t="s">
        <v>1153</v>
      </c>
      <c r="O58" s="768">
        <v>808.56038306772052</v>
      </c>
      <c r="P58" s="765">
        <v>839.29</v>
      </c>
      <c r="Q58" s="767">
        <f t="shared" si="9"/>
        <v>3.8005345767362142E-2</v>
      </c>
      <c r="R58" s="688"/>
      <c r="S58" s="400"/>
      <c r="T58" s="400"/>
      <c r="U58" s="400"/>
      <c r="V58" s="400"/>
      <c r="W58" s="400"/>
      <c r="X58" s="400"/>
      <c r="Y58" s="400"/>
      <c r="Z58" s="400"/>
      <c r="AA58" s="400"/>
      <c r="AB58" s="400"/>
      <c r="AC58" s="400"/>
      <c r="AD58" s="400"/>
      <c r="AE58" s="400"/>
      <c r="AF58" s="400"/>
      <c r="AG58" s="400"/>
      <c r="AH58" s="400"/>
      <c r="AI58" s="400"/>
      <c r="AJ58" s="400"/>
      <c r="AK58" s="400"/>
      <c r="AL58" s="400"/>
      <c r="AM58" s="400"/>
      <c r="AN58" s="400"/>
      <c r="AO58" s="400"/>
      <c r="AP58" s="400"/>
    </row>
    <row r="59" spans="1:42" ht="18" customHeight="1" x14ac:dyDescent="0.2">
      <c r="A59" s="682" t="s">
        <v>1154</v>
      </c>
      <c r="B59" s="403">
        <v>529.1063294810773</v>
      </c>
      <c r="C59" s="403">
        <f t="shared" si="17"/>
        <v>681.55064616964501</v>
      </c>
      <c r="D59" s="403">
        <f t="shared" si="11"/>
        <v>732.81226633129211</v>
      </c>
      <c r="E59" s="403">
        <f t="shared" si="10"/>
        <v>943.94764494495837</v>
      </c>
      <c r="F59" s="403">
        <f t="shared" si="18"/>
        <v>132.27658237026932</v>
      </c>
      <c r="G59" s="403">
        <f t="shared" si="30"/>
        <v>170.38766154241125</v>
      </c>
      <c r="H59" s="403">
        <f t="shared" si="19"/>
        <v>105.82126589621546</v>
      </c>
      <c r="I59" s="403">
        <f t="shared" si="13"/>
        <v>136.31012923392902</v>
      </c>
      <c r="J59" s="403">
        <f>B59*4.33*0.6</f>
        <v>1374.6182439918389</v>
      </c>
      <c r="K59" s="403">
        <f>B59*4.33*0.65</f>
        <v>1489.1697643244922</v>
      </c>
      <c r="L59" s="404">
        <f>B59*4.33*0.7</f>
        <v>1603.7212846571454</v>
      </c>
      <c r="M59" s="688"/>
      <c r="N59" s="764" t="s">
        <v>1154</v>
      </c>
      <c r="O59" s="768">
        <v>499.98660936504763</v>
      </c>
      <c r="P59" s="765">
        <v>518.98610052091942</v>
      </c>
      <c r="Q59" s="767">
        <f t="shared" si="9"/>
        <v>3.8000000000000034E-2</v>
      </c>
      <c r="R59" s="688"/>
      <c r="S59" s="400"/>
      <c r="T59" s="400"/>
      <c r="U59" s="400"/>
      <c r="V59" s="400"/>
      <c r="W59" s="400"/>
      <c r="X59" s="400"/>
      <c r="Y59" s="400"/>
      <c r="Z59" s="400"/>
      <c r="AA59" s="400"/>
      <c r="AB59" s="400"/>
      <c r="AC59" s="400"/>
      <c r="AD59" s="400"/>
      <c r="AE59" s="400"/>
      <c r="AF59" s="400"/>
      <c r="AG59" s="400"/>
      <c r="AH59" s="400"/>
      <c r="AI59" s="400"/>
      <c r="AJ59" s="400"/>
      <c r="AK59" s="400"/>
      <c r="AL59" s="400"/>
      <c r="AM59" s="400"/>
      <c r="AN59" s="400"/>
      <c r="AO59" s="400"/>
      <c r="AP59" s="400"/>
    </row>
    <row r="60" spans="1:42" ht="18" customHeight="1" x14ac:dyDescent="0.2">
      <c r="A60" s="682" t="s">
        <v>765</v>
      </c>
      <c r="B60" s="403">
        <v>605.70194549441351</v>
      </c>
      <c r="C60" s="403">
        <f t="shared" ref="C60" si="31">B60*1.2881166</f>
        <v>780.2147306436492</v>
      </c>
      <c r="D60" s="403">
        <f t="shared" ref="D60" si="32">B60*1.385</f>
        <v>838.8971945097627</v>
      </c>
      <c r="E60" s="403">
        <f t="shared" ref="E60" si="33">D60*1.2881166</f>
        <v>1080.5974019414541</v>
      </c>
      <c r="F60" s="403">
        <f t="shared" ref="F60" si="34">B60/4</f>
        <v>151.42548637360338</v>
      </c>
      <c r="G60" s="403">
        <f t="shared" si="30"/>
        <v>195.0536826609123</v>
      </c>
      <c r="H60" s="403">
        <f t="shared" ref="H60" si="35">B60/5</f>
        <v>121.14038909888271</v>
      </c>
      <c r="I60" s="403">
        <f t="shared" ref="I60" si="36">H60*1.2881166</f>
        <v>156.04294612872985</v>
      </c>
      <c r="J60" s="403"/>
      <c r="K60" s="403"/>
      <c r="L60" s="404"/>
      <c r="M60" s="688"/>
      <c r="N60" s="764" t="s">
        <v>765</v>
      </c>
      <c r="O60" s="768">
        <v>564.11667042120007</v>
      </c>
      <c r="P60" s="765">
        <v>594.11667042120007</v>
      </c>
      <c r="Q60" s="767">
        <f t="shared" si="9"/>
        <v>5.3180488315653474E-2</v>
      </c>
      <c r="R60" s="688"/>
      <c r="S60" s="400"/>
      <c r="T60" s="400"/>
      <c r="U60" s="400"/>
      <c r="V60" s="400"/>
      <c r="W60" s="400"/>
      <c r="X60" s="400"/>
      <c r="Y60" s="400"/>
      <c r="Z60" s="400"/>
      <c r="AA60" s="400"/>
      <c r="AB60" s="400"/>
      <c r="AC60" s="400"/>
      <c r="AD60" s="400"/>
      <c r="AE60" s="400"/>
      <c r="AF60" s="400"/>
      <c r="AG60" s="400"/>
      <c r="AH60" s="400"/>
      <c r="AI60" s="400"/>
      <c r="AJ60" s="400"/>
      <c r="AK60" s="400"/>
      <c r="AL60" s="400"/>
      <c r="AM60" s="400"/>
      <c r="AN60" s="400"/>
      <c r="AO60" s="400"/>
      <c r="AP60" s="400"/>
    </row>
    <row r="61" spans="1:42" ht="18" customHeight="1" x14ac:dyDescent="0.2">
      <c r="A61" s="682" t="s">
        <v>912</v>
      </c>
      <c r="B61" s="403">
        <v>936.74718500000006</v>
      </c>
      <c r="C61" s="403">
        <f t="shared" ref="C61:C75" si="37">B61*1.2881166</f>
        <v>1206.6395990017711</v>
      </c>
      <c r="D61" s="403">
        <f t="shared" ref="D61:D75" si="38">B61*1.385</f>
        <v>1297.3948512250001</v>
      </c>
      <c r="E61" s="403">
        <f t="shared" ref="E61:E75" si="39">D61*1.2881166</f>
        <v>1671.1958446174528</v>
      </c>
      <c r="F61" s="403">
        <f t="shared" ref="F61:F75" si="40">B61/4</f>
        <v>234.18679625000001</v>
      </c>
      <c r="G61" s="403">
        <f t="shared" ref="G61:G75" si="41">F61*1.2881166</f>
        <v>301.65989975044278</v>
      </c>
      <c r="H61" s="403">
        <f t="shared" ref="H61:H75" si="42">B61/5</f>
        <v>187.34943700000002</v>
      </c>
      <c r="I61" s="403">
        <f t="shared" ref="I61:I75" si="43">H61*1.2881166</f>
        <v>241.32791980035421</v>
      </c>
      <c r="J61" s="403">
        <f t="shared" ref="J61:J75" si="44">B61*4.33*0.6</f>
        <v>2433.6691866300002</v>
      </c>
      <c r="K61" s="403">
        <f t="shared" ref="K61:K75" si="45">B61*4.33*0.65</f>
        <v>2636.4749521825001</v>
      </c>
      <c r="L61" s="404">
        <f t="shared" ref="L61:L75" si="46">B61*4.33*0.7</f>
        <v>2839.2807177350001</v>
      </c>
      <c r="M61" s="688"/>
      <c r="N61" s="764" t="s">
        <v>912</v>
      </c>
      <c r="O61" s="768">
        <v>885.19669699999997</v>
      </c>
      <c r="P61" s="765">
        <v>918.83</v>
      </c>
      <c r="Q61" s="767">
        <f t="shared" si="9"/>
        <v>3.7995287503880038E-2</v>
      </c>
      <c r="R61" s="688"/>
      <c r="S61" s="400"/>
      <c r="T61" s="400"/>
      <c r="U61" s="400"/>
      <c r="V61" s="400"/>
      <c r="W61" s="400"/>
      <c r="X61" s="400"/>
      <c r="Y61" s="400"/>
      <c r="Z61" s="400"/>
      <c r="AA61" s="400"/>
      <c r="AB61" s="400"/>
      <c r="AC61" s="400"/>
      <c r="AD61" s="400"/>
      <c r="AE61" s="400"/>
      <c r="AF61" s="400"/>
      <c r="AG61" s="400"/>
      <c r="AH61" s="400"/>
      <c r="AI61" s="400"/>
      <c r="AJ61" s="400"/>
      <c r="AK61" s="400"/>
      <c r="AL61" s="400"/>
      <c r="AM61" s="400"/>
      <c r="AN61" s="400"/>
      <c r="AO61" s="400"/>
      <c r="AP61" s="400"/>
    </row>
    <row r="62" spans="1:42" ht="18" customHeight="1" x14ac:dyDescent="0.2">
      <c r="A62" s="682" t="s">
        <v>913</v>
      </c>
      <c r="B62" s="403">
        <v>721.33885286600014</v>
      </c>
      <c r="C62" s="403">
        <f t="shared" si="37"/>
        <v>929.16855060165233</v>
      </c>
      <c r="D62" s="403">
        <f t="shared" si="38"/>
        <v>999.05431121941024</v>
      </c>
      <c r="E62" s="403">
        <f t="shared" si="39"/>
        <v>1286.8984425832884</v>
      </c>
      <c r="F62" s="403">
        <f t="shared" si="40"/>
        <v>180.33471321650003</v>
      </c>
      <c r="G62" s="403">
        <f t="shared" si="41"/>
        <v>232.29213765041308</v>
      </c>
      <c r="H62" s="403">
        <f t="shared" si="42"/>
        <v>144.26777057320004</v>
      </c>
      <c r="I62" s="403">
        <f t="shared" si="43"/>
        <v>185.83371012033047</v>
      </c>
      <c r="J62" s="403">
        <f t="shared" si="44"/>
        <v>1874.0383397458681</v>
      </c>
      <c r="K62" s="403">
        <f t="shared" si="45"/>
        <v>2030.2082013913575</v>
      </c>
      <c r="L62" s="404">
        <f t="shared" si="46"/>
        <v>2186.378063036846</v>
      </c>
      <c r="M62" s="688"/>
      <c r="N62" s="764" t="s">
        <v>913</v>
      </c>
      <c r="O62" s="768">
        <v>677.541788</v>
      </c>
      <c r="P62" s="765">
        <v>707.541788</v>
      </c>
      <c r="Q62" s="767">
        <f t="shared" si="9"/>
        <v>4.4277711768237138E-2</v>
      </c>
      <c r="R62" s="688"/>
      <c r="S62" s="400"/>
      <c r="T62" s="400"/>
      <c r="U62" s="400"/>
      <c r="V62" s="400"/>
      <c r="W62" s="400"/>
      <c r="X62" s="400"/>
      <c r="Y62" s="400"/>
      <c r="Z62" s="400"/>
      <c r="AA62" s="400"/>
      <c r="AB62" s="400"/>
      <c r="AC62" s="400"/>
      <c r="AD62" s="400"/>
      <c r="AE62" s="400"/>
      <c r="AF62" s="400"/>
      <c r="AG62" s="400"/>
      <c r="AH62" s="400"/>
      <c r="AI62" s="400"/>
      <c r="AJ62" s="400"/>
      <c r="AK62" s="400"/>
      <c r="AL62" s="400"/>
      <c r="AM62" s="400"/>
      <c r="AN62" s="400"/>
      <c r="AO62" s="400"/>
      <c r="AP62" s="400"/>
    </row>
    <row r="63" spans="1:42" ht="18" customHeight="1" x14ac:dyDescent="0.2">
      <c r="A63" s="682" t="s">
        <v>914</v>
      </c>
      <c r="B63" s="403">
        <v>605.15953742150009</v>
      </c>
      <c r="C63" s="403">
        <f t="shared" si="37"/>
        <v>779.51604580095545</v>
      </c>
      <c r="D63" s="403">
        <f t="shared" si="38"/>
        <v>838.14595932877762</v>
      </c>
      <c r="E63" s="403">
        <f t="shared" si="39"/>
        <v>1079.6297234343233</v>
      </c>
      <c r="F63" s="403">
        <f t="shared" si="40"/>
        <v>151.28988435537502</v>
      </c>
      <c r="G63" s="403">
        <f t="shared" si="41"/>
        <v>194.87901145023886</v>
      </c>
      <c r="H63" s="403">
        <f t="shared" si="42"/>
        <v>121.03190748430002</v>
      </c>
      <c r="I63" s="403">
        <f t="shared" si="43"/>
        <v>155.9032091601911</v>
      </c>
      <c r="J63" s="403">
        <f t="shared" si="44"/>
        <v>1572.2044782210571</v>
      </c>
      <c r="K63" s="403">
        <f t="shared" si="45"/>
        <v>1703.2215180728122</v>
      </c>
      <c r="L63" s="404">
        <f t="shared" si="46"/>
        <v>1834.2385579245667</v>
      </c>
      <c r="M63" s="688"/>
      <c r="N63" s="764" t="s">
        <v>914</v>
      </c>
      <c r="O63" s="768">
        <v>563.58463700000004</v>
      </c>
      <c r="P63" s="765">
        <v>593.58463700000004</v>
      </c>
      <c r="Q63" s="767">
        <f t="shared" si="9"/>
        <v>5.3230691595306912E-2</v>
      </c>
      <c r="R63" s="688"/>
      <c r="S63" s="400"/>
      <c r="T63" s="400"/>
      <c r="U63" s="400"/>
      <c r="V63" s="400"/>
      <c r="W63" s="400"/>
      <c r="X63" s="400"/>
      <c r="Y63" s="400"/>
      <c r="Z63" s="400"/>
      <c r="AA63" s="400"/>
      <c r="AB63" s="400"/>
      <c r="AC63" s="400"/>
      <c r="AD63" s="400"/>
      <c r="AE63" s="400"/>
      <c r="AF63" s="400"/>
      <c r="AG63" s="400"/>
      <c r="AH63" s="400"/>
      <c r="AI63" s="400"/>
      <c r="AJ63" s="400"/>
      <c r="AK63" s="400"/>
      <c r="AL63" s="400"/>
      <c r="AM63" s="400"/>
      <c r="AN63" s="400"/>
      <c r="AO63" s="400"/>
      <c r="AP63" s="400"/>
    </row>
    <row r="64" spans="1:42" ht="18" customHeight="1" x14ac:dyDescent="0.2">
      <c r="A64" s="682" t="s">
        <v>915</v>
      </c>
      <c r="B64" s="403">
        <v>752.73235633040008</v>
      </c>
      <c r="C64" s="403">
        <f t="shared" si="37"/>
        <v>969.60704354630343</v>
      </c>
      <c r="D64" s="403">
        <f t="shared" si="38"/>
        <v>1042.534313517604</v>
      </c>
      <c r="E64" s="403">
        <f t="shared" si="39"/>
        <v>1342.9057553116299</v>
      </c>
      <c r="F64" s="403">
        <f t="shared" si="40"/>
        <v>188.18308908260002</v>
      </c>
      <c r="G64" s="403">
        <f t="shared" si="41"/>
        <v>242.40176088657586</v>
      </c>
      <c r="H64" s="403">
        <f t="shared" si="42"/>
        <v>150.54647126608</v>
      </c>
      <c r="I64" s="403">
        <f t="shared" si="43"/>
        <v>193.92140870926067</v>
      </c>
      <c r="J64" s="403">
        <f t="shared" si="44"/>
        <v>1955.5986617463795</v>
      </c>
      <c r="K64" s="403">
        <f t="shared" si="45"/>
        <v>2118.5652168919114</v>
      </c>
      <c r="L64" s="404">
        <f t="shared" si="46"/>
        <v>2281.5317720374428</v>
      </c>
      <c r="M64" s="688"/>
      <c r="N64" s="764" t="s">
        <v>915</v>
      </c>
      <c r="O64" s="768">
        <v>708.33482720000006</v>
      </c>
      <c r="P64" s="765">
        <v>738.33482720000006</v>
      </c>
      <c r="Q64" s="767">
        <f t="shared" si="9"/>
        <v>4.2352851854804197E-2</v>
      </c>
      <c r="R64" s="688"/>
      <c r="S64" s="400"/>
      <c r="T64" s="400"/>
      <c r="U64" s="400"/>
      <c r="V64" s="400"/>
      <c r="W64" s="400"/>
      <c r="X64" s="400"/>
      <c r="Y64" s="400"/>
      <c r="Z64" s="400"/>
      <c r="AA64" s="400"/>
      <c r="AB64" s="400"/>
      <c r="AC64" s="400"/>
      <c r="AD64" s="400"/>
      <c r="AE64" s="400"/>
      <c r="AF64" s="400"/>
      <c r="AG64" s="400"/>
      <c r="AH64" s="400"/>
      <c r="AI64" s="400"/>
      <c r="AJ64" s="400"/>
      <c r="AK64" s="400"/>
      <c r="AL64" s="400"/>
      <c r="AM64" s="400"/>
      <c r="AN64" s="400"/>
      <c r="AO64" s="400"/>
      <c r="AP64" s="400"/>
    </row>
    <row r="65" spans="1:42" ht="18" customHeight="1" x14ac:dyDescent="0.2">
      <c r="A65" s="682" t="s">
        <v>916</v>
      </c>
      <c r="B65" s="403">
        <v>1762.9104866929711</v>
      </c>
      <c r="C65" s="403">
        <f t="shared" si="37"/>
        <v>2270.8342622232949</v>
      </c>
      <c r="D65" s="403">
        <f t="shared" si="38"/>
        <v>2441.6310240697649</v>
      </c>
      <c r="E65" s="403">
        <f t="shared" si="39"/>
        <v>3145.1054531792633</v>
      </c>
      <c r="F65" s="403">
        <f t="shared" si="40"/>
        <v>440.72762167324277</v>
      </c>
      <c r="G65" s="403">
        <f t="shared" si="41"/>
        <v>567.70856555582372</v>
      </c>
      <c r="H65" s="403">
        <f t="shared" si="42"/>
        <v>352.58209733859422</v>
      </c>
      <c r="I65" s="403">
        <f t="shared" si="43"/>
        <v>454.16685244465901</v>
      </c>
      <c r="J65" s="403">
        <f t="shared" si="44"/>
        <v>4580.0414444283388</v>
      </c>
      <c r="K65" s="403">
        <f t="shared" si="45"/>
        <v>4961.7115647973669</v>
      </c>
      <c r="L65" s="404">
        <f t="shared" si="46"/>
        <v>5343.3816851663951</v>
      </c>
      <c r="M65" s="688"/>
      <c r="N65" s="764" t="s">
        <v>916</v>
      </c>
      <c r="O65" s="768">
        <v>1665.8875310000001</v>
      </c>
      <c r="P65" s="765">
        <v>1729.1912571780001</v>
      </c>
      <c r="Q65" s="767">
        <f t="shared" si="9"/>
        <v>3.8000000000000034E-2</v>
      </c>
      <c r="R65" s="688"/>
      <c r="S65" s="400"/>
      <c r="T65" s="400"/>
      <c r="U65" s="400"/>
      <c r="V65" s="400"/>
      <c r="W65" s="400"/>
      <c r="X65" s="400"/>
      <c r="Y65" s="400"/>
      <c r="Z65" s="400"/>
      <c r="AA65" s="400"/>
      <c r="AB65" s="400"/>
      <c r="AC65" s="400"/>
      <c r="AD65" s="400"/>
      <c r="AE65" s="400"/>
      <c r="AF65" s="400"/>
      <c r="AG65" s="400"/>
      <c r="AH65" s="400"/>
      <c r="AI65" s="400"/>
      <c r="AJ65" s="400"/>
      <c r="AK65" s="400"/>
      <c r="AL65" s="400"/>
      <c r="AM65" s="400"/>
      <c r="AN65" s="400"/>
      <c r="AO65" s="400"/>
      <c r="AP65" s="400"/>
    </row>
    <row r="66" spans="1:42" ht="18" customHeight="1" x14ac:dyDescent="0.2">
      <c r="A66" s="682" t="s">
        <v>917</v>
      </c>
      <c r="B66" s="403">
        <v>815.52777862000016</v>
      </c>
      <c r="C66" s="403">
        <f t="shared" si="37"/>
        <v>1050.4948694015472</v>
      </c>
      <c r="D66" s="403">
        <f t="shared" si="38"/>
        <v>1129.5059733887003</v>
      </c>
      <c r="E66" s="403">
        <f t="shared" si="39"/>
        <v>1454.9353941211432</v>
      </c>
      <c r="F66" s="403">
        <f t="shared" si="40"/>
        <v>203.88194465500004</v>
      </c>
      <c r="G66" s="403">
        <f t="shared" si="41"/>
        <v>262.62371735038681</v>
      </c>
      <c r="H66" s="403">
        <f t="shared" si="42"/>
        <v>163.10555572400003</v>
      </c>
      <c r="I66" s="403">
        <f t="shared" si="43"/>
        <v>210.09897388030944</v>
      </c>
      <c r="J66" s="403">
        <f t="shared" si="44"/>
        <v>2118.7411688547604</v>
      </c>
      <c r="K66" s="403">
        <f t="shared" si="45"/>
        <v>2295.3029329259903</v>
      </c>
      <c r="L66" s="404">
        <f t="shared" si="46"/>
        <v>2471.8646969972201</v>
      </c>
      <c r="M66" s="688"/>
      <c r="N66" s="764" t="s">
        <v>917</v>
      </c>
      <c r="O66" s="768">
        <v>769.92916000000014</v>
      </c>
      <c r="P66" s="765">
        <v>799.92916000000014</v>
      </c>
      <c r="Q66" s="767">
        <f t="shared" si="9"/>
        <v>3.8964623706419843E-2</v>
      </c>
      <c r="R66" s="688"/>
      <c r="S66" s="400"/>
      <c r="T66" s="400"/>
      <c r="U66" s="400"/>
      <c r="V66" s="400"/>
      <c r="W66" s="400"/>
      <c r="X66" s="400"/>
      <c r="Y66" s="400"/>
      <c r="Z66" s="400"/>
      <c r="AA66" s="400"/>
      <c r="AB66" s="400"/>
      <c r="AC66" s="400"/>
      <c r="AD66" s="400"/>
      <c r="AE66" s="400"/>
      <c r="AF66" s="400"/>
      <c r="AG66" s="400"/>
      <c r="AH66" s="400"/>
      <c r="AI66" s="400"/>
      <c r="AJ66" s="400"/>
      <c r="AK66" s="400"/>
      <c r="AL66" s="400"/>
      <c r="AM66" s="400"/>
      <c r="AN66" s="400"/>
      <c r="AO66" s="400"/>
      <c r="AP66" s="400"/>
    </row>
    <row r="67" spans="1:42" ht="18" customHeight="1" x14ac:dyDescent="0.2">
      <c r="A67" s="682" t="s">
        <v>918</v>
      </c>
      <c r="B67" s="403">
        <v>689.9390378810001</v>
      </c>
      <c r="C67" s="403">
        <f t="shared" si="37"/>
        <v>888.72192768254502</v>
      </c>
      <c r="D67" s="403">
        <f t="shared" si="38"/>
        <v>955.56556746518515</v>
      </c>
      <c r="E67" s="403">
        <f t="shared" si="39"/>
        <v>1230.8798698403248</v>
      </c>
      <c r="F67" s="403">
        <f t="shared" si="40"/>
        <v>172.48475947025003</v>
      </c>
      <c r="G67" s="403">
        <f t="shared" si="41"/>
        <v>222.18048192063625</v>
      </c>
      <c r="H67" s="403">
        <f t="shared" si="42"/>
        <v>137.98780757620003</v>
      </c>
      <c r="I67" s="403">
        <f t="shared" si="43"/>
        <v>177.74438553650901</v>
      </c>
      <c r="J67" s="403">
        <f t="shared" si="44"/>
        <v>1792.4616204148381</v>
      </c>
      <c r="K67" s="403">
        <f t="shared" si="45"/>
        <v>1941.8334221160749</v>
      </c>
      <c r="L67" s="404">
        <f t="shared" si="46"/>
        <v>2091.205223817311</v>
      </c>
      <c r="M67" s="688"/>
      <c r="N67" s="764" t="s">
        <v>918</v>
      </c>
      <c r="O67" s="768">
        <v>646.74255800000003</v>
      </c>
      <c r="P67" s="765">
        <v>676.74255800000003</v>
      </c>
      <c r="Q67" s="767">
        <f t="shared" si="9"/>
        <v>4.638630878532668E-2</v>
      </c>
      <c r="R67" s="688"/>
      <c r="S67" s="400"/>
      <c r="T67" s="400"/>
      <c r="U67" s="400"/>
      <c r="V67" s="400"/>
      <c r="W67" s="400"/>
      <c r="X67" s="400"/>
      <c r="Y67" s="400"/>
      <c r="Z67" s="400"/>
      <c r="AA67" s="400"/>
      <c r="AB67" s="400"/>
      <c r="AC67" s="400"/>
      <c r="AD67" s="400"/>
      <c r="AE67" s="400"/>
      <c r="AF67" s="400"/>
      <c r="AG67" s="400"/>
      <c r="AH67" s="400"/>
      <c r="AI67" s="400"/>
      <c r="AJ67" s="400"/>
      <c r="AK67" s="400"/>
      <c r="AL67" s="400"/>
      <c r="AM67" s="400"/>
      <c r="AN67" s="400"/>
      <c r="AO67" s="400"/>
      <c r="AP67" s="400"/>
    </row>
    <row r="68" spans="1:42" ht="18" customHeight="1" x14ac:dyDescent="0.2">
      <c r="A68" s="682" t="s">
        <v>919</v>
      </c>
      <c r="B68" s="403">
        <v>689.9390378810001</v>
      </c>
      <c r="C68" s="403">
        <f t="shared" si="37"/>
        <v>888.72192768254502</v>
      </c>
      <c r="D68" s="403">
        <f t="shared" si="38"/>
        <v>955.56556746518515</v>
      </c>
      <c r="E68" s="403">
        <f t="shared" si="39"/>
        <v>1230.8798698403248</v>
      </c>
      <c r="F68" s="403">
        <f t="shared" si="40"/>
        <v>172.48475947025003</v>
      </c>
      <c r="G68" s="403">
        <f t="shared" si="41"/>
        <v>222.18048192063625</v>
      </c>
      <c r="H68" s="403">
        <f t="shared" si="42"/>
        <v>137.98780757620003</v>
      </c>
      <c r="I68" s="403">
        <f t="shared" si="43"/>
        <v>177.74438553650901</v>
      </c>
      <c r="J68" s="403">
        <f t="shared" si="44"/>
        <v>1792.4616204148381</v>
      </c>
      <c r="K68" s="403">
        <f t="shared" si="45"/>
        <v>1941.8334221160749</v>
      </c>
      <c r="L68" s="404">
        <f t="shared" si="46"/>
        <v>2091.205223817311</v>
      </c>
      <c r="M68" s="688"/>
      <c r="N68" s="764" t="s">
        <v>919</v>
      </c>
      <c r="O68" s="768">
        <v>646.74255800000003</v>
      </c>
      <c r="P68" s="765">
        <v>676.74255800000003</v>
      </c>
      <c r="Q68" s="767">
        <f t="shared" si="9"/>
        <v>4.638630878532668E-2</v>
      </c>
      <c r="R68" s="688"/>
      <c r="S68" s="400"/>
      <c r="T68" s="400"/>
      <c r="U68" s="400"/>
      <c r="V68" s="400"/>
      <c r="W68" s="400"/>
      <c r="X68" s="400"/>
      <c r="Y68" s="400"/>
      <c r="Z68" s="400"/>
      <c r="AA68" s="400"/>
      <c r="AB68" s="400"/>
      <c r="AC68" s="400"/>
      <c r="AD68" s="400"/>
      <c r="AE68" s="400"/>
      <c r="AF68" s="400"/>
      <c r="AG68" s="400"/>
      <c r="AH68" s="400"/>
      <c r="AI68" s="400"/>
      <c r="AJ68" s="400"/>
      <c r="AK68" s="400"/>
      <c r="AL68" s="400"/>
      <c r="AM68" s="400"/>
      <c r="AN68" s="400"/>
      <c r="AO68" s="400"/>
      <c r="AP68" s="400"/>
    </row>
    <row r="69" spans="1:42" ht="18" customHeight="1" x14ac:dyDescent="0.2">
      <c r="A69" s="682" t="s">
        <v>920</v>
      </c>
      <c r="B69" s="403">
        <v>689.9390378810001</v>
      </c>
      <c r="C69" s="403">
        <f t="shared" si="37"/>
        <v>888.72192768254502</v>
      </c>
      <c r="D69" s="403">
        <f t="shared" si="38"/>
        <v>955.56556746518515</v>
      </c>
      <c r="E69" s="403">
        <f t="shared" si="39"/>
        <v>1230.8798698403248</v>
      </c>
      <c r="F69" s="403">
        <f t="shared" si="40"/>
        <v>172.48475947025003</v>
      </c>
      <c r="G69" s="403">
        <f t="shared" si="41"/>
        <v>222.18048192063625</v>
      </c>
      <c r="H69" s="403">
        <f t="shared" si="42"/>
        <v>137.98780757620003</v>
      </c>
      <c r="I69" s="403">
        <f t="shared" si="43"/>
        <v>177.74438553650901</v>
      </c>
      <c r="J69" s="403">
        <f t="shared" si="44"/>
        <v>1792.4616204148381</v>
      </c>
      <c r="K69" s="403">
        <f t="shared" si="45"/>
        <v>1941.8334221160749</v>
      </c>
      <c r="L69" s="404">
        <f t="shared" si="46"/>
        <v>2091.205223817311</v>
      </c>
      <c r="M69" s="688"/>
      <c r="N69" s="764" t="s">
        <v>920</v>
      </c>
      <c r="O69" s="768">
        <v>646.74255800000003</v>
      </c>
      <c r="P69" s="765">
        <v>676.74255800000003</v>
      </c>
      <c r="Q69" s="767">
        <f t="shared" si="9"/>
        <v>4.638630878532668E-2</v>
      </c>
      <c r="R69" s="688"/>
      <c r="S69" s="400"/>
      <c r="T69" s="400"/>
      <c r="U69" s="400"/>
      <c r="V69" s="400"/>
      <c r="W69" s="400"/>
      <c r="X69" s="400"/>
      <c r="Y69" s="400"/>
      <c r="Z69" s="400"/>
      <c r="AA69" s="400"/>
      <c r="AB69" s="400"/>
      <c r="AC69" s="400"/>
      <c r="AD69" s="400"/>
      <c r="AE69" s="400"/>
      <c r="AF69" s="400"/>
      <c r="AG69" s="400"/>
      <c r="AH69" s="400"/>
      <c r="AI69" s="400"/>
      <c r="AJ69" s="400"/>
      <c r="AK69" s="400"/>
      <c r="AL69" s="400"/>
      <c r="AM69" s="400"/>
      <c r="AN69" s="400"/>
      <c r="AO69" s="400"/>
      <c r="AP69" s="400"/>
    </row>
    <row r="70" spans="1:42" ht="18" customHeight="1" x14ac:dyDescent="0.2">
      <c r="A70" s="682" t="s">
        <v>921</v>
      </c>
      <c r="B70" s="403">
        <v>689.9390378810001</v>
      </c>
      <c r="C70" s="403">
        <f t="shared" si="37"/>
        <v>888.72192768254502</v>
      </c>
      <c r="D70" s="403">
        <f t="shared" si="38"/>
        <v>955.56556746518515</v>
      </c>
      <c r="E70" s="403">
        <f t="shared" si="39"/>
        <v>1230.8798698403248</v>
      </c>
      <c r="F70" s="403">
        <f t="shared" si="40"/>
        <v>172.48475947025003</v>
      </c>
      <c r="G70" s="403">
        <f t="shared" si="41"/>
        <v>222.18048192063625</v>
      </c>
      <c r="H70" s="403">
        <f t="shared" si="42"/>
        <v>137.98780757620003</v>
      </c>
      <c r="I70" s="403">
        <f t="shared" si="43"/>
        <v>177.74438553650901</v>
      </c>
      <c r="J70" s="403">
        <f t="shared" si="44"/>
        <v>1792.4616204148381</v>
      </c>
      <c r="K70" s="403">
        <f t="shared" si="45"/>
        <v>1941.8334221160749</v>
      </c>
      <c r="L70" s="404">
        <f t="shared" si="46"/>
        <v>2091.205223817311</v>
      </c>
      <c r="M70" s="688"/>
      <c r="N70" s="764" t="s">
        <v>921</v>
      </c>
      <c r="O70" s="768">
        <v>646.74255800000003</v>
      </c>
      <c r="P70" s="765">
        <v>676.74255800000003</v>
      </c>
      <c r="Q70" s="767">
        <f t="shared" si="9"/>
        <v>4.638630878532668E-2</v>
      </c>
      <c r="R70" s="688"/>
      <c r="S70" s="400"/>
      <c r="T70" s="400"/>
      <c r="U70" s="400"/>
      <c r="V70" s="400"/>
      <c r="W70" s="400"/>
      <c r="X70" s="400"/>
      <c r="Y70" s="400"/>
      <c r="Z70" s="400"/>
      <c r="AA70" s="400"/>
      <c r="AB70" s="400"/>
      <c r="AC70" s="400"/>
      <c r="AD70" s="400"/>
      <c r="AE70" s="400"/>
      <c r="AF70" s="400"/>
      <c r="AG70" s="400"/>
      <c r="AH70" s="400"/>
      <c r="AI70" s="400"/>
      <c r="AJ70" s="400"/>
      <c r="AK70" s="400"/>
      <c r="AL70" s="400"/>
      <c r="AM70" s="400"/>
      <c r="AN70" s="400"/>
      <c r="AO70" s="400"/>
      <c r="AP70" s="400"/>
    </row>
    <row r="71" spans="1:42" ht="18" customHeight="1" x14ac:dyDescent="0.2">
      <c r="A71" s="682" t="s">
        <v>922</v>
      </c>
      <c r="B71" s="403">
        <v>1042.8998220272942</v>
      </c>
      <c r="C71" s="403">
        <f t="shared" si="37"/>
        <v>1343.3765728904034</v>
      </c>
      <c r="D71" s="403">
        <f t="shared" si="38"/>
        <v>1444.4162535078026</v>
      </c>
      <c r="E71" s="403">
        <f t="shared" si="39"/>
        <v>1860.5765534532086</v>
      </c>
      <c r="F71" s="403">
        <f t="shared" si="40"/>
        <v>260.72495550682356</v>
      </c>
      <c r="G71" s="403">
        <f t="shared" si="41"/>
        <v>335.84414322260085</v>
      </c>
      <c r="H71" s="403">
        <f t="shared" si="42"/>
        <v>208.57996440545884</v>
      </c>
      <c r="I71" s="403">
        <f t="shared" si="43"/>
        <v>268.67531457808064</v>
      </c>
      <c r="J71" s="403">
        <f t="shared" si="44"/>
        <v>2709.4537376269104</v>
      </c>
      <c r="K71" s="403">
        <f t="shared" si="45"/>
        <v>2935.2415490958197</v>
      </c>
      <c r="L71" s="404">
        <f t="shared" si="46"/>
        <v>3161.0293605647284</v>
      </c>
      <c r="M71" s="688"/>
      <c r="N71" s="764" t="s">
        <v>922</v>
      </c>
      <c r="O71" s="768">
        <v>985.50313400000005</v>
      </c>
      <c r="P71" s="765">
        <v>1022.9522530920001</v>
      </c>
      <c r="Q71" s="767">
        <f t="shared" si="9"/>
        <v>3.8000000000000034E-2</v>
      </c>
      <c r="R71" s="688"/>
      <c r="S71" s="1265"/>
      <c r="T71" s="1265"/>
      <c r="U71" s="1265"/>
      <c r="V71" s="1265"/>
      <c r="W71" s="1265"/>
      <c r="X71" s="1265"/>
      <c r="Y71" s="1265"/>
      <c r="Z71" s="400"/>
      <c r="AA71" s="400"/>
      <c r="AB71" s="400"/>
      <c r="AC71" s="400"/>
      <c r="AD71" s="400"/>
      <c r="AE71" s="400"/>
      <c r="AF71" s="400"/>
      <c r="AG71" s="400"/>
      <c r="AH71" s="400"/>
      <c r="AI71" s="400"/>
      <c r="AJ71" s="400"/>
      <c r="AK71" s="400"/>
      <c r="AL71" s="400"/>
      <c r="AM71" s="400"/>
      <c r="AN71" s="400"/>
      <c r="AO71" s="400"/>
      <c r="AP71" s="400"/>
    </row>
    <row r="72" spans="1:42" ht="18" customHeight="1" x14ac:dyDescent="0.2">
      <c r="A72" s="682" t="s">
        <v>923</v>
      </c>
      <c r="B72" s="403">
        <v>689.9390378810001</v>
      </c>
      <c r="C72" s="403">
        <f t="shared" si="37"/>
        <v>888.72192768254502</v>
      </c>
      <c r="D72" s="403">
        <f t="shared" si="38"/>
        <v>955.56556746518515</v>
      </c>
      <c r="E72" s="403">
        <f t="shared" si="39"/>
        <v>1230.8798698403248</v>
      </c>
      <c r="F72" s="403">
        <f t="shared" si="40"/>
        <v>172.48475947025003</v>
      </c>
      <c r="G72" s="403">
        <f t="shared" si="41"/>
        <v>222.18048192063625</v>
      </c>
      <c r="H72" s="403">
        <f t="shared" si="42"/>
        <v>137.98780757620003</v>
      </c>
      <c r="I72" s="403">
        <f t="shared" si="43"/>
        <v>177.74438553650901</v>
      </c>
      <c r="J72" s="403">
        <f t="shared" si="44"/>
        <v>1792.4616204148381</v>
      </c>
      <c r="K72" s="403">
        <f t="shared" si="45"/>
        <v>1941.8334221160749</v>
      </c>
      <c r="L72" s="404">
        <f t="shared" si="46"/>
        <v>2091.205223817311</v>
      </c>
      <c r="M72" s="688"/>
      <c r="N72" s="764" t="s">
        <v>923</v>
      </c>
      <c r="O72" s="768">
        <v>646.74255800000003</v>
      </c>
      <c r="P72" s="765">
        <v>676.74255800000003</v>
      </c>
      <c r="Q72" s="767">
        <f t="shared" si="9"/>
        <v>4.638630878532668E-2</v>
      </c>
      <c r="R72" s="688"/>
      <c r="S72" s="1265"/>
      <c r="T72" s="1265"/>
      <c r="U72" s="1265"/>
      <c r="V72" s="1265"/>
      <c r="W72" s="1265"/>
      <c r="X72" s="1265"/>
      <c r="Y72" s="1265"/>
      <c r="Z72" s="400"/>
      <c r="AA72" s="400"/>
      <c r="AB72" s="400"/>
      <c r="AC72" s="400"/>
      <c r="AD72" s="400"/>
      <c r="AE72" s="400"/>
      <c r="AF72" s="400"/>
      <c r="AG72" s="400"/>
      <c r="AH72" s="400"/>
      <c r="AI72" s="400"/>
      <c r="AJ72" s="400"/>
      <c r="AK72" s="400"/>
      <c r="AL72" s="400"/>
      <c r="AM72" s="400"/>
      <c r="AN72" s="400"/>
      <c r="AO72" s="400"/>
      <c r="AP72" s="400"/>
    </row>
    <row r="73" spans="1:42" ht="18" customHeight="1" x14ac:dyDescent="0.2">
      <c r="A73" s="682" t="s">
        <v>924</v>
      </c>
      <c r="B73" s="403">
        <v>1075.4928299817243</v>
      </c>
      <c r="C73" s="403">
        <f t="shared" si="37"/>
        <v>1385.3601674804368</v>
      </c>
      <c r="D73" s="403">
        <f t="shared" si="38"/>
        <v>1489.5575695246882</v>
      </c>
      <c r="E73" s="403">
        <f t="shared" si="39"/>
        <v>1918.7238319604051</v>
      </c>
      <c r="F73" s="403">
        <f t="shared" si="40"/>
        <v>268.87320749543107</v>
      </c>
      <c r="G73" s="403">
        <f t="shared" si="41"/>
        <v>346.34004187010919</v>
      </c>
      <c r="H73" s="403">
        <f t="shared" si="42"/>
        <v>215.09856599634486</v>
      </c>
      <c r="I73" s="403">
        <f t="shared" si="43"/>
        <v>277.07203349608733</v>
      </c>
      <c r="J73" s="403">
        <f t="shared" si="44"/>
        <v>2794.13037229252</v>
      </c>
      <c r="K73" s="403">
        <f t="shared" si="45"/>
        <v>3026.9745699835635</v>
      </c>
      <c r="L73" s="404">
        <f t="shared" si="46"/>
        <v>3259.8187676746065</v>
      </c>
      <c r="M73" s="688"/>
      <c r="N73" s="764" t="s">
        <v>924</v>
      </c>
      <c r="O73" s="768">
        <v>1016.3023640000001</v>
      </c>
      <c r="P73" s="765">
        <v>1054.9218538320001</v>
      </c>
      <c r="Q73" s="767">
        <f t="shared" si="9"/>
        <v>3.8000000000000034E-2</v>
      </c>
      <c r="R73" s="688"/>
      <c r="S73" s="1265"/>
      <c r="T73" s="1265"/>
      <c r="U73" s="1265"/>
      <c r="V73" s="1265"/>
      <c r="W73" s="1265"/>
      <c r="X73" s="1265"/>
      <c r="Y73" s="1265"/>
      <c r="Z73" s="400"/>
      <c r="AA73" s="400"/>
      <c r="AB73" s="400"/>
      <c r="AC73" s="400"/>
      <c r="AD73" s="400"/>
      <c r="AE73" s="400"/>
      <c r="AF73" s="400"/>
      <c r="AG73" s="400"/>
      <c r="AH73" s="400"/>
      <c r="AI73" s="400"/>
      <c r="AJ73" s="400"/>
      <c r="AK73" s="400"/>
      <c r="AL73" s="400"/>
      <c r="AM73" s="400"/>
      <c r="AN73" s="400"/>
      <c r="AO73" s="400"/>
      <c r="AP73" s="400"/>
    </row>
    <row r="74" spans="1:42" ht="18" customHeight="1" x14ac:dyDescent="0.2">
      <c r="A74" s="682" t="s">
        <v>925</v>
      </c>
      <c r="B74" s="403">
        <v>912.53406000000007</v>
      </c>
      <c r="C74" s="403">
        <f t="shared" si="37"/>
        <v>1175.4502707513961</v>
      </c>
      <c r="D74" s="403">
        <f t="shared" si="38"/>
        <v>1263.8596731</v>
      </c>
      <c r="E74" s="403">
        <f t="shared" si="39"/>
        <v>1627.9986249906833</v>
      </c>
      <c r="F74" s="403">
        <f t="shared" si="40"/>
        <v>228.13351500000002</v>
      </c>
      <c r="G74" s="403">
        <f t="shared" si="41"/>
        <v>293.86256768784904</v>
      </c>
      <c r="H74" s="403">
        <f t="shared" si="42"/>
        <v>182.50681200000002</v>
      </c>
      <c r="I74" s="403">
        <f t="shared" si="43"/>
        <v>235.09005415027923</v>
      </c>
      <c r="J74" s="403">
        <f t="shared" si="44"/>
        <v>2370.76348788</v>
      </c>
      <c r="K74" s="403">
        <f t="shared" si="45"/>
        <v>2568.3271118700004</v>
      </c>
      <c r="L74" s="404">
        <f t="shared" si="46"/>
        <v>2765.8907358599999</v>
      </c>
      <c r="M74" s="688"/>
      <c r="N74" s="764" t="s">
        <v>925</v>
      </c>
      <c r="O74" s="768">
        <v>862.31653200000005</v>
      </c>
      <c r="P74" s="765">
        <v>895.08</v>
      </c>
      <c r="Q74" s="767">
        <f t="shared" si="9"/>
        <v>3.7994711668127845E-2</v>
      </c>
      <c r="R74" s="688"/>
      <c r="S74" s="1265"/>
      <c r="T74" s="1265"/>
      <c r="U74" s="1265"/>
      <c r="V74" s="1265"/>
      <c r="W74" s="1265"/>
      <c r="X74" s="1265"/>
      <c r="Y74" s="1265"/>
      <c r="Z74" s="400"/>
      <c r="AA74" s="400"/>
      <c r="AB74" s="400"/>
      <c r="AC74" s="400"/>
      <c r="AD74" s="400"/>
      <c r="AE74" s="400"/>
      <c r="AF74" s="400"/>
      <c r="AG74" s="400"/>
      <c r="AH74" s="400"/>
      <c r="AI74" s="400"/>
      <c r="AJ74" s="400"/>
      <c r="AK74" s="400"/>
      <c r="AL74" s="400"/>
      <c r="AM74" s="400"/>
      <c r="AN74" s="400"/>
      <c r="AO74" s="400"/>
      <c r="AP74" s="400"/>
    </row>
    <row r="75" spans="1:42" ht="18" customHeight="1" thickBot="1" x14ac:dyDescent="0.25">
      <c r="A75" s="682" t="s">
        <v>926</v>
      </c>
      <c r="B75" s="403">
        <v>689.9390378810001</v>
      </c>
      <c r="C75" s="403">
        <f t="shared" si="37"/>
        <v>888.72192768254502</v>
      </c>
      <c r="D75" s="403">
        <f t="shared" si="38"/>
        <v>955.56556746518515</v>
      </c>
      <c r="E75" s="403">
        <f t="shared" si="39"/>
        <v>1230.8798698403248</v>
      </c>
      <c r="F75" s="403">
        <f t="shared" si="40"/>
        <v>172.48475947025003</v>
      </c>
      <c r="G75" s="403">
        <f t="shared" si="41"/>
        <v>222.18048192063625</v>
      </c>
      <c r="H75" s="403">
        <f t="shared" si="42"/>
        <v>137.98780757620003</v>
      </c>
      <c r="I75" s="403">
        <f t="shared" si="43"/>
        <v>177.74438553650901</v>
      </c>
      <c r="J75" s="403">
        <f t="shared" si="44"/>
        <v>1792.4616204148381</v>
      </c>
      <c r="K75" s="403">
        <f t="shared" si="45"/>
        <v>1941.8334221160749</v>
      </c>
      <c r="L75" s="404">
        <f t="shared" si="46"/>
        <v>2091.205223817311</v>
      </c>
      <c r="M75" s="688"/>
      <c r="N75" s="764" t="s">
        <v>926</v>
      </c>
      <c r="O75" s="769">
        <v>646.74255800000003</v>
      </c>
      <c r="P75" s="766">
        <v>676.74255800000003</v>
      </c>
      <c r="Q75" s="767">
        <f t="shared" si="9"/>
        <v>4.638630878532668E-2</v>
      </c>
      <c r="R75" s="688"/>
      <c r="S75" s="1265"/>
      <c r="T75" s="1265"/>
      <c r="U75" s="1265"/>
      <c r="V75" s="1265"/>
      <c r="W75" s="1265"/>
      <c r="X75" s="1265"/>
      <c r="Y75" s="1265"/>
      <c r="Z75" s="400"/>
      <c r="AA75" s="400"/>
      <c r="AB75" s="400"/>
      <c r="AC75" s="400"/>
      <c r="AD75" s="400"/>
      <c r="AE75" s="400"/>
      <c r="AF75" s="400"/>
      <c r="AG75" s="400"/>
      <c r="AH75" s="400"/>
      <c r="AI75" s="400"/>
      <c r="AJ75" s="400"/>
      <c r="AK75" s="400"/>
      <c r="AL75" s="400"/>
      <c r="AM75" s="400"/>
      <c r="AN75" s="400"/>
      <c r="AO75" s="400"/>
      <c r="AP75" s="400"/>
    </row>
    <row r="76" spans="1:42" ht="18" customHeight="1" x14ac:dyDescent="0.2">
      <c r="A76" s="683"/>
      <c r="B76" s="684"/>
      <c r="C76" s="684"/>
      <c r="D76" s="684"/>
      <c r="E76" s="684"/>
      <c r="F76" s="684"/>
      <c r="G76" s="684"/>
      <c r="H76" s="684"/>
      <c r="I76" s="684"/>
      <c r="J76" s="684"/>
      <c r="K76" s="684"/>
      <c r="L76" s="684"/>
      <c r="M76" s="688"/>
      <c r="N76" s="400"/>
      <c r="O76" s="400"/>
      <c r="P76" s="400"/>
      <c r="Q76" s="400"/>
      <c r="R76" s="688"/>
      <c r="S76" s="400"/>
      <c r="T76" s="400"/>
      <c r="U76" s="400"/>
      <c r="V76" s="400"/>
      <c r="W76" s="400"/>
      <c r="X76" s="400"/>
      <c r="Y76" s="400"/>
      <c r="Z76" s="400"/>
      <c r="AA76" s="400"/>
      <c r="AB76" s="400"/>
      <c r="AC76" s="400"/>
      <c r="AD76" s="400"/>
      <c r="AE76" s="400"/>
      <c r="AF76" s="400"/>
      <c r="AG76" s="400"/>
      <c r="AH76" s="400"/>
      <c r="AI76" s="400"/>
      <c r="AJ76" s="400"/>
      <c r="AK76" s="400"/>
      <c r="AL76" s="400"/>
      <c r="AM76" s="400"/>
      <c r="AN76" s="400"/>
      <c r="AO76" s="400"/>
      <c r="AP76" s="400"/>
    </row>
    <row r="77" spans="1:42" ht="18" customHeight="1" x14ac:dyDescent="0.2">
      <c r="A77" s="405"/>
      <c r="B77" s="406"/>
      <c r="C77" s="406"/>
      <c r="D77" s="406"/>
      <c r="E77" s="406"/>
      <c r="F77" s="406"/>
      <c r="G77" s="406"/>
      <c r="H77" s="406"/>
      <c r="I77" s="406"/>
      <c r="J77" s="406"/>
      <c r="K77" s="406"/>
      <c r="L77" s="406"/>
      <c r="M77" s="688"/>
      <c r="N77" s="400"/>
      <c r="O77" s="400"/>
      <c r="P77" s="400"/>
      <c r="Q77" s="400"/>
      <c r="R77" s="688"/>
      <c r="S77" s="400"/>
      <c r="T77" s="400"/>
      <c r="U77" s="400"/>
      <c r="V77" s="400"/>
      <c r="W77" s="400"/>
      <c r="X77" s="400"/>
      <c r="Y77" s="400"/>
      <c r="Z77" s="400"/>
      <c r="AA77" s="400"/>
      <c r="AB77" s="400"/>
      <c r="AC77" s="400"/>
      <c r="AD77" s="400"/>
      <c r="AE77" s="400"/>
      <c r="AF77" s="400"/>
      <c r="AG77" s="400"/>
      <c r="AH77" s="400"/>
      <c r="AI77" s="400"/>
      <c r="AJ77" s="400"/>
      <c r="AK77" s="400"/>
      <c r="AL77" s="400"/>
      <c r="AM77" s="400"/>
      <c r="AN77" s="400"/>
      <c r="AO77" s="400"/>
      <c r="AP77" s="400"/>
    </row>
    <row r="78" spans="1:42" ht="18" customHeight="1" x14ac:dyDescent="0.2">
      <c r="A78" s="683" t="s">
        <v>1156</v>
      </c>
      <c r="B78" s="405"/>
      <c r="C78" s="405"/>
      <c r="D78" s="405"/>
      <c r="E78" s="405"/>
      <c r="F78" s="405"/>
      <c r="G78" s="405"/>
      <c r="H78" s="405"/>
      <c r="I78" s="405"/>
      <c r="J78" s="405"/>
      <c r="K78" s="405"/>
      <c r="L78" s="405"/>
      <c r="M78" s="688"/>
      <c r="N78" s="400"/>
      <c r="O78" s="400"/>
      <c r="P78" s="400"/>
      <c r="Q78" s="400"/>
      <c r="R78" s="688"/>
      <c r="S78" s="400"/>
      <c r="T78" s="400"/>
      <c r="U78" s="400"/>
      <c r="V78" s="400"/>
      <c r="W78" s="400"/>
      <c r="X78" s="400"/>
      <c r="Y78" s="400"/>
      <c r="Z78" s="400"/>
      <c r="AA78" s="400"/>
      <c r="AB78" s="400"/>
      <c r="AC78" s="400"/>
      <c r="AD78" s="400"/>
      <c r="AE78" s="400"/>
      <c r="AF78" s="400"/>
      <c r="AG78" s="400"/>
      <c r="AH78" s="400"/>
      <c r="AI78" s="400"/>
      <c r="AJ78" s="400"/>
      <c r="AK78" s="400"/>
      <c r="AL78" s="400"/>
      <c r="AM78" s="400"/>
      <c r="AN78" s="400"/>
      <c r="AO78" s="400"/>
      <c r="AP78" s="400"/>
    </row>
    <row r="79" spans="1:42" ht="18" customHeight="1" x14ac:dyDescent="0.2">
      <c r="A79" s="683" t="s">
        <v>1157</v>
      </c>
      <c r="B79" s="405"/>
      <c r="C79" s="405"/>
      <c r="D79" s="405"/>
      <c r="E79" s="405"/>
      <c r="F79" s="405"/>
      <c r="G79" s="405"/>
      <c r="H79" s="405"/>
      <c r="I79" s="405"/>
      <c r="J79" s="405"/>
      <c r="K79" s="405"/>
      <c r="L79" s="405"/>
      <c r="M79" s="688"/>
      <c r="N79" s="400"/>
      <c r="O79" s="400"/>
      <c r="P79" s="400"/>
      <c r="Q79" s="400"/>
      <c r="R79" s="688"/>
      <c r="S79" s="400"/>
      <c r="T79" s="400"/>
      <c r="U79" s="400"/>
      <c r="V79" s="400"/>
      <c r="W79" s="400"/>
      <c r="X79" s="400"/>
      <c r="Y79" s="400"/>
      <c r="Z79" s="400"/>
      <c r="AA79" s="400"/>
      <c r="AB79" s="400"/>
      <c r="AC79" s="400"/>
      <c r="AD79" s="400"/>
      <c r="AE79" s="400"/>
      <c r="AF79" s="400"/>
      <c r="AG79" s="400"/>
      <c r="AH79" s="400"/>
      <c r="AI79" s="400"/>
      <c r="AJ79" s="400"/>
      <c r="AK79" s="400"/>
      <c r="AL79" s="400"/>
      <c r="AM79" s="400"/>
      <c r="AN79" s="400"/>
      <c r="AO79" s="400"/>
      <c r="AP79" s="400"/>
    </row>
    <row r="80" spans="1:42" ht="18" customHeight="1" x14ac:dyDescent="0.2">
      <c r="A80" s="683" t="s">
        <v>1158</v>
      </c>
      <c r="B80" s="405"/>
      <c r="C80" s="405"/>
      <c r="D80" s="405"/>
      <c r="E80" s="405"/>
      <c r="F80" s="405"/>
      <c r="G80" s="405"/>
      <c r="H80" s="405"/>
      <c r="I80" s="405"/>
      <c r="J80" s="405"/>
      <c r="K80" s="405"/>
      <c r="L80" s="405"/>
      <c r="M80" s="688"/>
      <c r="N80" s="400"/>
      <c r="O80" s="400"/>
      <c r="P80" s="400"/>
      <c r="Q80" s="400"/>
      <c r="R80" s="688"/>
      <c r="S80" s="400"/>
      <c r="T80" s="400"/>
      <c r="U80" s="400"/>
      <c r="V80" s="400"/>
      <c r="W80" s="400"/>
      <c r="X80" s="400"/>
      <c r="Y80" s="400"/>
      <c r="Z80" s="400"/>
      <c r="AA80" s="400"/>
      <c r="AB80" s="400"/>
      <c r="AC80" s="400"/>
      <c r="AD80" s="400"/>
      <c r="AE80" s="400"/>
      <c r="AF80" s="400"/>
      <c r="AG80" s="400"/>
      <c r="AH80" s="400"/>
      <c r="AI80" s="400"/>
      <c r="AJ80" s="400"/>
      <c r="AK80" s="400"/>
      <c r="AL80" s="400"/>
      <c r="AM80" s="400"/>
      <c r="AN80" s="400"/>
      <c r="AO80" s="400"/>
      <c r="AP80" s="400"/>
    </row>
    <row r="81" spans="1:42" ht="18" customHeight="1" x14ac:dyDescent="0.2">
      <c r="A81" s="683" t="s">
        <v>1159</v>
      </c>
      <c r="B81" s="407"/>
      <c r="C81" s="407"/>
      <c r="D81" s="407"/>
      <c r="E81" s="407"/>
      <c r="F81" s="407"/>
      <c r="G81" s="407"/>
      <c r="H81" s="407"/>
      <c r="I81" s="407"/>
      <c r="J81" s="407"/>
      <c r="K81" s="407"/>
      <c r="L81" s="407"/>
      <c r="M81" s="688"/>
      <c r="N81" s="400"/>
      <c r="O81" s="400"/>
      <c r="P81" s="400"/>
      <c r="Q81" s="400"/>
      <c r="R81" s="688"/>
      <c r="S81" s="400"/>
      <c r="T81" s="400"/>
      <c r="U81" s="400"/>
      <c r="V81" s="400"/>
      <c r="W81" s="400"/>
      <c r="X81" s="400"/>
      <c r="Y81" s="400"/>
      <c r="Z81" s="400"/>
      <c r="AA81" s="400"/>
      <c r="AB81" s="400"/>
      <c r="AC81" s="400"/>
      <c r="AD81" s="400"/>
      <c r="AE81" s="400"/>
      <c r="AF81" s="400"/>
      <c r="AG81" s="400"/>
      <c r="AH81" s="400"/>
      <c r="AI81" s="400"/>
      <c r="AJ81" s="400"/>
      <c r="AK81" s="400"/>
      <c r="AL81" s="400"/>
      <c r="AM81" s="400"/>
      <c r="AN81" s="400"/>
      <c r="AO81" s="400"/>
      <c r="AP81" s="400"/>
    </row>
    <row r="82" spans="1:42" ht="18" customHeight="1" x14ac:dyDescent="0.2">
      <c r="A82" s="683" t="s">
        <v>1160</v>
      </c>
      <c r="B82" s="407"/>
      <c r="C82" s="407"/>
      <c r="D82" s="407"/>
      <c r="E82" s="407"/>
      <c r="F82" s="407"/>
      <c r="G82" s="407"/>
      <c r="H82" s="407"/>
      <c r="I82" s="407"/>
      <c r="J82" s="407"/>
      <c r="K82" s="407"/>
      <c r="L82" s="407"/>
      <c r="M82" s="688"/>
      <c r="N82" s="400"/>
      <c r="O82" s="400"/>
      <c r="P82" s="400"/>
      <c r="Q82" s="400"/>
      <c r="R82" s="688"/>
      <c r="S82" s="400"/>
      <c r="T82" s="400"/>
      <c r="U82" s="400"/>
      <c r="V82" s="400"/>
      <c r="W82" s="400"/>
      <c r="X82" s="400"/>
      <c r="Y82" s="400"/>
      <c r="Z82" s="400"/>
      <c r="AA82" s="400"/>
      <c r="AB82" s="400"/>
      <c r="AC82" s="400"/>
      <c r="AD82" s="400"/>
      <c r="AE82" s="400"/>
      <c r="AF82" s="400"/>
      <c r="AG82" s="400"/>
      <c r="AH82" s="400"/>
      <c r="AI82" s="400"/>
      <c r="AJ82" s="400"/>
      <c r="AK82" s="400"/>
      <c r="AL82" s="400"/>
      <c r="AM82" s="400"/>
      <c r="AN82" s="400"/>
      <c r="AO82" s="400"/>
      <c r="AP82" s="400"/>
    </row>
    <row r="83" spans="1:42" ht="18" customHeight="1" x14ac:dyDescent="0.2">
      <c r="A83" s="683"/>
      <c r="B83" s="407"/>
      <c r="C83" s="407"/>
      <c r="D83" s="407"/>
      <c r="E83" s="407"/>
      <c r="F83" s="407"/>
      <c r="G83" s="407"/>
      <c r="H83" s="407"/>
      <c r="I83" s="407"/>
      <c r="J83" s="407"/>
      <c r="K83" s="407"/>
      <c r="L83" s="407"/>
      <c r="M83" s="688"/>
      <c r="N83" s="400"/>
      <c r="O83" s="400"/>
      <c r="P83" s="400"/>
      <c r="Q83" s="400"/>
      <c r="R83" s="688"/>
      <c r="S83" s="400"/>
      <c r="T83" s="400"/>
      <c r="U83" s="400"/>
      <c r="V83" s="400"/>
      <c r="W83" s="400"/>
      <c r="X83" s="400"/>
      <c r="Y83" s="400"/>
      <c r="Z83" s="400"/>
      <c r="AA83" s="400"/>
      <c r="AB83" s="400"/>
      <c r="AC83" s="400"/>
      <c r="AD83" s="400"/>
      <c r="AE83" s="400"/>
      <c r="AF83" s="400"/>
      <c r="AG83" s="400"/>
      <c r="AH83" s="400"/>
      <c r="AI83" s="400"/>
      <c r="AJ83" s="400"/>
      <c r="AK83" s="400"/>
      <c r="AL83" s="400"/>
      <c r="AM83" s="400"/>
      <c r="AN83" s="400"/>
      <c r="AO83" s="400"/>
      <c r="AP83" s="400"/>
    </row>
    <row r="84" spans="1:42" ht="18" customHeight="1" x14ac:dyDescent="0.2">
      <c r="A84" s="683"/>
      <c r="B84" s="407"/>
      <c r="C84" s="407"/>
      <c r="D84" s="407"/>
      <c r="E84" s="407"/>
      <c r="F84" s="407"/>
      <c r="G84" s="407"/>
      <c r="H84" s="407"/>
      <c r="I84" s="407"/>
      <c r="J84" s="407"/>
      <c r="K84" s="407"/>
      <c r="L84" s="407"/>
      <c r="M84" s="688"/>
      <c r="N84" s="400"/>
      <c r="O84" s="400"/>
      <c r="P84" s="400"/>
      <c r="Q84" s="400"/>
      <c r="R84" s="688"/>
      <c r="S84" s="400"/>
      <c r="T84" s="400"/>
      <c r="U84" s="400"/>
      <c r="V84" s="400"/>
      <c r="W84" s="400"/>
      <c r="X84" s="400"/>
      <c r="Y84" s="400"/>
      <c r="Z84" s="400"/>
      <c r="AA84" s="400"/>
      <c r="AB84" s="400"/>
      <c r="AC84" s="400"/>
      <c r="AD84" s="400"/>
      <c r="AE84" s="400"/>
      <c r="AF84" s="400"/>
      <c r="AG84" s="400"/>
      <c r="AH84" s="400"/>
      <c r="AI84" s="400"/>
      <c r="AJ84" s="400"/>
      <c r="AK84" s="400"/>
      <c r="AL84" s="400"/>
      <c r="AM84" s="400"/>
      <c r="AN84" s="400"/>
      <c r="AO84" s="400"/>
      <c r="AP84" s="400"/>
    </row>
    <row r="85" spans="1:42" x14ac:dyDescent="0.2">
      <c r="A85" s="683"/>
      <c r="B85" s="400"/>
      <c r="C85" s="400"/>
      <c r="D85" s="400"/>
      <c r="E85" s="400"/>
      <c r="F85" s="400"/>
      <c r="G85" s="400"/>
      <c r="H85" s="400"/>
      <c r="I85" s="400"/>
      <c r="J85" s="400"/>
      <c r="K85" s="400"/>
      <c r="L85" s="400"/>
      <c r="M85" s="688"/>
      <c r="N85" s="400"/>
      <c r="O85" s="400"/>
      <c r="P85" s="400"/>
      <c r="Q85" s="400"/>
      <c r="R85" s="688"/>
      <c r="S85" s="400"/>
      <c r="T85" s="400"/>
      <c r="U85" s="400"/>
      <c r="V85" s="400"/>
      <c r="W85" s="400"/>
      <c r="X85" s="400"/>
      <c r="Y85" s="400"/>
      <c r="Z85" s="400"/>
      <c r="AA85" s="400"/>
      <c r="AB85" s="400"/>
      <c r="AC85" s="400"/>
      <c r="AD85" s="400"/>
      <c r="AE85" s="400"/>
      <c r="AF85" s="400"/>
      <c r="AG85" s="400"/>
      <c r="AH85" s="400"/>
      <c r="AI85" s="400"/>
      <c r="AJ85" s="400"/>
      <c r="AK85" s="400"/>
      <c r="AL85" s="400"/>
      <c r="AM85" s="400"/>
      <c r="AN85" s="400"/>
      <c r="AO85" s="400"/>
      <c r="AP85" s="400"/>
    </row>
    <row r="86" spans="1:42" x14ac:dyDescent="0.2">
      <c r="A86" s="400"/>
      <c r="B86" s="400"/>
      <c r="C86" s="400"/>
      <c r="D86" s="400"/>
      <c r="E86" s="400"/>
      <c r="F86" s="400"/>
      <c r="G86" s="400"/>
      <c r="H86" s="400"/>
      <c r="I86" s="400"/>
      <c r="J86" s="400"/>
      <c r="K86" s="400"/>
      <c r="L86" s="400"/>
      <c r="M86" s="688"/>
      <c r="N86" s="400"/>
      <c r="O86" s="400"/>
      <c r="P86" s="400"/>
      <c r="Q86" s="400"/>
      <c r="R86" s="688"/>
      <c r="S86" s="400"/>
      <c r="T86" s="400"/>
      <c r="U86" s="400"/>
      <c r="V86" s="400"/>
      <c r="W86" s="400"/>
      <c r="X86" s="400"/>
      <c r="Y86" s="400"/>
      <c r="Z86" s="400"/>
      <c r="AA86" s="400"/>
      <c r="AB86" s="400"/>
      <c r="AC86" s="400"/>
      <c r="AD86" s="400"/>
      <c r="AE86" s="400"/>
      <c r="AF86" s="400"/>
      <c r="AG86" s="400"/>
      <c r="AH86" s="400"/>
      <c r="AI86" s="400"/>
      <c r="AJ86" s="400"/>
      <c r="AK86" s="400"/>
      <c r="AL86" s="400"/>
      <c r="AM86" s="400"/>
      <c r="AN86" s="400"/>
      <c r="AO86" s="400"/>
      <c r="AP86" s="400"/>
    </row>
    <row r="87" spans="1:42" x14ac:dyDescent="0.2">
      <c r="A87" s="400"/>
      <c r="B87" s="400"/>
      <c r="C87" s="400"/>
      <c r="D87" s="400"/>
      <c r="E87" s="400"/>
      <c r="F87" s="400"/>
      <c r="G87" s="400"/>
      <c r="H87" s="400"/>
      <c r="I87" s="400"/>
      <c r="J87" s="400"/>
      <c r="K87" s="400"/>
      <c r="L87" s="400"/>
      <c r="M87" s="688"/>
      <c r="N87" s="400"/>
      <c r="O87" s="400"/>
      <c r="P87" s="400"/>
      <c r="Q87" s="400"/>
      <c r="R87" s="688"/>
      <c r="S87" s="400"/>
      <c r="T87" s="400"/>
      <c r="U87" s="400"/>
      <c r="V87" s="400"/>
      <c r="W87" s="400"/>
      <c r="X87" s="400"/>
      <c r="Y87" s="400"/>
      <c r="Z87" s="400"/>
      <c r="AA87" s="400"/>
      <c r="AB87" s="400"/>
      <c r="AC87" s="400"/>
      <c r="AD87" s="400"/>
      <c r="AE87" s="400"/>
      <c r="AF87" s="400"/>
      <c r="AG87" s="400"/>
      <c r="AH87" s="400"/>
      <c r="AI87" s="400"/>
      <c r="AJ87" s="400"/>
      <c r="AK87" s="400"/>
      <c r="AL87" s="400"/>
      <c r="AM87" s="400"/>
      <c r="AN87" s="400"/>
      <c r="AO87" s="400"/>
      <c r="AP87" s="400"/>
    </row>
    <row r="88" spans="1:42" x14ac:dyDescent="0.2">
      <c r="A88" s="400"/>
      <c r="B88" s="400"/>
      <c r="C88" s="400"/>
      <c r="D88" s="400"/>
      <c r="E88" s="400"/>
      <c r="F88" s="400"/>
      <c r="G88" s="400"/>
      <c r="H88" s="400"/>
      <c r="I88" s="400"/>
      <c r="J88" s="400"/>
      <c r="K88" s="400"/>
      <c r="L88" s="400"/>
      <c r="M88" s="688"/>
      <c r="N88" s="400"/>
      <c r="O88" s="400"/>
      <c r="P88" s="400"/>
      <c r="Q88" s="400"/>
      <c r="R88" s="688"/>
      <c r="S88" s="400"/>
      <c r="T88" s="400"/>
      <c r="U88" s="400"/>
      <c r="V88" s="400"/>
      <c r="W88" s="400"/>
      <c r="X88" s="400"/>
      <c r="Y88" s="400"/>
      <c r="Z88" s="400"/>
      <c r="AA88" s="400"/>
      <c r="AB88" s="400"/>
      <c r="AC88" s="400"/>
      <c r="AD88" s="400"/>
      <c r="AE88" s="400"/>
      <c r="AF88" s="400"/>
      <c r="AG88" s="400"/>
      <c r="AH88" s="400"/>
      <c r="AI88" s="400"/>
      <c r="AJ88" s="400"/>
      <c r="AK88" s="400"/>
      <c r="AL88" s="400"/>
      <c r="AM88" s="400"/>
      <c r="AN88" s="400"/>
      <c r="AO88" s="400"/>
      <c r="AP88" s="400"/>
    </row>
    <row r="89" spans="1:42" x14ac:dyDescent="0.2">
      <c r="A89" s="400"/>
      <c r="B89" s="400"/>
      <c r="C89" s="400"/>
      <c r="D89" s="400"/>
      <c r="E89" s="400"/>
      <c r="F89" s="400"/>
      <c r="G89" s="400"/>
      <c r="H89" s="400"/>
      <c r="I89" s="400"/>
      <c r="J89" s="400"/>
      <c r="K89" s="400"/>
      <c r="L89" s="400"/>
      <c r="M89" s="688"/>
      <c r="N89" s="400"/>
      <c r="O89" s="400"/>
      <c r="P89" s="400"/>
      <c r="Q89" s="400"/>
      <c r="R89" s="688"/>
      <c r="S89" s="400"/>
      <c r="T89" s="400"/>
      <c r="U89" s="400"/>
      <c r="V89" s="400"/>
      <c r="W89" s="400"/>
      <c r="X89" s="400"/>
      <c r="Y89" s="400"/>
      <c r="Z89" s="400"/>
      <c r="AA89" s="400"/>
      <c r="AB89" s="400"/>
      <c r="AC89" s="400"/>
      <c r="AD89" s="400"/>
      <c r="AE89" s="400"/>
      <c r="AF89" s="400"/>
      <c r="AG89" s="400"/>
      <c r="AH89" s="400"/>
      <c r="AI89" s="400"/>
      <c r="AJ89" s="400"/>
      <c r="AK89" s="400"/>
      <c r="AL89" s="400"/>
      <c r="AM89" s="400"/>
      <c r="AN89" s="400"/>
      <c r="AO89" s="400"/>
      <c r="AP89" s="400"/>
    </row>
    <row r="90" spans="1:42" x14ac:dyDescent="0.2">
      <c r="A90" s="400"/>
      <c r="B90" s="400"/>
      <c r="C90" s="400"/>
      <c r="D90" s="400"/>
      <c r="E90" s="400"/>
      <c r="F90" s="400"/>
      <c r="G90" s="400"/>
      <c r="H90" s="400"/>
      <c r="I90" s="400"/>
      <c r="J90" s="400"/>
      <c r="K90" s="400"/>
      <c r="L90" s="400"/>
      <c r="M90" s="688"/>
      <c r="N90" s="400"/>
      <c r="O90" s="400"/>
      <c r="P90" s="400"/>
      <c r="Q90" s="400"/>
      <c r="R90" s="688"/>
      <c r="S90" s="400"/>
      <c r="T90" s="400"/>
      <c r="U90" s="400"/>
      <c r="V90" s="400"/>
      <c r="W90" s="400"/>
      <c r="X90" s="400"/>
      <c r="Y90" s="400"/>
      <c r="Z90" s="400"/>
      <c r="AA90" s="400"/>
      <c r="AB90" s="400"/>
      <c r="AC90" s="400"/>
      <c r="AD90" s="400"/>
      <c r="AE90" s="400"/>
      <c r="AF90" s="400"/>
      <c r="AG90" s="400"/>
      <c r="AH90" s="400"/>
      <c r="AI90" s="400"/>
      <c r="AJ90" s="400"/>
      <c r="AK90" s="400"/>
      <c r="AL90" s="400"/>
      <c r="AM90" s="400"/>
      <c r="AN90" s="400"/>
      <c r="AO90" s="400"/>
      <c r="AP90" s="400"/>
    </row>
    <row r="91" spans="1:42" x14ac:dyDescent="0.2">
      <c r="A91" s="400"/>
      <c r="B91" s="400"/>
      <c r="C91" s="400"/>
      <c r="D91" s="400"/>
      <c r="E91" s="400"/>
      <c r="F91" s="400"/>
      <c r="G91" s="400"/>
      <c r="H91" s="400"/>
      <c r="I91" s="400"/>
      <c r="J91" s="400"/>
      <c r="K91" s="400"/>
      <c r="L91" s="400"/>
      <c r="M91" s="688"/>
      <c r="N91" s="400"/>
      <c r="O91" s="400"/>
      <c r="P91" s="400"/>
      <c r="Q91" s="400"/>
      <c r="R91" s="688"/>
      <c r="S91" s="400"/>
      <c r="T91" s="400"/>
      <c r="U91" s="400"/>
      <c r="V91" s="400"/>
      <c r="W91" s="400"/>
      <c r="X91" s="400"/>
      <c r="Y91" s="400"/>
      <c r="Z91" s="400"/>
      <c r="AA91" s="400"/>
      <c r="AB91" s="400"/>
      <c r="AC91" s="400"/>
      <c r="AD91" s="400"/>
      <c r="AE91" s="400"/>
      <c r="AF91" s="400"/>
      <c r="AG91" s="400"/>
      <c r="AH91" s="400"/>
      <c r="AI91" s="400"/>
      <c r="AJ91" s="400"/>
      <c r="AK91" s="400"/>
      <c r="AL91" s="400"/>
      <c r="AM91" s="400"/>
      <c r="AN91" s="400"/>
      <c r="AO91" s="400"/>
      <c r="AP91" s="400"/>
    </row>
    <row r="92" spans="1:42" x14ac:dyDescent="0.2">
      <c r="A92" s="400"/>
      <c r="B92" s="400"/>
      <c r="C92" s="400"/>
      <c r="D92" s="400"/>
      <c r="E92" s="400"/>
      <c r="F92" s="400"/>
      <c r="G92" s="400"/>
      <c r="H92" s="400"/>
      <c r="I92" s="400"/>
      <c r="J92" s="400"/>
      <c r="K92" s="400"/>
      <c r="L92" s="400"/>
      <c r="M92" s="688"/>
      <c r="N92" s="400"/>
      <c r="O92" s="400"/>
      <c r="P92" s="400"/>
      <c r="Q92" s="400"/>
      <c r="R92" s="688"/>
      <c r="S92" s="400"/>
      <c r="T92" s="400"/>
      <c r="U92" s="400"/>
      <c r="V92" s="400"/>
      <c r="W92" s="400"/>
      <c r="X92" s="400"/>
      <c r="Y92" s="400"/>
      <c r="Z92" s="400"/>
      <c r="AA92" s="400"/>
      <c r="AB92" s="400"/>
      <c r="AC92" s="400"/>
      <c r="AD92" s="400"/>
      <c r="AE92" s="400"/>
      <c r="AF92" s="400"/>
      <c r="AG92" s="400"/>
      <c r="AH92" s="400"/>
      <c r="AI92" s="400"/>
      <c r="AJ92" s="400"/>
      <c r="AK92" s="400"/>
      <c r="AL92" s="400"/>
      <c r="AM92" s="400"/>
      <c r="AN92" s="400"/>
      <c r="AO92" s="400"/>
      <c r="AP92" s="400"/>
    </row>
    <row r="93" spans="1:42" x14ac:dyDescent="0.2">
      <c r="A93" s="400"/>
      <c r="B93" s="400"/>
      <c r="C93" s="400"/>
      <c r="D93" s="400"/>
      <c r="E93" s="400"/>
      <c r="F93" s="400"/>
      <c r="G93" s="400"/>
      <c r="H93" s="400"/>
      <c r="I93" s="400"/>
      <c r="J93" s="400"/>
      <c r="K93" s="400"/>
      <c r="L93" s="400"/>
      <c r="M93" s="688"/>
      <c r="N93" s="400"/>
      <c r="O93" s="400"/>
      <c r="P93" s="400"/>
      <c r="Q93" s="400"/>
      <c r="R93" s="688"/>
      <c r="S93" s="400"/>
      <c r="T93" s="400"/>
      <c r="U93" s="400"/>
      <c r="V93" s="400"/>
      <c r="W93" s="400"/>
      <c r="X93" s="400"/>
      <c r="Y93" s="400"/>
      <c r="Z93" s="400"/>
      <c r="AA93" s="400"/>
      <c r="AB93" s="400"/>
      <c r="AC93" s="400"/>
      <c r="AD93" s="400"/>
      <c r="AE93" s="400"/>
      <c r="AF93" s="400"/>
      <c r="AG93" s="400"/>
      <c r="AH93" s="400"/>
      <c r="AI93" s="400"/>
      <c r="AJ93" s="400"/>
      <c r="AK93" s="400"/>
      <c r="AL93" s="400"/>
      <c r="AM93" s="400"/>
      <c r="AN93" s="400"/>
      <c r="AO93" s="400"/>
      <c r="AP93" s="400"/>
    </row>
    <row r="94" spans="1:42" x14ac:dyDescent="0.2">
      <c r="A94" s="400"/>
      <c r="B94" s="400"/>
      <c r="C94" s="400"/>
      <c r="D94" s="400"/>
      <c r="E94" s="400"/>
      <c r="F94" s="400"/>
      <c r="G94" s="400"/>
      <c r="H94" s="400"/>
      <c r="I94" s="400"/>
      <c r="J94" s="400"/>
      <c r="K94" s="400"/>
      <c r="L94" s="400"/>
      <c r="M94" s="688"/>
      <c r="N94" s="400"/>
      <c r="O94" s="400"/>
      <c r="P94" s="400"/>
      <c r="Q94" s="400"/>
      <c r="R94" s="688"/>
      <c r="S94" s="400"/>
      <c r="T94" s="400"/>
      <c r="U94" s="400"/>
      <c r="V94" s="400"/>
      <c r="W94" s="400"/>
      <c r="X94" s="400"/>
      <c r="Y94" s="400"/>
      <c r="Z94" s="400"/>
      <c r="AA94" s="400"/>
      <c r="AB94" s="400"/>
      <c r="AC94" s="400"/>
      <c r="AD94" s="400"/>
      <c r="AE94" s="400"/>
      <c r="AF94" s="400"/>
      <c r="AG94" s="400"/>
      <c r="AH94" s="400"/>
      <c r="AI94" s="400"/>
      <c r="AJ94" s="400"/>
      <c r="AK94" s="400"/>
      <c r="AL94" s="400"/>
      <c r="AM94" s="400"/>
      <c r="AN94" s="400"/>
      <c r="AO94" s="400"/>
      <c r="AP94" s="400"/>
    </row>
    <row r="95" spans="1:42" x14ac:dyDescent="0.2">
      <c r="A95" s="400"/>
      <c r="B95" s="400"/>
      <c r="C95" s="400"/>
      <c r="D95" s="400"/>
      <c r="E95" s="400"/>
      <c r="F95" s="400"/>
      <c r="G95" s="400"/>
      <c r="H95" s="400"/>
      <c r="I95" s="400"/>
      <c r="J95" s="400"/>
      <c r="K95" s="400"/>
      <c r="L95" s="400"/>
      <c r="M95" s="688"/>
      <c r="N95" s="400"/>
      <c r="O95" s="400"/>
      <c r="P95" s="400"/>
      <c r="Q95" s="400"/>
      <c r="R95" s="688"/>
      <c r="S95" s="400"/>
      <c r="T95" s="400"/>
      <c r="U95" s="400"/>
      <c r="V95" s="400"/>
      <c r="W95" s="400"/>
      <c r="X95" s="400"/>
      <c r="Y95" s="400"/>
      <c r="Z95" s="400"/>
      <c r="AA95" s="400"/>
      <c r="AB95" s="400"/>
      <c r="AC95" s="400"/>
      <c r="AD95" s="400"/>
      <c r="AE95" s="400"/>
      <c r="AF95" s="400"/>
      <c r="AG95" s="400"/>
      <c r="AH95" s="400"/>
      <c r="AI95" s="400"/>
      <c r="AJ95" s="400"/>
      <c r="AK95" s="400"/>
      <c r="AL95" s="400"/>
      <c r="AM95" s="400"/>
      <c r="AN95" s="400"/>
      <c r="AO95" s="400"/>
      <c r="AP95" s="400"/>
    </row>
    <row r="96" spans="1:42" x14ac:dyDescent="0.2">
      <c r="A96" s="400"/>
      <c r="B96" s="400"/>
      <c r="C96" s="400"/>
      <c r="D96" s="400"/>
      <c r="E96" s="400"/>
      <c r="F96" s="400"/>
      <c r="G96" s="400"/>
      <c r="H96" s="400"/>
      <c r="I96" s="400"/>
      <c r="J96" s="400"/>
      <c r="K96" s="400"/>
      <c r="L96" s="400"/>
      <c r="M96" s="688"/>
      <c r="N96" s="400"/>
      <c r="O96" s="400"/>
      <c r="P96" s="400"/>
      <c r="Q96" s="400"/>
      <c r="R96" s="688"/>
      <c r="S96" s="400"/>
      <c r="T96" s="400"/>
      <c r="U96" s="400"/>
      <c r="V96" s="400"/>
      <c r="W96" s="400"/>
      <c r="X96" s="400"/>
      <c r="Y96" s="400"/>
      <c r="Z96" s="400"/>
      <c r="AA96" s="400"/>
      <c r="AB96" s="400"/>
      <c r="AC96" s="400"/>
      <c r="AD96" s="400"/>
      <c r="AE96" s="400"/>
      <c r="AF96" s="400"/>
      <c r="AG96" s="400"/>
      <c r="AH96" s="400"/>
      <c r="AI96" s="400"/>
      <c r="AJ96" s="400"/>
      <c r="AK96" s="400"/>
      <c r="AL96" s="400"/>
      <c r="AM96" s="400"/>
      <c r="AN96" s="400"/>
      <c r="AO96" s="400"/>
      <c r="AP96" s="400"/>
    </row>
    <row r="97" spans="1:42" x14ac:dyDescent="0.2">
      <c r="A97" s="400"/>
      <c r="B97" s="400"/>
      <c r="C97" s="400"/>
      <c r="D97" s="400"/>
      <c r="E97" s="400"/>
      <c r="F97" s="400"/>
      <c r="G97" s="400"/>
      <c r="H97" s="400"/>
      <c r="I97" s="400"/>
      <c r="J97" s="400"/>
      <c r="K97" s="400"/>
      <c r="L97" s="400"/>
      <c r="M97" s="688"/>
      <c r="N97" s="400"/>
      <c r="O97" s="400"/>
      <c r="P97" s="400"/>
      <c r="Q97" s="400"/>
      <c r="R97" s="688"/>
      <c r="S97" s="400"/>
      <c r="T97" s="400"/>
      <c r="U97" s="400"/>
      <c r="V97" s="400"/>
      <c r="W97" s="400"/>
      <c r="X97" s="400"/>
      <c r="Y97" s="400"/>
      <c r="Z97" s="400"/>
      <c r="AA97" s="400"/>
      <c r="AB97" s="400"/>
      <c r="AC97" s="400"/>
      <c r="AD97" s="400"/>
      <c r="AE97" s="400"/>
      <c r="AF97" s="400"/>
      <c r="AG97" s="400"/>
      <c r="AH97" s="400"/>
      <c r="AI97" s="400"/>
      <c r="AJ97" s="400"/>
      <c r="AK97" s="400"/>
      <c r="AL97" s="400"/>
      <c r="AM97" s="400"/>
      <c r="AN97" s="400"/>
      <c r="AO97" s="400"/>
      <c r="AP97" s="400"/>
    </row>
    <row r="98" spans="1:42" x14ac:dyDescent="0.2">
      <c r="A98" s="400"/>
      <c r="B98" s="400"/>
      <c r="C98" s="400"/>
      <c r="D98" s="400"/>
      <c r="E98" s="400"/>
      <c r="F98" s="400"/>
      <c r="G98" s="400"/>
      <c r="H98" s="400"/>
      <c r="I98" s="400"/>
      <c r="J98" s="400"/>
      <c r="K98" s="400"/>
      <c r="L98" s="400"/>
      <c r="M98" s="688"/>
      <c r="N98" s="400"/>
      <c r="O98" s="400"/>
      <c r="P98" s="400"/>
      <c r="Q98" s="400"/>
      <c r="R98" s="688"/>
      <c r="S98" s="400"/>
      <c r="T98" s="400"/>
      <c r="U98" s="400"/>
      <c r="V98" s="400"/>
      <c r="W98" s="400"/>
      <c r="X98" s="400"/>
      <c r="Y98" s="400"/>
      <c r="Z98" s="400"/>
      <c r="AA98" s="400"/>
      <c r="AB98" s="400"/>
      <c r="AC98" s="400"/>
      <c r="AD98" s="400"/>
      <c r="AE98" s="400"/>
      <c r="AF98" s="400"/>
      <c r="AG98" s="400"/>
      <c r="AH98" s="400"/>
      <c r="AI98" s="400"/>
      <c r="AJ98" s="400"/>
      <c r="AK98" s="400"/>
      <c r="AL98" s="400"/>
      <c r="AM98" s="400"/>
      <c r="AN98" s="400"/>
      <c r="AO98" s="400"/>
      <c r="AP98" s="400"/>
    </row>
    <row r="99" spans="1:42" ht="15" customHeight="1" x14ac:dyDescent="0.2">
      <c r="A99" s="400"/>
      <c r="B99" s="400"/>
      <c r="C99" s="400"/>
      <c r="D99" s="400"/>
      <c r="E99" s="400"/>
      <c r="F99" s="400"/>
      <c r="G99" s="400"/>
      <c r="H99" s="400"/>
      <c r="I99" s="400"/>
      <c r="J99" s="400"/>
      <c r="K99" s="400"/>
      <c r="L99" s="400"/>
      <c r="M99" s="688"/>
      <c r="N99" s="400"/>
      <c r="O99" s="400"/>
      <c r="P99" s="400"/>
      <c r="Q99" s="400"/>
      <c r="R99" s="688"/>
      <c r="S99" s="400"/>
      <c r="T99" s="400"/>
      <c r="U99" s="400"/>
      <c r="V99" s="400"/>
      <c r="W99" s="400"/>
      <c r="X99" s="400"/>
      <c r="Y99" s="400"/>
      <c r="Z99" s="400"/>
      <c r="AA99" s="400"/>
      <c r="AB99" s="400"/>
      <c r="AC99" s="400"/>
      <c r="AD99" s="400"/>
      <c r="AE99" s="400"/>
      <c r="AF99" s="400"/>
      <c r="AG99" s="400"/>
      <c r="AH99" s="400"/>
      <c r="AI99" s="400"/>
      <c r="AJ99" s="400"/>
      <c r="AK99" s="400"/>
      <c r="AL99" s="400"/>
      <c r="AM99" s="400"/>
      <c r="AN99" s="400"/>
      <c r="AO99" s="400"/>
      <c r="AP99" s="400"/>
    </row>
    <row r="100" spans="1:42" x14ac:dyDescent="0.2">
      <c r="A100" s="400"/>
      <c r="B100" s="400"/>
      <c r="C100" s="400"/>
      <c r="D100" s="400"/>
      <c r="E100" s="400"/>
      <c r="F100" s="400"/>
      <c r="G100" s="400"/>
      <c r="H100" s="400"/>
      <c r="I100" s="400"/>
      <c r="J100" s="400"/>
      <c r="K100" s="400"/>
      <c r="L100" s="400"/>
      <c r="M100" s="688"/>
      <c r="N100" s="400"/>
      <c r="O100" s="400"/>
      <c r="P100" s="400"/>
      <c r="Q100" s="400"/>
      <c r="R100" s="688"/>
      <c r="S100" s="400"/>
      <c r="T100" s="400"/>
      <c r="U100" s="400"/>
      <c r="V100" s="400"/>
      <c r="W100" s="400"/>
      <c r="X100" s="400"/>
      <c r="Y100" s="400"/>
      <c r="Z100" s="400"/>
      <c r="AA100" s="400"/>
      <c r="AB100" s="400"/>
      <c r="AC100" s="400"/>
      <c r="AD100" s="400"/>
      <c r="AE100" s="400"/>
      <c r="AF100" s="400"/>
      <c r="AG100" s="400"/>
      <c r="AH100" s="400"/>
      <c r="AI100" s="400"/>
      <c r="AJ100" s="400"/>
      <c r="AK100" s="400"/>
      <c r="AL100" s="400"/>
      <c r="AM100" s="400"/>
      <c r="AN100" s="400"/>
      <c r="AO100" s="400"/>
      <c r="AP100" s="400"/>
    </row>
    <row r="101" spans="1:42" x14ac:dyDescent="0.2">
      <c r="A101" s="400"/>
      <c r="B101" s="400"/>
      <c r="C101" s="400"/>
      <c r="D101" s="400"/>
      <c r="E101" s="400"/>
      <c r="F101" s="400"/>
      <c r="G101" s="400"/>
      <c r="H101" s="400"/>
      <c r="I101" s="400"/>
      <c r="J101" s="400"/>
      <c r="K101" s="400"/>
      <c r="L101" s="400"/>
      <c r="M101" s="688"/>
      <c r="N101" s="400"/>
      <c r="O101" s="400"/>
      <c r="P101" s="400"/>
      <c r="Q101" s="400"/>
      <c r="R101" s="688"/>
      <c r="S101" s="400"/>
      <c r="T101" s="400"/>
      <c r="U101" s="400"/>
      <c r="V101" s="400"/>
      <c r="W101" s="400"/>
      <c r="X101" s="400"/>
      <c r="Y101" s="400"/>
      <c r="Z101" s="400"/>
      <c r="AA101" s="400"/>
      <c r="AB101" s="400"/>
      <c r="AC101" s="400"/>
      <c r="AD101" s="400"/>
      <c r="AE101" s="400"/>
      <c r="AF101" s="400"/>
      <c r="AG101" s="400"/>
      <c r="AH101" s="400"/>
      <c r="AI101" s="400"/>
      <c r="AJ101" s="400"/>
      <c r="AK101" s="400"/>
      <c r="AL101" s="400"/>
      <c r="AM101" s="400"/>
      <c r="AN101" s="400"/>
      <c r="AO101" s="400"/>
      <c r="AP101" s="400"/>
    </row>
    <row r="102" spans="1:42" x14ac:dyDescent="0.2">
      <c r="A102" s="400"/>
      <c r="B102" s="400"/>
      <c r="C102" s="400"/>
      <c r="D102" s="400"/>
      <c r="E102" s="400"/>
      <c r="F102" s="400"/>
      <c r="G102" s="400"/>
      <c r="H102" s="400"/>
      <c r="I102" s="400"/>
      <c r="J102" s="400"/>
      <c r="K102" s="400"/>
      <c r="L102" s="400"/>
      <c r="M102" s="688"/>
      <c r="N102" s="400"/>
      <c r="O102" s="400"/>
      <c r="P102" s="400"/>
      <c r="Q102" s="400"/>
      <c r="R102" s="688"/>
      <c r="S102" s="400"/>
      <c r="T102" s="400"/>
      <c r="U102" s="400"/>
      <c r="V102" s="400"/>
      <c r="W102" s="400"/>
      <c r="X102" s="400"/>
      <c r="Y102" s="400"/>
      <c r="Z102" s="400"/>
      <c r="AA102" s="400"/>
      <c r="AB102" s="400"/>
      <c r="AC102" s="400"/>
      <c r="AD102" s="400"/>
      <c r="AE102" s="400"/>
      <c r="AF102" s="400"/>
      <c r="AG102" s="400"/>
      <c r="AH102" s="400"/>
      <c r="AI102" s="400"/>
      <c r="AJ102" s="400"/>
      <c r="AK102" s="400"/>
      <c r="AL102" s="400"/>
      <c r="AM102" s="400"/>
      <c r="AN102" s="400"/>
      <c r="AO102" s="400"/>
      <c r="AP102" s="400"/>
    </row>
    <row r="103" spans="1:42" x14ac:dyDescent="0.2">
      <c r="A103" s="400"/>
      <c r="B103" s="400"/>
      <c r="C103" s="400"/>
      <c r="D103" s="400"/>
      <c r="E103" s="400"/>
      <c r="F103" s="400"/>
      <c r="G103" s="400"/>
      <c r="H103" s="400"/>
      <c r="I103" s="400"/>
      <c r="J103" s="400"/>
      <c r="K103" s="400"/>
      <c r="L103" s="400"/>
      <c r="M103" s="688"/>
      <c r="N103" s="400"/>
      <c r="O103" s="400"/>
      <c r="P103" s="400"/>
      <c r="Q103" s="400"/>
      <c r="R103" s="688"/>
      <c r="S103" s="400"/>
      <c r="T103" s="400"/>
      <c r="U103" s="400"/>
      <c r="V103" s="400"/>
      <c r="W103" s="400"/>
      <c r="X103" s="400"/>
      <c r="Y103" s="400"/>
      <c r="Z103" s="400"/>
      <c r="AA103" s="400"/>
      <c r="AB103" s="400"/>
      <c r="AC103" s="400"/>
      <c r="AD103" s="400"/>
      <c r="AE103" s="400"/>
      <c r="AF103" s="400"/>
      <c r="AG103" s="400"/>
      <c r="AH103" s="400"/>
      <c r="AI103" s="400"/>
      <c r="AJ103" s="400"/>
      <c r="AK103" s="400"/>
      <c r="AL103" s="400"/>
      <c r="AM103" s="400"/>
      <c r="AN103" s="400"/>
      <c r="AO103" s="400"/>
      <c r="AP103" s="400"/>
    </row>
    <row r="104" spans="1:42" x14ac:dyDescent="0.2">
      <c r="A104" s="400"/>
      <c r="B104" s="400"/>
      <c r="C104" s="400"/>
      <c r="D104" s="400"/>
      <c r="E104" s="400"/>
      <c r="F104" s="400"/>
      <c r="G104" s="400"/>
      <c r="H104" s="400"/>
      <c r="I104" s="400"/>
      <c r="J104" s="400"/>
      <c r="K104" s="400"/>
      <c r="L104" s="400"/>
      <c r="M104" s="688"/>
      <c r="N104" s="400"/>
      <c r="O104" s="400"/>
      <c r="P104" s="400"/>
      <c r="Q104" s="400"/>
      <c r="R104" s="688"/>
      <c r="S104" s="400"/>
      <c r="T104" s="400"/>
      <c r="U104" s="400"/>
      <c r="V104" s="400"/>
      <c r="W104" s="400"/>
      <c r="X104" s="400"/>
      <c r="Y104" s="400"/>
      <c r="Z104" s="400"/>
      <c r="AA104" s="400"/>
      <c r="AB104" s="400"/>
      <c r="AC104" s="400"/>
      <c r="AD104" s="400"/>
      <c r="AE104" s="400"/>
      <c r="AF104" s="400"/>
      <c r="AG104" s="400"/>
      <c r="AH104" s="400"/>
      <c r="AI104" s="400"/>
      <c r="AJ104" s="400"/>
      <c r="AK104" s="400"/>
      <c r="AL104" s="400"/>
      <c r="AM104" s="400"/>
      <c r="AN104" s="400"/>
      <c r="AO104" s="400"/>
      <c r="AP104" s="400"/>
    </row>
    <row r="105" spans="1:42" x14ac:dyDescent="0.2">
      <c r="A105" s="400"/>
      <c r="B105" s="400"/>
      <c r="C105" s="400"/>
      <c r="D105" s="400"/>
      <c r="E105" s="400"/>
      <c r="F105" s="400"/>
      <c r="G105" s="400"/>
      <c r="H105" s="400"/>
      <c r="I105" s="400"/>
      <c r="J105" s="400"/>
      <c r="K105" s="400"/>
      <c r="L105" s="400"/>
      <c r="M105" s="688"/>
      <c r="N105" s="400"/>
      <c r="O105" s="400"/>
      <c r="P105" s="400"/>
      <c r="Q105" s="400"/>
      <c r="R105" s="688"/>
      <c r="S105" s="400"/>
      <c r="T105" s="400"/>
      <c r="U105" s="400"/>
      <c r="V105" s="400"/>
      <c r="W105" s="400"/>
      <c r="X105" s="400"/>
      <c r="Y105" s="400"/>
      <c r="Z105" s="400"/>
      <c r="AA105" s="400"/>
      <c r="AB105" s="400"/>
      <c r="AC105" s="400"/>
      <c r="AD105" s="400"/>
      <c r="AE105" s="400"/>
      <c r="AF105" s="400"/>
      <c r="AG105" s="400"/>
      <c r="AH105" s="400"/>
      <c r="AI105" s="400"/>
      <c r="AJ105" s="400"/>
      <c r="AK105" s="400"/>
      <c r="AL105" s="400"/>
      <c r="AM105" s="400"/>
      <c r="AN105" s="400"/>
      <c r="AO105" s="400"/>
      <c r="AP105" s="400"/>
    </row>
    <row r="106" spans="1:42" x14ac:dyDescent="0.2">
      <c r="A106" s="400"/>
      <c r="B106" s="400"/>
      <c r="C106" s="400"/>
      <c r="D106" s="400"/>
      <c r="E106" s="400"/>
      <c r="F106" s="400"/>
      <c r="G106" s="400"/>
      <c r="H106" s="400"/>
      <c r="I106" s="400"/>
      <c r="J106" s="400"/>
      <c r="K106" s="400"/>
      <c r="L106" s="400"/>
      <c r="M106" s="688"/>
      <c r="N106" s="400"/>
      <c r="O106" s="400"/>
      <c r="P106" s="400"/>
      <c r="Q106" s="400"/>
      <c r="R106" s="688"/>
      <c r="S106" s="400"/>
      <c r="T106" s="400"/>
      <c r="U106" s="400"/>
      <c r="V106" s="400"/>
      <c r="W106" s="400"/>
      <c r="X106" s="400"/>
      <c r="Y106" s="400"/>
      <c r="Z106" s="400"/>
      <c r="AA106" s="400"/>
      <c r="AB106" s="400"/>
      <c r="AC106" s="400"/>
      <c r="AD106" s="400"/>
      <c r="AE106" s="400"/>
      <c r="AF106" s="400"/>
      <c r="AG106" s="400"/>
      <c r="AH106" s="400"/>
      <c r="AI106" s="400"/>
      <c r="AJ106" s="400"/>
      <c r="AK106" s="400"/>
      <c r="AL106" s="400"/>
      <c r="AM106" s="400"/>
      <c r="AN106" s="400"/>
      <c r="AO106" s="400"/>
      <c r="AP106" s="400"/>
    </row>
    <row r="107" spans="1:42" x14ac:dyDescent="0.2">
      <c r="A107" s="400"/>
      <c r="B107" s="400"/>
      <c r="C107" s="400"/>
      <c r="D107" s="400"/>
      <c r="E107" s="400"/>
      <c r="F107" s="400"/>
      <c r="G107" s="400"/>
      <c r="H107" s="400"/>
      <c r="I107" s="400"/>
      <c r="J107" s="400"/>
      <c r="K107" s="400"/>
      <c r="L107" s="400"/>
      <c r="M107" s="688"/>
      <c r="N107" s="400"/>
      <c r="O107" s="400"/>
      <c r="P107" s="400"/>
      <c r="Q107" s="400"/>
      <c r="R107" s="688"/>
      <c r="S107" s="400"/>
      <c r="T107" s="400"/>
      <c r="U107" s="400"/>
      <c r="V107" s="400"/>
      <c r="W107" s="400"/>
      <c r="X107" s="400"/>
      <c r="Y107" s="400"/>
      <c r="Z107" s="400"/>
      <c r="AA107" s="400"/>
      <c r="AB107" s="400"/>
      <c r="AC107" s="400"/>
      <c r="AD107" s="400"/>
      <c r="AE107" s="400"/>
      <c r="AF107" s="400"/>
      <c r="AG107" s="400"/>
      <c r="AH107" s="400"/>
      <c r="AI107" s="400"/>
      <c r="AJ107" s="400"/>
      <c r="AK107" s="400"/>
      <c r="AL107" s="400"/>
      <c r="AM107" s="400"/>
      <c r="AN107" s="400"/>
      <c r="AO107" s="400"/>
      <c r="AP107" s="400"/>
    </row>
    <row r="108" spans="1:42" x14ac:dyDescent="0.2">
      <c r="A108" s="400"/>
      <c r="B108" s="400"/>
      <c r="C108" s="400"/>
      <c r="D108" s="400"/>
      <c r="E108" s="400"/>
      <c r="F108" s="400"/>
      <c r="G108" s="400"/>
      <c r="H108" s="400"/>
      <c r="I108" s="400"/>
      <c r="J108" s="400"/>
      <c r="K108" s="400"/>
      <c r="L108" s="400"/>
      <c r="M108" s="688"/>
      <c r="N108" s="400"/>
      <c r="O108" s="400"/>
      <c r="P108" s="400"/>
      <c r="Q108" s="400"/>
      <c r="R108" s="688"/>
      <c r="S108" s="400"/>
      <c r="T108" s="400"/>
      <c r="U108" s="400"/>
      <c r="V108" s="400"/>
      <c r="W108" s="400"/>
      <c r="X108" s="400"/>
      <c r="Y108" s="400"/>
      <c r="Z108" s="400"/>
      <c r="AA108" s="400"/>
      <c r="AB108" s="400"/>
      <c r="AC108" s="400"/>
      <c r="AD108" s="400"/>
      <c r="AE108" s="400"/>
      <c r="AF108" s="400"/>
      <c r="AG108" s="400"/>
      <c r="AH108" s="400"/>
      <c r="AI108" s="400"/>
      <c r="AJ108" s="400"/>
      <c r="AK108" s="400"/>
      <c r="AL108" s="400"/>
      <c r="AM108" s="400"/>
      <c r="AN108" s="400"/>
      <c r="AO108" s="400"/>
      <c r="AP108" s="400"/>
    </row>
    <row r="109" spans="1:42" x14ac:dyDescent="0.2">
      <c r="A109" s="400"/>
      <c r="B109" s="400"/>
      <c r="C109" s="400"/>
      <c r="D109" s="400"/>
      <c r="E109" s="400"/>
      <c r="F109" s="400"/>
      <c r="G109" s="400"/>
      <c r="H109" s="400"/>
      <c r="I109" s="400"/>
      <c r="J109" s="400"/>
      <c r="K109" s="400"/>
      <c r="L109" s="400"/>
      <c r="M109" s="688"/>
      <c r="N109" s="400"/>
      <c r="O109" s="400"/>
      <c r="P109" s="400"/>
      <c r="Q109" s="400"/>
      <c r="R109" s="688"/>
      <c r="S109" s="400"/>
      <c r="T109" s="400"/>
      <c r="U109" s="400"/>
      <c r="V109" s="400"/>
      <c r="W109" s="400"/>
      <c r="X109" s="400"/>
      <c r="Y109" s="400"/>
      <c r="Z109" s="400"/>
      <c r="AA109" s="400"/>
      <c r="AB109" s="400"/>
      <c r="AC109" s="400"/>
      <c r="AD109" s="400"/>
      <c r="AE109" s="400"/>
      <c r="AF109" s="400"/>
      <c r="AG109" s="400"/>
      <c r="AH109" s="400"/>
      <c r="AI109" s="400"/>
      <c r="AJ109" s="400"/>
      <c r="AK109" s="400"/>
      <c r="AL109" s="400"/>
      <c r="AM109" s="400"/>
      <c r="AN109" s="400"/>
      <c r="AO109" s="400"/>
      <c r="AP109" s="400"/>
    </row>
    <row r="110" spans="1:42" x14ac:dyDescent="0.2">
      <c r="A110" s="400"/>
      <c r="B110" s="400"/>
      <c r="C110" s="400"/>
      <c r="D110" s="400"/>
      <c r="E110" s="400"/>
      <c r="F110" s="400"/>
      <c r="G110" s="400"/>
      <c r="H110" s="400"/>
      <c r="I110" s="400"/>
      <c r="J110" s="400"/>
      <c r="K110" s="400"/>
      <c r="L110" s="400"/>
      <c r="M110" s="688"/>
      <c r="N110" s="400"/>
      <c r="O110" s="400"/>
      <c r="P110" s="400"/>
      <c r="Q110" s="400"/>
      <c r="R110" s="688"/>
      <c r="S110" s="400"/>
      <c r="T110" s="400"/>
      <c r="U110" s="400"/>
      <c r="V110" s="400"/>
      <c r="W110" s="400"/>
      <c r="X110" s="400"/>
      <c r="Y110" s="400"/>
      <c r="Z110" s="400"/>
      <c r="AA110" s="400"/>
      <c r="AB110" s="400"/>
      <c r="AC110" s="400"/>
      <c r="AD110" s="400"/>
      <c r="AE110" s="400"/>
      <c r="AF110" s="400"/>
      <c r="AG110" s="400"/>
      <c r="AH110" s="400"/>
      <c r="AI110" s="400"/>
      <c r="AJ110" s="400"/>
      <c r="AK110" s="400"/>
      <c r="AL110" s="400"/>
      <c r="AM110" s="400"/>
      <c r="AN110" s="400"/>
      <c r="AO110" s="400"/>
      <c r="AP110" s="400"/>
    </row>
    <row r="111" spans="1:42" x14ac:dyDescent="0.2">
      <c r="A111" s="400"/>
      <c r="B111" s="400"/>
      <c r="C111" s="400"/>
      <c r="D111" s="400"/>
      <c r="E111" s="400"/>
      <c r="F111" s="400"/>
      <c r="G111" s="400"/>
      <c r="H111" s="400"/>
      <c r="I111" s="400"/>
      <c r="J111" s="400"/>
      <c r="K111" s="400"/>
      <c r="L111" s="400"/>
      <c r="M111" s="688"/>
      <c r="N111" s="400"/>
      <c r="O111" s="400"/>
      <c r="P111" s="400"/>
      <c r="Q111" s="400"/>
      <c r="R111" s="688"/>
      <c r="S111" s="400"/>
      <c r="T111" s="400"/>
      <c r="U111" s="400"/>
      <c r="V111" s="400"/>
      <c r="W111" s="400"/>
      <c r="X111" s="400"/>
      <c r="Y111" s="400"/>
      <c r="Z111" s="400"/>
      <c r="AA111" s="400"/>
      <c r="AB111" s="400"/>
      <c r="AC111" s="400"/>
      <c r="AD111" s="400"/>
      <c r="AE111" s="400"/>
      <c r="AF111" s="400"/>
      <c r="AG111" s="400"/>
      <c r="AH111" s="400"/>
      <c r="AI111" s="400"/>
      <c r="AJ111" s="400"/>
      <c r="AK111" s="400"/>
      <c r="AL111" s="400"/>
      <c r="AM111" s="400"/>
      <c r="AN111" s="400"/>
      <c r="AO111" s="400"/>
      <c r="AP111" s="400"/>
    </row>
    <row r="112" spans="1:42" x14ac:dyDescent="0.2">
      <c r="A112" s="400"/>
      <c r="B112" s="400"/>
      <c r="C112" s="400"/>
      <c r="D112" s="400"/>
      <c r="E112" s="400"/>
      <c r="F112" s="400"/>
      <c r="G112" s="400"/>
      <c r="H112" s="400"/>
      <c r="I112" s="400"/>
      <c r="J112" s="400"/>
      <c r="K112" s="400"/>
      <c r="L112" s="400"/>
      <c r="M112" s="688"/>
      <c r="N112" s="400"/>
      <c r="O112" s="400"/>
      <c r="P112" s="400"/>
      <c r="Q112" s="400"/>
      <c r="R112" s="688"/>
      <c r="S112" s="400"/>
      <c r="T112" s="400"/>
      <c r="U112" s="400"/>
      <c r="V112" s="400"/>
      <c r="W112" s="400"/>
      <c r="X112" s="400"/>
      <c r="Y112" s="400"/>
      <c r="Z112" s="400"/>
      <c r="AA112" s="400"/>
      <c r="AB112" s="400"/>
      <c r="AC112" s="400"/>
      <c r="AD112" s="400"/>
      <c r="AE112" s="400"/>
      <c r="AF112" s="400"/>
      <c r="AG112" s="400"/>
      <c r="AH112" s="400"/>
      <c r="AI112" s="400"/>
      <c r="AJ112" s="400"/>
      <c r="AK112" s="400"/>
      <c r="AL112" s="400"/>
      <c r="AM112" s="400"/>
      <c r="AN112" s="400"/>
      <c r="AO112" s="400"/>
      <c r="AP112" s="400"/>
    </row>
    <row r="113" spans="1:42" x14ac:dyDescent="0.2">
      <c r="A113" s="400"/>
      <c r="B113" s="400"/>
      <c r="C113" s="400"/>
      <c r="D113" s="400"/>
      <c r="E113" s="400"/>
      <c r="F113" s="400"/>
      <c r="G113" s="400"/>
      <c r="H113" s="400"/>
      <c r="I113" s="400"/>
      <c r="J113" s="400"/>
      <c r="K113" s="400"/>
      <c r="L113" s="400"/>
      <c r="M113" s="688"/>
      <c r="N113" s="400"/>
      <c r="O113" s="400"/>
      <c r="P113" s="400"/>
      <c r="Q113" s="400"/>
      <c r="R113" s="688"/>
      <c r="S113" s="400"/>
      <c r="T113" s="400"/>
      <c r="U113" s="400"/>
      <c r="V113" s="400"/>
      <c r="W113" s="400"/>
      <c r="X113" s="400"/>
      <c r="Y113" s="400"/>
      <c r="Z113" s="400"/>
      <c r="AA113" s="400"/>
      <c r="AB113" s="400"/>
      <c r="AC113" s="400"/>
      <c r="AD113" s="400"/>
      <c r="AE113" s="400"/>
      <c r="AF113" s="400"/>
      <c r="AG113" s="400"/>
      <c r="AH113" s="400"/>
      <c r="AI113" s="400"/>
      <c r="AJ113" s="400"/>
      <c r="AK113" s="400"/>
      <c r="AL113" s="400"/>
      <c r="AM113" s="400"/>
      <c r="AN113" s="400"/>
      <c r="AO113" s="400"/>
      <c r="AP113" s="400"/>
    </row>
    <row r="114" spans="1:42" x14ac:dyDescent="0.2">
      <c r="A114" s="400"/>
      <c r="B114" s="400"/>
      <c r="C114" s="400"/>
      <c r="D114" s="400"/>
      <c r="E114" s="400"/>
      <c r="F114" s="400"/>
      <c r="G114" s="400"/>
      <c r="H114" s="400"/>
      <c r="I114" s="400"/>
      <c r="J114" s="400"/>
      <c r="K114" s="400"/>
      <c r="L114" s="400"/>
      <c r="M114" s="688"/>
      <c r="N114" s="400"/>
      <c r="O114" s="400"/>
      <c r="P114" s="400"/>
      <c r="Q114" s="400"/>
      <c r="R114" s="688"/>
      <c r="S114" s="400"/>
      <c r="T114" s="400"/>
      <c r="U114" s="400"/>
      <c r="V114" s="400"/>
      <c r="W114" s="400"/>
      <c r="X114" s="400"/>
      <c r="Y114" s="400"/>
      <c r="Z114" s="400"/>
      <c r="AA114" s="400"/>
      <c r="AB114" s="400"/>
      <c r="AC114" s="400"/>
      <c r="AD114" s="400"/>
      <c r="AE114" s="400"/>
      <c r="AF114" s="400"/>
      <c r="AG114" s="400"/>
      <c r="AH114" s="400"/>
      <c r="AI114" s="400"/>
      <c r="AJ114" s="400"/>
      <c r="AK114" s="400"/>
      <c r="AL114" s="400"/>
      <c r="AM114" s="400"/>
      <c r="AN114" s="400"/>
      <c r="AO114" s="400"/>
      <c r="AP114" s="400"/>
    </row>
    <row r="115" spans="1:42" x14ac:dyDescent="0.2">
      <c r="A115" s="400"/>
      <c r="B115" s="400"/>
      <c r="C115" s="400"/>
      <c r="D115" s="400"/>
      <c r="E115" s="400"/>
      <c r="F115" s="400"/>
      <c r="G115" s="400"/>
      <c r="H115" s="400"/>
      <c r="I115" s="400"/>
      <c r="J115" s="400"/>
      <c r="K115" s="400"/>
      <c r="L115" s="400"/>
      <c r="M115" s="688"/>
      <c r="N115" s="400"/>
      <c r="O115" s="400"/>
      <c r="P115" s="400"/>
      <c r="Q115" s="400"/>
      <c r="R115" s="688"/>
      <c r="S115" s="400"/>
      <c r="T115" s="400"/>
      <c r="U115" s="400"/>
      <c r="V115" s="400"/>
      <c r="W115" s="400"/>
      <c r="X115" s="400"/>
      <c r="Y115" s="400"/>
      <c r="Z115" s="400"/>
      <c r="AA115" s="400"/>
      <c r="AB115" s="400"/>
      <c r="AC115" s="400"/>
      <c r="AD115" s="400"/>
      <c r="AE115" s="400"/>
      <c r="AF115" s="400"/>
      <c r="AG115" s="400"/>
      <c r="AH115" s="400"/>
      <c r="AI115" s="400"/>
      <c r="AJ115" s="400"/>
      <c r="AK115" s="400"/>
      <c r="AL115" s="400"/>
      <c r="AM115" s="400"/>
      <c r="AN115" s="400"/>
      <c r="AO115" s="400"/>
      <c r="AP115" s="400"/>
    </row>
    <row r="116" spans="1:42" x14ac:dyDescent="0.2">
      <c r="A116" s="400"/>
      <c r="B116" s="400"/>
      <c r="C116" s="400"/>
      <c r="D116" s="400"/>
      <c r="E116" s="400"/>
      <c r="F116" s="400"/>
      <c r="G116" s="400"/>
      <c r="H116" s="400"/>
      <c r="I116" s="400"/>
      <c r="J116" s="400"/>
      <c r="K116" s="400"/>
      <c r="L116" s="400"/>
      <c r="M116" s="688"/>
      <c r="N116" s="400"/>
      <c r="O116" s="400"/>
      <c r="P116" s="400"/>
      <c r="Q116" s="400"/>
      <c r="R116" s="688"/>
      <c r="S116" s="400"/>
      <c r="T116" s="400"/>
      <c r="U116" s="400"/>
      <c r="V116" s="400"/>
      <c r="W116" s="400"/>
      <c r="X116" s="400"/>
      <c r="Y116" s="400"/>
      <c r="Z116" s="400"/>
      <c r="AA116" s="400"/>
      <c r="AB116" s="400"/>
      <c r="AC116" s="400"/>
      <c r="AD116" s="400"/>
      <c r="AE116" s="400"/>
      <c r="AF116" s="400"/>
      <c r="AG116" s="400"/>
      <c r="AH116" s="400"/>
      <c r="AI116" s="400"/>
      <c r="AJ116" s="400"/>
      <c r="AK116" s="400"/>
      <c r="AL116" s="400"/>
      <c r="AM116" s="400"/>
      <c r="AN116" s="400"/>
      <c r="AO116" s="400"/>
      <c r="AP116" s="400"/>
    </row>
    <row r="117" spans="1:42" x14ac:dyDescent="0.2">
      <c r="A117" s="400"/>
      <c r="B117" s="400"/>
      <c r="C117" s="400"/>
      <c r="D117" s="400"/>
      <c r="E117" s="400"/>
      <c r="F117" s="400"/>
      <c r="G117" s="400"/>
      <c r="H117" s="400"/>
      <c r="I117" s="400"/>
      <c r="J117" s="400"/>
      <c r="K117" s="400"/>
      <c r="L117" s="400"/>
      <c r="M117" s="688"/>
      <c r="N117" s="400"/>
      <c r="O117" s="400"/>
      <c r="P117" s="400"/>
      <c r="Q117" s="400"/>
      <c r="R117" s="688"/>
      <c r="S117" s="400"/>
      <c r="T117" s="400"/>
      <c r="U117" s="400"/>
      <c r="V117" s="400"/>
      <c r="W117" s="400"/>
      <c r="X117" s="400"/>
      <c r="Y117" s="400"/>
      <c r="Z117" s="400"/>
      <c r="AA117" s="400"/>
      <c r="AB117" s="400"/>
      <c r="AC117" s="400"/>
      <c r="AD117" s="400"/>
      <c r="AE117" s="400"/>
      <c r="AF117" s="400"/>
      <c r="AG117" s="400"/>
      <c r="AH117" s="400"/>
      <c r="AI117" s="400"/>
      <c r="AJ117" s="400"/>
      <c r="AK117" s="400"/>
      <c r="AL117" s="400"/>
      <c r="AM117" s="400"/>
      <c r="AN117" s="400"/>
      <c r="AO117" s="400"/>
      <c r="AP117" s="400"/>
    </row>
    <row r="118" spans="1:42" x14ac:dyDescent="0.2">
      <c r="A118" s="400"/>
      <c r="B118" s="400"/>
      <c r="C118" s="400"/>
      <c r="D118" s="400"/>
      <c r="E118" s="400"/>
      <c r="F118" s="400"/>
      <c r="G118" s="400"/>
      <c r="H118" s="400"/>
      <c r="I118" s="400"/>
      <c r="J118" s="400"/>
      <c r="K118" s="400"/>
      <c r="L118" s="400"/>
      <c r="M118" s="688"/>
      <c r="N118" s="400"/>
      <c r="O118" s="400"/>
      <c r="P118" s="400"/>
      <c r="Q118" s="400"/>
      <c r="R118" s="688"/>
      <c r="S118" s="400"/>
      <c r="T118" s="400"/>
      <c r="U118" s="400"/>
      <c r="V118" s="400"/>
      <c r="W118" s="400"/>
      <c r="X118" s="400"/>
      <c r="Y118" s="400"/>
      <c r="Z118" s="400"/>
      <c r="AA118" s="400"/>
      <c r="AB118" s="400"/>
      <c r="AC118" s="400"/>
      <c r="AD118" s="400"/>
      <c r="AE118" s="400"/>
      <c r="AF118" s="400"/>
      <c r="AG118" s="400"/>
      <c r="AH118" s="400"/>
      <c r="AI118" s="400"/>
      <c r="AJ118" s="400"/>
      <c r="AK118" s="400"/>
      <c r="AL118" s="400"/>
      <c r="AM118" s="400"/>
      <c r="AN118" s="400"/>
      <c r="AO118" s="400"/>
      <c r="AP118" s="400"/>
    </row>
    <row r="119" spans="1:42" x14ac:dyDescent="0.2">
      <c r="A119" s="400"/>
      <c r="B119" s="400"/>
      <c r="C119" s="400"/>
      <c r="D119" s="400"/>
      <c r="E119" s="400"/>
      <c r="F119" s="400"/>
      <c r="G119" s="400"/>
      <c r="H119" s="400"/>
      <c r="I119" s="400"/>
      <c r="J119" s="400"/>
      <c r="K119" s="400"/>
      <c r="L119" s="400"/>
      <c r="M119" s="688"/>
      <c r="N119" s="400"/>
      <c r="O119" s="400"/>
      <c r="P119" s="400"/>
      <c r="Q119" s="400"/>
      <c r="R119" s="688"/>
      <c r="S119" s="400"/>
      <c r="T119" s="400"/>
      <c r="U119" s="400"/>
      <c r="V119" s="400"/>
      <c r="W119" s="400"/>
      <c r="X119" s="400"/>
      <c r="Y119" s="400"/>
      <c r="Z119" s="400"/>
      <c r="AA119" s="400"/>
      <c r="AB119" s="400"/>
      <c r="AC119" s="400"/>
      <c r="AD119" s="400"/>
      <c r="AE119" s="400"/>
      <c r="AF119" s="400"/>
      <c r="AG119" s="400"/>
      <c r="AH119" s="400"/>
      <c r="AI119" s="400"/>
      <c r="AJ119" s="400"/>
      <c r="AK119" s="400"/>
      <c r="AL119" s="400"/>
      <c r="AM119" s="400"/>
      <c r="AN119" s="400"/>
      <c r="AO119" s="400"/>
      <c r="AP119" s="400"/>
    </row>
    <row r="120" spans="1:42" x14ac:dyDescent="0.2">
      <c r="A120" s="400"/>
      <c r="B120" s="400"/>
      <c r="C120" s="400"/>
      <c r="D120" s="400"/>
      <c r="E120" s="400"/>
      <c r="F120" s="400"/>
      <c r="G120" s="400"/>
      <c r="H120" s="400"/>
      <c r="I120" s="400"/>
      <c r="J120" s="400"/>
      <c r="K120" s="400"/>
      <c r="L120" s="400"/>
      <c r="M120" s="688"/>
      <c r="N120" s="400"/>
      <c r="O120" s="400"/>
      <c r="P120" s="400"/>
      <c r="Q120" s="400"/>
      <c r="R120" s="688"/>
      <c r="S120" s="400"/>
      <c r="T120" s="400"/>
      <c r="U120" s="400"/>
      <c r="V120" s="400"/>
      <c r="W120" s="400"/>
      <c r="X120" s="400"/>
      <c r="Y120" s="400"/>
      <c r="Z120" s="400"/>
      <c r="AA120" s="400"/>
      <c r="AB120" s="400"/>
      <c r="AC120" s="400"/>
      <c r="AD120" s="400"/>
      <c r="AE120" s="400"/>
      <c r="AF120" s="400"/>
      <c r="AG120" s="400"/>
      <c r="AH120" s="400"/>
      <c r="AI120" s="400"/>
      <c r="AJ120" s="400"/>
      <c r="AK120" s="400"/>
      <c r="AL120" s="400"/>
      <c r="AM120" s="400"/>
      <c r="AN120" s="400"/>
      <c r="AO120" s="400"/>
      <c r="AP120" s="400"/>
    </row>
    <row r="121" spans="1:42" x14ac:dyDescent="0.2">
      <c r="A121" s="400"/>
      <c r="B121" s="400"/>
      <c r="C121" s="400"/>
      <c r="D121" s="400"/>
      <c r="E121" s="400"/>
      <c r="F121" s="400"/>
      <c r="G121" s="400"/>
      <c r="H121" s="400"/>
      <c r="I121" s="400"/>
      <c r="J121" s="400"/>
      <c r="K121" s="400"/>
      <c r="L121" s="400"/>
      <c r="M121" s="688"/>
      <c r="N121" s="400"/>
      <c r="O121" s="400"/>
      <c r="P121" s="400"/>
      <c r="Q121" s="400"/>
      <c r="R121" s="688"/>
      <c r="S121" s="400"/>
      <c r="T121" s="400"/>
      <c r="U121" s="400"/>
      <c r="V121" s="400"/>
      <c r="W121" s="400"/>
      <c r="X121" s="400"/>
      <c r="Y121" s="400"/>
      <c r="Z121" s="400"/>
      <c r="AA121" s="400"/>
      <c r="AB121" s="400"/>
      <c r="AC121" s="400"/>
      <c r="AD121" s="400"/>
      <c r="AE121" s="400"/>
      <c r="AF121" s="400"/>
      <c r="AG121" s="400"/>
      <c r="AH121" s="400"/>
      <c r="AI121" s="400"/>
      <c r="AJ121" s="400"/>
      <c r="AK121" s="400"/>
      <c r="AL121" s="400"/>
      <c r="AM121" s="400"/>
      <c r="AN121" s="400"/>
      <c r="AO121" s="400"/>
      <c r="AP121" s="400"/>
    </row>
    <row r="122" spans="1:42" x14ac:dyDescent="0.2">
      <c r="A122" s="400"/>
      <c r="B122" s="400"/>
      <c r="C122" s="400"/>
      <c r="D122" s="400"/>
      <c r="E122" s="400"/>
      <c r="F122" s="400"/>
      <c r="G122" s="400"/>
      <c r="H122" s="400"/>
      <c r="I122" s="400"/>
      <c r="J122" s="400"/>
      <c r="K122" s="400"/>
      <c r="L122" s="400"/>
      <c r="M122" s="688"/>
      <c r="N122" s="400"/>
      <c r="O122" s="400"/>
      <c r="P122" s="400"/>
      <c r="Q122" s="400"/>
      <c r="R122" s="688"/>
      <c r="S122" s="400"/>
      <c r="T122" s="400"/>
      <c r="U122" s="400"/>
      <c r="V122" s="400"/>
      <c r="W122" s="400"/>
      <c r="X122" s="400"/>
      <c r="Y122" s="400"/>
      <c r="Z122" s="400"/>
      <c r="AA122" s="400"/>
      <c r="AB122" s="400"/>
      <c r="AC122" s="400"/>
      <c r="AD122" s="400"/>
      <c r="AE122" s="400"/>
      <c r="AF122" s="400"/>
      <c r="AG122" s="400"/>
      <c r="AH122" s="400"/>
      <c r="AI122" s="400"/>
      <c r="AJ122" s="400"/>
      <c r="AK122" s="400"/>
      <c r="AL122" s="400"/>
      <c r="AM122" s="400"/>
      <c r="AN122" s="400"/>
      <c r="AO122" s="400"/>
      <c r="AP122" s="400"/>
    </row>
    <row r="123" spans="1:42" x14ac:dyDescent="0.2">
      <c r="A123" s="400"/>
      <c r="B123" s="400"/>
      <c r="C123" s="400"/>
      <c r="D123" s="400"/>
      <c r="E123" s="400"/>
      <c r="F123" s="400"/>
      <c r="G123" s="400"/>
      <c r="H123" s="400"/>
      <c r="I123" s="400"/>
      <c r="J123" s="400"/>
      <c r="K123" s="400"/>
      <c r="L123" s="400"/>
      <c r="M123" s="688"/>
      <c r="N123" s="400"/>
      <c r="O123" s="400"/>
      <c r="P123" s="400"/>
      <c r="Q123" s="400"/>
      <c r="R123" s="688"/>
      <c r="S123" s="400"/>
      <c r="T123" s="400"/>
      <c r="U123" s="400"/>
      <c r="V123" s="400"/>
      <c r="W123" s="400"/>
      <c r="X123" s="400"/>
      <c r="Y123" s="400"/>
      <c r="Z123" s="400"/>
      <c r="AA123" s="400"/>
      <c r="AB123" s="400"/>
      <c r="AC123" s="400"/>
      <c r="AD123" s="400"/>
      <c r="AE123" s="400"/>
      <c r="AF123" s="400"/>
      <c r="AG123" s="400"/>
      <c r="AH123" s="400"/>
      <c r="AI123" s="400"/>
      <c r="AJ123" s="400"/>
      <c r="AK123" s="400"/>
      <c r="AL123" s="400"/>
      <c r="AM123" s="400"/>
      <c r="AN123" s="400"/>
      <c r="AO123" s="400"/>
      <c r="AP123" s="400"/>
    </row>
    <row r="124" spans="1:42" x14ac:dyDescent="0.2">
      <c r="A124" s="400"/>
      <c r="B124" s="400"/>
      <c r="C124" s="400"/>
      <c r="D124" s="400"/>
      <c r="E124" s="400"/>
      <c r="F124" s="400"/>
      <c r="G124" s="400"/>
      <c r="H124" s="400"/>
      <c r="I124" s="400"/>
      <c r="J124" s="400"/>
      <c r="K124" s="400"/>
      <c r="L124" s="400"/>
      <c r="M124" s="688"/>
      <c r="N124" s="400"/>
      <c r="O124" s="400"/>
      <c r="P124" s="400"/>
      <c r="Q124" s="400"/>
      <c r="R124" s="688"/>
      <c r="S124" s="400"/>
      <c r="T124" s="400"/>
      <c r="U124" s="400"/>
      <c r="V124" s="400"/>
      <c r="W124" s="400"/>
      <c r="X124" s="400"/>
      <c r="Y124" s="400"/>
      <c r="Z124" s="400"/>
      <c r="AA124" s="400"/>
      <c r="AB124" s="400"/>
      <c r="AC124" s="400"/>
      <c r="AD124" s="400"/>
      <c r="AE124" s="400"/>
      <c r="AF124" s="400"/>
      <c r="AG124" s="400"/>
      <c r="AH124" s="400"/>
      <c r="AI124" s="400"/>
      <c r="AJ124" s="400"/>
      <c r="AK124" s="400"/>
      <c r="AL124" s="400"/>
      <c r="AM124" s="400"/>
      <c r="AN124" s="400"/>
      <c r="AO124" s="400"/>
      <c r="AP124" s="400"/>
    </row>
    <row r="125" spans="1:42" x14ac:dyDescent="0.2">
      <c r="A125" s="400"/>
      <c r="B125" s="400"/>
      <c r="C125" s="400"/>
      <c r="D125" s="400"/>
      <c r="E125" s="400"/>
      <c r="F125" s="400"/>
      <c r="G125" s="400"/>
      <c r="H125" s="400"/>
      <c r="I125" s="400"/>
      <c r="J125" s="400"/>
      <c r="K125" s="400"/>
      <c r="L125" s="400"/>
      <c r="M125" s="688"/>
      <c r="N125" s="400"/>
      <c r="O125" s="400"/>
      <c r="P125" s="400"/>
      <c r="Q125" s="400"/>
      <c r="R125" s="688"/>
      <c r="S125" s="400"/>
      <c r="T125" s="400"/>
      <c r="U125" s="400"/>
      <c r="V125" s="400"/>
      <c r="W125" s="400"/>
      <c r="X125" s="400"/>
      <c r="Y125" s="400"/>
      <c r="Z125" s="400"/>
      <c r="AA125" s="400"/>
      <c r="AB125" s="400"/>
      <c r="AC125" s="400"/>
      <c r="AD125" s="400"/>
      <c r="AE125" s="400"/>
      <c r="AF125" s="400"/>
      <c r="AG125" s="400"/>
      <c r="AH125" s="400"/>
      <c r="AI125" s="400"/>
      <c r="AJ125" s="400"/>
      <c r="AK125" s="400"/>
      <c r="AL125" s="400"/>
      <c r="AM125" s="400"/>
      <c r="AN125" s="400"/>
      <c r="AO125" s="400"/>
      <c r="AP125" s="400"/>
    </row>
    <row r="126" spans="1:42" x14ac:dyDescent="0.2">
      <c r="A126" s="400"/>
      <c r="B126" s="400"/>
      <c r="C126" s="400"/>
      <c r="D126" s="400"/>
      <c r="E126" s="400"/>
      <c r="F126" s="400"/>
      <c r="G126" s="400"/>
      <c r="H126" s="400"/>
      <c r="I126" s="400"/>
      <c r="J126" s="400"/>
      <c r="K126" s="400"/>
      <c r="L126" s="400"/>
      <c r="M126" s="688"/>
      <c r="N126" s="400"/>
      <c r="O126" s="400"/>
      <c r="P126" s="400"/>
      <c r="Q126" s="400"/>
      <c r="R126" s="688"/>
      <c r="S126" s="400"/>
      <c r="T126" s="400"/>
      <c r="U126" s="400"/>
      <c r="V126" s="400"/>
      <c r="W126" s="400"/>
      <c r="X126" s="400"/>
      <c r="Y126" s="400"/>
      <c r="Z126" s="400"/>
      <c r="AA126" s="400"/>
      <c r="AB126" s="400"/>
      <c r="AC126" s="400"/>
      <c r="AD126" s="400"/>
      <c r="AE126" s="400"/>
      <c r="AF126" s="400"/>
      <c r="AG126" s="400"/>
      <c r="AH126" s="400"/>
      <c r="AI126" s="400"/>
      <c r="AJ126" s="400"/>
      <c r="AK126" s="400"/>
      <c r="AL126" s="400"/>
      <c r="AM126" s="400"/>
      <c r="AN126" s="400"/>
      <c r="AO126" s="400"/>
      <c r="AP126" s="400"/>
    </row>
    <row r="127" spans="1:42" x14ac:dyDescent="0.2">
      <c r="A127" s="400"/>
      <c r="B127" s="400"/>
      <c r="C127" s="400"/>
      <c r="D127" s="400"/>
      <c r="E127" s="400"/>
      <c r="F127" s="400"/>
      <c r="G127" s="400"/>
      <c r="H127" s="400"/>
      <c r="I127" s="400"/>
      <c r="J127" s="400"/>
      <c r="K127" s="400"/>
      <c r="L127" s="400"/>
      <c r="M127" s="688"/>
      <c r="N127" s="400"/>
      <c r="O127" s="400"/>
      <c r="P127" s="400"/>
      <c r="Q127" s="400"/>
      <c r="R127" s="688"/>
      <c r="S127" s="400"/>
      <c r="T127" s="400"/>
      <c r="U127" s="400"/>
      <c r="V127" s="400"/>
      <c r="W127" s="400"/>
      <c r="X127" s="400"/>
      <c r="Y127" s="400"/>
      <c r="Z127" s="400"/>
      <c r="AA127" s="400"/>
      <c r="AB127" s="400"/>
      <c r="AC127" s="400"/>
      <c r="AD127" s="400"/>
      <c r="AE127" s="400"/>
      <c r="AF127" s="400"/>
      <c r="AG127" s="400"/>
      <c r="AH127" s="400"/>
      <c r="AI127" s="400"/>
      <c r="AJ127" s="400"/>
      <c r="AK127" s="400"/>
      <c r="AL127" s="400"/>
      <c r="AM127" s="400"/>
      <c r="AN127" s="400"/>
      <c r="AO127" s="400"/>
      <c r="AP127" s="400"/>
    </row>
    <row r="128" spans="1:42" x14ac:dyDescent="0.2">
      <c r="A128" s="400"/>
      <c r="B128" s="400"/>
      <c r="C128" s="400"/>
      <c r="D128" s="400"/>
      <c r="E128" s="400"/>
      <c r="F128" s="400"/>
      <c r="G128" s="400"/>
      <c r="H128" s="400"/>
      <c r="I128" s="400"/>
      <c r="J128" s="400"/>
      <c r="K128" s="400"/>
      <c r="L128" s="400"/>
      <c r="M128" s="688"/>
      <c r="N128" s="400"/>
      <c r="O128" s="400"/>
      <c r="P128" s="400"/>
      <c r="Q128" s="400"/>
      <c r="R128" s="688"/>
      <c r="S128" s="400"/>
      <c r="T128" s="400"/>
      <c r="U128" s="400"/>
      <c r="V128" s="400"/>
      <c r="W128" s="400"/>
      <c r="X128" s="400"/>
      <c r="Y128" s="400"/>
      <c r="Z128" s="400"/>
      <c r="AA128" s="400"/>
      <c r="AB128" s="400"/>
      <c r="AC128" s="400"/>
      <c r="AD128" s="400"/>
      <c r="AE128" s="400"/>
      <c r="AF128" s="400"/>
      <c r="AG128" s="400"/>
      <c r="AH128" s="400"/>
      <c r="AI128" s="400"/>
      <c r="AJ128" s="400"/>
      <c r="AK128" s="400"/>
      <c r="AL128" s="400"/>
      <c r="AM128" s="400"/>
      <c r="AN128" s="400"/>
      <c r="AO128" s="400"/>
      <c r="AP128" s="400"/>
    </row>
    <row r="129" spans="1:42" x14ac:dyDescent="0.2">
      <c r="A129" s="400"/>
      <c r="B129" s="400"/>
      <c r="C129" s="400"/>
      <c r="D129" s="400"/>
      <c r="E129" s="400"/>
      <c r="F129" s="400"/>
      <c r="G129" s="400"/>
      <c r="H129" s="400"/>
      <c r="I129" s="400"/>
      <c r="J129" s="400"/>
      <c r="K129" s="400"/>
      <c r="L129" s="400"/>
      <c r="M129" s="688"/>
      <c r="N129" s="400"/>
      <c r="O129" s="400"/>
      <c r="P129" s="400"/>
      <c r="Q129" s="400"/>
      <c r="R129" s="688"/>
      <c r="S129" s="400"/>
      <c r="T129" s="400"/>
      <c r="U129" s="400"/>
      <c r="V129" s="400"/>
      <c r="W129" s="400"/>
      <c r="X129" s="400"/>
      <c r="Y129" s="400"/>
      <c r="Z129" s="400"/>
      <c r="AA129" s="400"/>
      <c r="AB129" s="400"/>
      <c r="AC129" s="400"/>
      <c r="AD129" s="400"/>
      <c r="AE129" s="400"/>
      <c r="AF129" s="400"/>
      <c r="AG129" s="400"/>
      <c r="AH129" s="400"/>
      <c r="AI129" s="400"/>
      <c r="AJ129" s="400"/>
      <c r="AK129" s="400"/>
      <c r="AL129" s="400"/>
      <c r="AM129" s="400"/>
      <c r="AN129" s="400"/>
      <c r="AO129" s="400"/>
      <c r="AP129" s="400"/>
    </row>
    <row r="130" spans="1:42" x14ac:dyDescent="0.2">
      <c r="A130" s="400"/>
      <c r="B130" s="400"/>
      <c r="C130" s="400"/>
      <c r="D130" s="400"/>
      <c r="E130" s="400"/>
      <c r="F130" s="400"/>
      <c r="G130" s="400"/>
      <c r="H130" s="400"/>
      <c r="I130" s="400"/>
      <c r="J130" s="400"/>
      <c r="K130" s="400"/>
      <c r="L130" s="400"/>
      <c r="M130" s="688"/>
      <c r="N130" s="400"/>
      <c r="O130" s="400"/>
      <c r="P130" s="400"/>
      <c r="Q130" s="400"/>
      <c r="R130" s="688"/>
      <c r="S130" s="400"/>
      <c r="T130" s="400"/>
      <c r="U130" s="400"/>
      <c r="V130" s="400"/>
      <c r="W130" s="400"/>
      <c r="X130" s="400"/>
      <c r="Y130" s="400"/>
      <c r="Z130" s="400"/>
      <c r="AA130" s="400"/>
      <c r="AB130" s="400"/>
      <c r="AC130" s="400"/>
      <c r="AD130" s="400"/>
      <c r="AE130" s="400"/>
      <c r="AF130" s="400"/>
      <c r="AG130" s="400"/>
      <c r="AH130" s="400"/>
      <c r="AI130" s="400"/>
      <c r="AJ130" s="400"/>
      <c r="AK130" s="400"/>
      <c r="AL130" s="400"/>
      <c r="AM130" s="400"/>
      <c r="AN130" s="400"/>
      <c r="AO130" s="400"/>
      <c r="AP130" s="400"/>
    </row>
    <row r="131" spans="1:42" x14ac:dyDescent="0.2">
      <c r="A131" s="400"/>
      <c r="B131" s="400"/>
      <c r="C131" s="400"/>
      <c r="D131" s="400"/>
      <c r="E131" s="400"/>
      <c r="F131" s="400"/>
      <c r="G131" s="400"/>
      <c r="H131" s="400"/>
      <c r="I131" s="400"/>
      <c r="J131" s="400"/>
      <c r="K131" s="400"/>
      <c r="L131" s="400"/>
      <c r="M131" s="688"/>
      <c r="N131" s="400"/>
      <c r="O131" s="400"/>
      <c r="P131" s="400"/>
      <c r="Q131" s="400"/>
      <c r="R131" s="688"/>
      <c r="S131" s="400"/>
      <c r="T131" s="400"/>
      <c r="U131" s="400"/>
      <c r="V131" s="400"/>
      <c r="W131" s="400"/>
      <c r="X131" s="400"/>
      <c r="Y131" s="400"/>
      <c r="Z131" s="400"/>
      <c r="AA131" s="400"/>
      <c r="AB131" s="400"/>
      <c r="AC131" s="400"/>
      <c r="AD131" s="400"/>
      <c r="AE131" s="400"/>
      <c r="AF131" s="400"/>
      <c r="AG131" s="400"/>
      <c r="AH131" s="400"/>
      <c r="AI131" s="400"/>
      <c r="AJ131" s="400"/>
      <c r="AK131" s="400"/>
      <c r="AL131" s="400"/>
      <c r="AM131" s="400"/>
      <c r="AN131" s="400"/>
      <c r="AO131" s="400"/>
      <c r="AP131" s="400"/>
    </row>
    <row r="132" spans="1:42" x14ac:dyDescent="0.2">
      <c r="A132" s="400"/>
      <c r="B132" s="400"/>
      <c r="C132" s="400"/>
      <c r="D132" s="400"/>
      <c r="E132" s="400"/>
      <c r="F132" s="400"/>
      <c r="G132" s="400"/>
      <c r="H132" s="400"/>
      <c r="I132" s="400"/>
      <c r="J132" s="400"/>
      <c r="K132" s="400"/>
      <c r="L132" s="400"/>
      <c r="M132" s="688"/>
      <c r="N132" s="400"/>
      <c r="O132" s="400"/>
      <c r="P132" s="400"/>
      <c r="Q132" s="400"/>
      <c r="R132" s="688"/>
      <c r="S132" s="400"/>
      <c r="T132" s="400"/>
      <c r="U132" s="400"/>
      <c r="V132" s="400"/>
      <c r="W132" s="400"/>
      <c r="X132" s="400"/>
      <c r="Y132" s="400"/>
      <c r="Z132" s="400"/>
      <c r="AA132" s="400"/>
      <c r="AB132" s="400"/>
      <c r="AC132" s="400"/>
      <c r="AD132" s="400"/>
      <c r="AE132" s="400"/>
      <c r="AF132" s="400"/>
      <c r="AG132" s="400"/>
      <c r="AH132" s="400"/>
      <c r="AI132" s="400"/>
      <c r="AJ132" s="400"/>
      <c r="AK132" s="400"/>
      <c r="AL132" s="400"/>
      <c r="AM132" s="400"/>
      <c r="AN132" s="400"/>
      <c r="AO132" s="400"/>
      <c r="AP132" s="400"/>
    </row>
    <row r="133" spans="1:42" x14ac:dyDescent="0.2">
      <c r="A133" s="400"/>
      <c r="B133" s="400"/>
      <c r="C133" s="400"/>
      <c r="D133" s="400"/>
      <c r="E133" s="400"/>
      <c r="F133" s="400"/>
      <c r="G133" s="400"/>
      <c r="H133" s="400"/>
      <c r="I133" s="400"/>
      <c r="J133" s="400"/>
      <c r="K133" s="400"/>
      <c r="L133" s="400"/>
      <c r="M133" s="688"/>
      <c r="N133" s="400"/>
      <c r="O133" s="400"/>
      <c r="P133" s="400"/>
      <c r="Q133" s="400"/>
      <c r="R133" s="688"/>
      <c r="S133" s="400"/>
      <c r="T133" s="400"/>
      <c r="U133" s="400"/>
      <c r="V133" s="400"/>
      <c r="W133" s="400"/>
      <c r="X133" s="400"/>
      <c r="Y133" s="400"/>
      <c r="Z133" s="400"/>
      <c r="AA133" s="400"/>
      <c r="AB133" s="400"/>
      <c r="AC133" s="400"/>
      <c r="AD133" s="400"/>
      <c r="AE133" s="400"/>
      <c r="AF133" s="400"/>
      <c r="AG133" s="400"/>
      <c r="AH133" s="400"/>
      <c r="AI133" s="400"/>
      <c r="AJ133" s="400"/>
      <c r="AK133" s="400"/>
      <c r="AL133" s="400"/>
      <c r="AM133" s="400"/>
      <c r="AN133" s="400"/>
      <c r="AO133" s="400"/>
      <c r="AP133" s="400"/>
    </row>
    <row r="134" spans="1:42" x14ac:dyDescent="0.2">
      <c r="A134" s="400"/>
      <c r="B134" s="400"/>
      <c r="C134" s="400"/>
      <c r="D134" s="400"/>
      <c r="E134" s="400"/>
      <c r="F134" s="400"/>
      <c r="G134" s="400"/>
      <c r="H134" s="400"/>
      <c r="I134" s="400"/>
      <c r="J134" s="400"/>
      <c r="K134" s="400"/>
      <c r="L134" s="400"/>
      <c r="M134" s="688"/>
      <c r="N134" s="400"/>
      <c r="O134" s="400"/>
      <c r="P134" s="400"/>
      <c r="Q134" s="400"/>
      <c r="R134" s="688"/>
      <c r="S134" s="400"/>
      <c r="T134" s="400"/>
      <c r="U134" s="400"/>
      <c r="V134" s="400"/>
      <c r="W134" s="400"/>
      <c r="X134" s="400"/>
      <c r="Y134" s="400"/>
      <c r="Z134" s="400"/>
      <c r="AA134" s="400"/>
      <c r="AB134" s="400"/>
      <c r="AC134" s="400"/>
      <c r="AD134" s="400"/>
      <c r="AE134" s="400"/>
      <c r="AF134" s="400"/>
      <c r="AG134" s="400"/>
      <c r="AH134" s="400"/>
      <c r="AI134" s="400"/>
      <c r="AJ134" s="400"/>
      <c r="AK134" s="400"/>
      <c r="AL134" s="400"/>
      <c r="AM134" s="400"/>
      <c r="AN134" s="400"/>
      <c r="AO134" s="400"/>
      <c r="AP134" s="400"/>
    </row>
    <row r="135" spans="1:42" x14ac:dyDescent="0.2">
      <c r="A135" s="400"/>
      <c r="B135" s="400"/>
      <c r="C135" s="400"/>
      <c r="D135" s="400"/>
      <c r="E135" s="400"/>
      <c r="F135" s="400"/>
      <c r="G135" s="400"/>
      <c r="H135" s="400"/>
      <c r="I135" s="400"/>
      <c r="J135" s="400"/>
      <c r="K135" s="400"/>
      <c r="L135" s="400"/>
      <c r="M135" s="688"/>
      <c r="N135" s="400"/>
      <c r="O135" s="400"/>
      <c r="P135" s="400"/>
      <c r="Q135" s="400"/>
      <c r="R135" s="688"/>
      <c r="S135" s="400"/>
      <c r="T135" s="400"/>
      <c r="U135" s="400"/>
      <c r="V135" s="400"/>
      <c r="W135" s="400"/>
      <c r="X135" s="400"/>
      <c r="Y135" s="400"/>
      <c r="Z135" s="400"/>
      <c r="AA135" s="400"/>
      <c r="AB135" s="400"/>
      <c r="AC135" s="400"/>
      <c r="AD135" s="400"/>
      <c r="AE135" s="400"/>
      <c r="AF135" s="400"/>
      <c r="AG135" s="400"/>
      <c r="AH135" s="400"/>
      <c r="AI135" s="400"/>
      <c r="AJ135" s="400"/>
      <c r="AK135" s="400"/>
      <c r="AL135" s="400"/>
      <c r="AM135" s="400"/>
      <c r="AN135" s="400"/>
      <c r="AO135" s="400"/>
      <c r="AP135" s="400"/>
    </row>
    <row r="136" spans="1:42" x14ac:dyDescent="0.2">
      <c r="A136" s="400"/>
      <c r="B136" s="400"/>
      <c r="C136" s="400"/>
      <c r="D136" s="400"/>
      <c r="E136" s="400"/>
      <c r="F136" s="400"/>
      <c r="G136" s="400"/>
      <c r="H136" s="400"/>
      <c r="I136" s="400"/>
      <c r="J136" s="400"/>
      <c r="K136" s="400"/>
      <c r="L136" s="400"/>
      <c r="M136" s="688"/>
      <c r="N136" s="400"/>
      <c r="O136" s="400"/>
      <c r="P136" s="400"/>
      <c r="Q136" s="400"/>
      <c r="R136" s="688"/>
      <c r="S136" s="400"/>
      <c r="T136" s="400"/>
      <c r="U136" s="400"/>
      <c r="V136" s="400"/>
      <c r="W136" s="400"/>
      <c r="X136" s="400"/>
      <c r="Y136" s="400"/>
      <c r="Z136" s="400"/>
      <c r="AA136" s="400"/>
      <c r="AB136" s="400"/>
      <c r="AC136" s="400"/>
      <c r="AD136" s="400"/>
      <c r="AE136" s="400"/>
      <c r="AF136" s="400"/>
      <c r="AG136" s="400"/>
      <c r="AH136" s="400"/>
      <c r="AI136" s="400"/>
      <c r="AJ136" s="400"/>
      <c r="AK136" s="400"/>
      <c r="AL136" s="400"/>
      <c r="AM136" s="400"/>
      <c r="AN136" s="400"/>
      <c r="AO136" s="400"/>
      <c r="AP136" s="400"/>
    </row>
    <row r="137" spans="1:42" x14ac:dyDescent="0.2">
      <c r="A137" s="400"/>
      <c r="B137" s="400"/>
      <c r="C137" s="400"/>
      <c r="D137" s="400"/>
      <c r="E137" s="400"/>
      <c r="F137" s="400"/>
      <c r="G137" s="400"/>
      <c r="H137" s="400"/>
      <c r="I137" s="400"/>
      <c r="J137" s="400"/>
      <c r="K137" s="400"/>
      <c r="L137" s="400"/>
      <c r="M137" s="688"/>
      <c r="N137" s="400"/>
      <c r="O137" s="400"/>
      <c r="P137" s="400"/>
      <c r="Q137" s="400"/>
      <c r="R137" s="688"/>
      <c r="S137" s="400"/>
      <c r="T137" s="400"/>
      <c r="U137" s="400"/>
      <c r="V137" s="400"/>
      <c r="W137" s="400"/>
      <c r="X137" s="400"/>
      <c r="Y137" s="400"/>
      <c r="Z137" s="400"/>
      <c r="AA137" s="400"/>
      <c r="AB137" s="400"/>
      <c r="AC137" s="400"/>
      <c r="AD137" s="400"/>
      <c r="AE137" s="400"/>
      <c r="AF137" s="400"/>
      <c r="AG137" s="400"/>
      <c r="AH137" s="400"/>
      <c r="AI137" s="400"/>
      <c r="AJ137" s="400"/>
      <c r="AK137" s="400"/>
      <c r="AL137" s="400"/>
      <c r="AM137" s="400"/>
      <c r="AN137" s="400"/>
      <c r="AO137" s="400"/>
      <c r="AP137" s="400"/>
    </row>
    <row r="138" spans="1:42" x14ac:dyDescent="0.2">
      <c r="A138" s="400"/>
      <c r="B138" s="400"/>
      <c r="C138" s="400"/>
      <c r="D138" s="400"/>
      <c r="E138" s="400"/>
      <c r="F138" s="400"/>
      <c r="G138" s="400"/>
      <c r="H138" s="400"/>
      <c r="I138" s="400"/>
      <c r="J138" s="400"/>
      <c r="K138" s="400"/>
      <c r="L138" s="400"/>
      <c r="M138" s="688"/>
      <c r="N138" s="400"/>
      <c r="O138" s="400"/>
      <c r="P138" s="400"/>
      <c r="Q138" s="400"/>
      <c r="R138" s="688"/>
      <c r="S138" s="400"/>
      <c r="T138" s="400"/>
      <c r="U138" s="400"/>
      <c r="V138" s="400"/>
      <c r="W138" s="400"/>
      <c r="X138" s="400"/>
      <c r="Y138" s="400"/>
      <c r="Z138" s="400"/>
      <c r="AA138" s="400"/>
      <c r="AB138" s="400"/>
      <c r="AC138" s="400"/>
      <c r="AD138" s="400"/>
      <c r="AE138" s="400"/>
      <c r="AF138" s="400"/>
      <c r="AG138" s="400"/>
      <c r="AH138" s="400"/>
      <c r="AI138" s="400"/>
      <c r="AJ138" s="400"/>
      <c r="AK138" s="400"/>
      <c r="AL138" s="400"/>
      <c r="AM138" s="400"/>
      <c r="AN138" s="400"/>
      <c r="AO138" s="400"/>
      <c r="AP138" s="400"/>
    </row>
    <row r="139" spans="1:42" x14ac:dyDescent="0.2">
      <c r="A139" s="400"/>
      <c r="B139" s="400"/>
      <c r="C139" s="400"/>
      <c r="D139" s="400"/>
      <c r="E139" s="400"/>
      <c r="F139" s="400"/>
      <c r="G139" s="400"/>
      <c r="H139" s="400"/>
      <c r="I139" s="400"/>
      <c r="J139" s="400"/>
      <c r="K139" s="400"/>
      <c r="L139" s="400"/>
      <c r="M139" s="688"/>
      <c r="N139" s="400"/>
      <c r="O139" s="400"/>
      <c r="P139" s="400"/>
      <c r="Q139" s="400"/>
      <c r="R139" s="688"/>
      <c r="S139" s="400"/>
      <c r="T139" s="400"/>
      <c r="U139" s="400"/>
      <c r="V139" s="400"/>
      <c r="W139" s="400"/>
      <c r="X139" s="400"/>
      <c r="Y139" s="400"/>
      <c r="Z139" s="400"/>
      <c r="AA139" s="400"/>
      <c r="AB139" s="400"/>
      <c r="AC139" s="400"/>
      <c r="AD139" s="400"/>
      <c r="AE139" s="400"/>
      <c r="AF139" s="400"/>
      <c r="AG139" s="400"/>
      <c r="AH139" s="400"/>
      <c r="AI139" s="400"/>
      <c r="AJ139" s="400"/>
      <c r="AK139" s="400"/>
      <c r="AL139" s="400"/>
      <c r="AM139" s="400"/>
      <c r="AN139" s="400"/>
      <c r="AO139" s="400"/>
      <c r="AP139" s="400"/>
    </row>
    <row r="140" spans="1:42" x14ac:dyDescent="0.2">
      <c r="A140" s="400"/>
      <c r="B140" s="400"/>
      <c r="C140" s="400"/>
      <c r="D140" s="400"/>
      <c r="E140" s="400"/>
      <c r="F140" s="400"/>
      <c r="G140" s="400"/>
      <c r="H140" s="400"/>
      <c r="I140" s="400"/>
      <c r="J140" s="400"/>
      <c r="K140" s="400"/>
      <c r="L140" s="400"/>
      <c r="M140" s="688"/>
      <c r="N140" s="400"/>
      <c r="O140" s="400"/>
      <c r="P140" s="400"/>
      <c r="Q140" s="400"/>
      <c r="R140" s="688"/>
      <c r="S140" s="400"/>
      <c r="T140" s="400"/>
      <c r="U140" s="400"/>
      <c r="V140" s="400"/>
      <c r="W140" s="400"/>
      <c r="X140" s="400"/>
      <c r="Y140" s="400"/>
      <c r="Z140" s="400"/>
      <c r="AA140" s="400"/>
      <c r="AB140" s="400"/>
      <c r="AC140" s="400"/>
      <c r="AD140" s="400"/>
      <c r="AE140" s="400"/>
      <c r="AF140" s="400"/>
      <c r="AG140" s="400"/>
      <c r="AH140" s="400"/>
      <c r="AI140" s="400"/>
      <c r="AJ140" s="400"/>
      <c r="AK140" s="400"/>
      <c r="AL140" s="400"/>
      <c r="AM140" s="400"/>
      <c r="AN140" s="400"/>
      <c r="AO140" s="400"/>
      <c r="AP140" s="400"/>
    </row>
    <row r="141" spans="1:42" x14ac:dyDescent="0.2">
      <c r="A141" s="400"/>
      <c r="B141" s="400"/>
      <c r="C141" s="400"/>
      <c r="D141" s="400"/>
      <c r="E141" s="400"/>
      <c r="F141" s="400"/>
      <c r="G141" s="400"/>
      <c r="H141" s="400"/>
      <c r="I141" s="400"/>
      <c r="J141" s="400"/>
      <c r="K141" s="400"/>
      <c r="L141" s="400"/>
      <c r="M141" s="688"/>
      <c r="N141" s="400"/>
      <c r="O141" s="400"/>
      <c r="P141" s="400"/>
      <c r="Q141" s="400"/>
      <c r="R141" s="688"/>
      <c r="S141" s="400"/>
      <c r="T141" s="400"/>
      <c r="U141" s="400"/>
      <c r="V141" s="400"/>
      <c r="W141" s="400"/>
      <c r="X141" s="400"/>
      <c r="Y141" s="400"/>
      <c r="Z141" s="400"/>
      <c r="AA141" s="400"/>
      <c r="AB141" s="400"/>
      <c r="AC141" s="400"/>
      <c r="AD141" s="400"/>
      <c r="AE141" s="400"/>
      <c r="AF141" s="400"/>
      <c r="AG141" s="400"/>
      <c r="AH141" s="400"/>
      <c r="AI141" s="400"/>
      <c r="AJ141" s="400"/>
      <c r="AK141" s="400"/>
      <c r="AL141" s="400"/>
      <c r="AM141" s="400"/>
      <c r="AN141" s="400"/>
      <c r="AO141" s="400"/>
      <c r="AP141" s="400"/>
    </row>
    <row r="142" spans="1:42" x14ac:dyDescent="0.2">
      <c r="A142" s="400"/>
      <c r="B142" s="400"/>
      <c r="C142" s="400"/>
      <c r="D142" s="400"/>
      <c r="E142" s="400"/>
      <c r="F142" s="400"/>
      <c r="G142" s="400"/>
      <c r="H142" s="400"/>
      <c r="I142" s="400"/>
      <c r="J142" s="400"/>
      <c r="K142" s="400"/>
      <c r="L142" s="400"/>
      <c r="M142" s="688"/>
      <c r="N142" s="400"/>
      <c r="O142" s="400"/>
      <c r="P142" s="400"/>
      <c r="Q142" s="400"/>
      <c r="R142" s="688"/>
      <c r="S142" s="400"/>
      <c r="T142" s="400"/>
      <c r="U142" s="400"/>
      <c r="V142" s="400"/>
      <c r="W142" s="400"/>
      <c r="X142" s="400"/>
      <c r="Y142" s="400"/>
      <c r="Z142" s="400"/>
      <c r="AA142" s="400"/>
      <c r="AB142" s="400"/>
      <c r="AC142" s="400"/>
      <c r="AD142" s="400"/>
      <c r="AE142" s="400"/>
      <c r="AF142" s="400"/>
      <c r="AG142" s="400"/>
      <c r="AH142" s="400"/>
      <c r="AI142" s="400"/>
      <c r="AJ142" s="400"/>
      <c r="AK142" s="400"/>
      <c r="AL142" s="400"/>
      <c r="AM142" s="400"/>
      <c r="AN142" s="400"/>
      <c r="AO142" s="400"/>
      <c r="AP142" s="400"/>
    </row>
    <row r="143" spans="1:42" x14ac:dyDescent="0.2">
      <c r="A143" s="400"/>
      <c r="B143" s="400"/>
      <c r="C143" s="400"/>
      <c r="D143" s="400"/>
      <c r="E143" s="400"/>
      <c r="F143" s="400"/>
      <c r="G143" s="400"/>
      <c r="H143" s="400"/>
      <c r="I143" s="400"/>
      <c r="J143" s="400"/>
      <c r="K143" s="400"/>
      <c r="L143" s="400"/>
      <c r="M143" s="688"/>
      <c r="N143" s="400"/>
      <c r="O143" s="400"/>
      <c r="P143" s="400"/>
      <c r="Q143" s="400"/>
      <c r="R143" s="688"/>
      <c r="S143" s="400"/>
      <c r="T143" s="400"/>
      <c r="U143" s="400"/>
      <c r="V143" s="400"/>
      <c r="W143" s="400"/>
      <c r="X143" s="400"/>
      <c r="Y143" s="400"/>
      <c r="Z143" s="400"/>
      <c r="AA143" s="400"/>
      <c r="AB143" s="400"/>
      <c r="AC143" s="400"/>
      <c r="AD143" s="400"/>
      <c r="AE143" s="400"/>
      <c r="AF143" s="400"/>
      <c r="AG143" s="400"/>
      <c r="AH143" s="400"/>
      <c r="AI143" s="400"/>
      <c r="AJ143" s="400"/>
      <c r="AK143" s="400"/>
      <c r="AL143" s="400"/>
      <c r="AM143" s="400"/>
      <c r="AN143" s="400"/>
      <c r="AO143" s="400"/>
      <c r="AP143" s="400"/>
    </row>
    <row r="144" spans="1:42" x14ac:dyDescent="0.2">
      <c r="A144" s="400"/>
      <c r="B144" s="400"/>
      <c r="C144" s="400"/>
      <c r="D144" s="400"/>
      <c r="E144" s="400"/>
      <c r="F144" s="400"/>
      <c r="G144" s="400"/>
      <c r="H144" s="400"/>
      <c r="I144" s="400"/>
      <c r="J144" s="400"/>
      <c r="K144" s="400"/>
      <c r="L144" s="400"/>
      <c r="M144" s="688"/>
      <c r="N144" s="400"/>
      <c r="O144" s="400"/>
      <c r="P144" s="400"/>
      <c r="Q144" s="400"/>
      <c r="R144" s="688"/>
      <c r="S144" s="400"/>
      <c r="T144" s="400"/>
      <c r="U144" s="400"/>
      <c r="V144" s="400"/>
      <c r="W144" s="400"/>
      <c r="X144" s="400"/>
      <c r="Y144" s="400"/>
      <c r="Z144" s="400"/>
      <c r="AA144" s="400"/>
      <c r="AB144" s="400"/>
      <c r="AC144" s="400"/>
      <c r="AD144" s="400"/>
      <c r="AE144" s="400"/>
      <c r="AF144" s="400"/>
      <c r="AG144" s="400"/>
      <c r="AH144" s="400"/>
      <c r="AI144" s="400"/>
      <c r="AJ144" s="400"/>
      <c r="AK144" s="400"/>
      <c r="AL144" s="400"/>
      <c r="AM144" s="400"/>
      <c r="AN144" s="400"/>
      <c r="AO144" s="400"/>
      <c r="AP144" s="400"/>
    </row>
    <row r="145" spans="1:42" x14ac:dyDescent="0.2">
      <c r="A145" s="400"/>
      <c r="B145" s="400"/>
      <c r="C145" s="400"/>
      <c r="D145" s="400"/>
      <c r="E145" s="400"/>
      <c r="F145" s="400"/>
      <c r="G145" s="400"/>
      <c r="H145" s="400"/>
      <c r="I145" s="400"/>
      <c r="J145" s="400"/>
      <c r="K145" s="400"/>
      <c r="L145" s="400"/>
      <c r="M145" s="688"/>
      <c r="N145" s="400"/>
      <c r="O145" s="400"/>
      <c r="P145" s="400"/>
      <c r="Q145" s="400"/>
      <c r="R145" s="688"/>
      <c r="S145" s="400"/>
      <c r="T145" s="400"/>
      <c r="U145" s="400"/>
      <c r="V145" s="400"/>
      <c r="W145" s="400"/>
      <c r="X145" s="400"/>
      <c r="Y145" s="400"/>
      <c r="Z145" s="400"/>
      <c r="AA145" s="400"/>
      <c r="AB145" s="400"/>
      <c r="AC145" s="400"/>
      <c r="AD145" s="400"/>
      <c r="AE145" s="400"/>
      <c r="AF145" s="400"/>
      <c r="AG145" s="400"/>
      <c r="AH145" s="400"/>
      <c r="AI145" s="400"/>
      <c r="AJ145" s="400"/>
      <c r="AK145" s="400"/>
      <c r="AL145" s="400"/>
      <c r="AM145" s="400"/>
      <c r="AN145" s="400"/>
      <c r="AO145" s="400"/>
      <c r="AP145" s="400"/>
    </row>
    <row r="146" spans="1:42" x14ac:dyDescent="0.2">
      <c r="A146" s="400"/>
      <c r="B146" s="400"/>
      <c r="C146" s="400"/>
      <c r="D146" s="400"/>
      <c r="E146" s="400"/>
      <c r="F146" s="400"/>
      <c r="G146" s="400"/>
      <c r="H146" s="400"/>
      <c r="I146" s="400"/>
      <c r="J146" s="400"/>
      <c r="K146" s="400"/>
      <c r="L146" s="400"/>
      <c r="M146" s="688"/>
      <c r="N146" s="400"/>
      <c r="O146" s="400"/>
      <c r="P146" s="400"/>
      <c r="Q146" s="400"/>
      <c r="R146" s="688"/>
      <c r="S146" s="400"/>
      <c r="T146" s="400"/>
      <c r="U146" s="400"/>
      <c r="V146" s="400"/>
      <c r="W146" s="400"/>
      <c r="X146" s="400"/>
      <c r="Y146" s="400"/>
      <c r="Z146" s="400"/>
      <c r="AA146" s="400"/>
      <c r="AB146" s="400"/>
      <c r="AC146" s="400"/>
      <c r="AD146" s="400"/>
      <c r="AE146" s="400"/>
      <c r="AF146" s="400"/>
      <c r="AG146" s="400"/>
      <c r="AH146" s="400"/>
      <c r="AI146" s="400"/>
      <c r="AJ146" s="400"/>
      <c r="AK146" s="400"/>
      <c r="AL146" s="400"/>
      <c r="AM146" s="400"/>
      <c r="AN146" s="400"/>
      <c r="AO146" s="400"/>
      <c r="AP146" s="400"/>
    </row>
    <row r="147" spans="1:42" x14ac:dyDescent="0.2">
      <c r="A147" s="400"/>
      <c r="B147" s="400"/>
      <c r="C147" s="400"/>
      <c r="D147" s="400"/>
      <c r="E147" s="400"/>
      <c r="F147" s="400"/>
      <c r="G147" s="400"/>
      <c r="H147" s="400"/>
      <c r="I147" s="400"/>
      <c r="J147" s="400"/>
      <c r="K147" s="400"/>
      <c r="L147" s="400"/>
      <c r="M147" s="688"/>
      <c r="N147" s="400"/>
      <c r="O147" s="400"/>
      <c r="P147" s="400"/>
      <c r="Q147" s="400"/>
      <c r="R147" s="688"/>
      <c r="S147" s="400"/>
      <c r="T147" s="400"/>
      <c r="U147" s="400"/>
      <c r="V147" s="400"/>
      <c r="W147" s="400"/>
      <c r="X147" s="400"/>
      <c r="Y147" s="400"/>
      <c r="Z147" s="400"/>
      <c r="AA147" s="400"/>
      <c r="AB147" s="400"/>
      <c r="AC147" s="400"/>
      <c r="AD147" s="400"/>
      <c r="AE147" s="400"/>
      <c r="AF147" s="400"/>
      <c r="AG147" s="400"/>
      <c r="AH147" s="400"/>
      <c r="AI147" s="400"/>
      <c r="AJ147" s="400"/>
      <c r="AK147" s="400"/>
      <c r="AL147" s="400"/>
      <c r="AM147" s="400"/>
      <c r="AN147" s="400"/>
      <c r="AO147" s="400"/>
      <c r="AP147" s="400"/>
    </row>
    <row r="148" spans="1:42" x14ac:dyDescent="0.2">
      <c r="A148" s="400"/>
      <c r="B148" s="400"/>
      <c r="C148" s="400"/>
      <c r="D148" s="400"/>
      <c r="E148" s="400"/>
      <c r="F148" s="400"/>
      <c r="G148" s="400"/>
      <c r="H148" s="400"/>
      <c r="I148" s="400"/>
      <c r="J148" s="400"/>
      <c r="K148" s="400"/>
      <c r="L148" s="400"/>
      <c r="M148" s="688"/>
      <c r="N148" s="400"/>
      <c r="O148" s="400"/>
      <c r="P148" s="400"/>
      <c r="Q148" s="400"/>
      <c r="R148" s="688"/>
      <c r="S148" s="400"/>
      <c r="T148" s="400"/>
      <c r="U148" s="400"/>
      <c r="V148" s="400"/>
      <c r="W148" s="400"/>
      <c r="X148" s="400"/>
      <c r="Y148" s="400"/>
      <c r="Z148" s="400"/>
      <c r="AA148" s="400"/>
      <c r="AB148" s="400"/>
      <c r="AC148" s="400"/>
      <c r="AD148" s="400"/>
      <c r="AE148" s="400"/>
      <c r="AF148" s="400"/>
      <c r="AG148" s="400"/>
      <c r="AH148" s="400"/>
      <c r="AI148" s="400"/>
      <c r="AJ148" s="400"/>
      <c r="AK148" s="400"/>
      <c r="AL148" s="400"/>
      <c r="AM148" s="400"/>
      <c r="AN148" s="400"/>
      <c r="AO148" s="400"/>
      <c r="AP148" s="400"/>
    </row>
    <row r="149" spans="1:42" x14ac:dyDescent="0.2">
      <c r="A149" s="400"/>
      <c r="B149" s="400"/>
      <c r="C149" s="400"/>
      <c r="D149" s="400"/>
      <c r="E149" s="400"/>
      <c r="F149" s="400"/>
      <c r="G149" s="400"/>
      <c r="H149" s="400"/>
      <c r="I149" s="400"/>
      <c r="J149" s="400"/>
      <c r="K149" s="400"/>
      <c r="L149" s="400"/>
      <c r="M149" s="688"/>
      <c r="N149" s="400"/>
      <c r="O149" s="400"/>
      <c r="P149" s="400"/>
      <c r="Q149" s="400"/>
      <c r="R149" s="688"/>
      <c r="S149" s="400"/>
      <c r="T149" s="400"/>
      <c r="U149" s="400"/>
      <c r="V149" s="400"/>
      <c r="W149" s="400"/>
      <c r="X149" s="400"/>
      <c r="Y149" s="400"/>
      <c r="Z149" s="400"/>
      <c r="AA149" s="400"/>
      <c r="AB149" s="400"/>
      <c r="AC149" s="400"/>
      <c r="AD149" s="400"/>
      <c r="AE149" s="400"/>
      <c r="AF149" s="400"/>
      <c r="AG149" s="400"/>
      <c r="AH149" s="400"/>
      <c r="AI149" s="400"/>
      <c r="AJ149" s="400"/>
      <c r="AK149" s="400"/>
      <c r="AL149" s="400"/>
      <c r="AM149" s="400"/>
      <c r="AN149" s="400"/>
      <c r="AO149" s="400"/>
      <c r="AP149" s="400"/>
    </row>
    <row r="150" spans="1:42" x14ac:dyDescent="0.2">
      <c r="A150" s="400"/>
      <c r="B150" s="400"/>
      <c r="C150" s="400"/>
      <c r="D150" s="400"/>
      <c r="E150" s="400"/>
      <c r="F150" s="400"/>
      <c r="G150" s="400"/>
      <c r="H150" s="400"/>
      <c r="I150" s="400"/>
      <c r="J150" s="400"/>
      <c r="K150" s="400"/>
      <c r="L150" s="400"/>
      <c r="M150" s="688"/>
      <c r="N150" s="400"/>
      <c r="O150" s="400"/>
      <c r="P150" s="400"/>
      <c r="Q150" s="400"/>
      <c r="R150" s="688"/>
      <c r="S150" s="400"/>
      <c r="T150" s="400"/>
      <c r="U150" s="400"/>
      <c r="V150" s="400"/>
      <c r="W150" s="400"/>
      <c r="X150" s="400"/>
      <c r="Y150" s="400"/>
      <c r="Z150" s="400"/>
      <c r="AA150" s="400"/>
      <c r="AB150" s="400"/>
      <c r="AC150" s="400"/>
      <c r="AD150" s="400"/>
      <c r="AE150" s="400"/>
      <c r="AF150" s="400"/>
      <c r="AG150" s="400"/>
      <c r="AH150" s="400"/>
      <c r="AI150" s="400"/>
      <c r="AJ150" s="400"/>
      <c r="AK150" s="400"/>
      <c r="AL150" s="400"/>
      <c r="AM150" s="400"/>
      <c r="AN150" s="400"/>
      <c r="AO150" s="400"/>
      <c r="AP150" s="400"/>
    </row>
    <row r="151" spans="1:42" x14ac:dyDescent="0.2">
      <c r="A151" s="400"/>
      <c r="B151" s="400"/>
      <c r="C151" s="400"/>
      <c r="D151" s="400"/>
      <c r="E151" s="400"/>
      <c r="F151" s="400"/>
      <c r="G151" s="400"/>
      <c r="H151" s="400"/>
      <c r="I151" s="400"/>
      <c r="J151" s="400"/>
      <c r="K151" s="400"/>
      <c r="L151" s="400"/>
      <c r="M151" s="688"/>
      <c r="N151" s="400"/>
      <c r="O151" s="400"/>
      <c r="P151" s="400"/>
      <c r="Q151" s="400"/>
      <c r="R151" s="688"/>
      <c r="S151" s="400"/>
      <c r="T151" s="400"/>
      <c r="U151" s="400"/>
      <c r="V151" s="400"/>
      <c r="W151" s="400"/>
      <c r="X151" s="400"/>
      <c r="Y151" s="400"/>
      <c r="Z151" s="400"/>
      <c r="AA151" s="400"/>
      <c r="AB151" s="400"/>
      <c r="AC151" s="400"/>
      <c r="AD151" s="400"/>
      <c r="AE151" s="400"/>
      <c r="AF151" s="400"/>
      <c r="AG151" s="400"/>
      <c r="AH151" s="400"/>
      <c r="AI151" s="400"/>
      <c r="AJ151" s="400"/>
      <c r="AK151" s="400"/>
      <c r="AL151" s="400"/>
      <c r="AM151" s="400"/>
      <c r="AN151" s="400"/>
      <c r="AO151" s="400"/>
      <c r="AP151" s="400"/>
    </row>
    <row r="152" spans="1:42" x14ac:dyDescent="0.2">
      <c r="A152" s="400"/>
      <c r="B152" s="400"/>
      <c r="C152" s="400"/>
      <c r="D152" s="400"/>
      <c r="E152" s="400"/>
      <c r="F152" s="400"/>
      <c r="G152" s="400"/>
      <c r="H152" s="400"/>
      <c r="I152" s="400"/>
      <c r="J152" s="400"/>
      <c r="K152" s="400"/>
      <c r="L152" s="400"/>
      <c r="M152" s="688"/>
      <c r="N152" s="400"/>
      <c r="O152" s="400"/>
      <c r="Q152" s="400"/>
      <c r="R152" s="688"/>
      <c r="S152" s="400"/>
      <c r="T152" s="400"/>
      <c r="U152" s="400"/>
      <c r="V152" s="400"/>
      <c r="W152" s="400"/>
      <c r="X152" s="400"/>
      <c r="Y152" s="400"/>
      <c r="Z152" s="400"/>
      <c r="AA152" s="400"/>
      <c r="AB152" s="400"/>
      <c r="AC152" s="400"/>
      <c r="AD152" s="400"/>
      <c r="AE152" s="400"/>
      <c r="AF152" s="400"/>
      <c r="AG152" s="400"/>
      <c r="AH152" s="400"/>
      <c r="AI152" s="400"/>
      <c r="AJ152" s="400"/>
      <c r="AK152" s="400"/>
      <c r="AL152" s="400"/>
      <c r="AM152" s="400"/>
      <c r="AN152" s="400"/>
      <c r="AO152" s="400"/>
      <c r="AP152" s="400"/>
    </row>
    <row r="153" spans="1:42" x14ac:dyDescent="0.2">
      <c r="A153" s="400"/>
      <c r="B153" s="400"/>
      <c r="C153" s="400"/>
      <c r="D153" s="400"/>
      <c r="E153" s="400"/>
      <c r="F153" s="400"/>
      <c r="G153" s="400"/>
      <c r="H153" s="400"/>
      <c r="I153" s="400"/>
      <c r="J153" s="400"/>
      <c r="K153" s="400"/>
      <c r="L153" s="400"/>
      <c r="M153" s="688"/>
      <c r="Q153" s="400"/>
      <c r="R153" s="688"/>
      <c r="S153" s="400"/>
      <c r="T153" s="400"/>
      <c r="U153" s="400"/>
      <c r="V153" s="400"/>
      <c r="W153" s="400"/>
      <c r="X153" s="400"/>
      <c r="Y153" s="400"/>
      <c r="Z153" s="400"/>
      <c r="AA153" s="400"/>
      <c r="AB153" s="400"/>
      <c r="AC153" s="400"/>
      <c r="AD153" s="400"/>
      <c r="AE153" s="400"/>
      <c r="AF153" s="400"/>
      <c r="AG153" s="400"/>
      <c r="AH153" s="400"/>
      <c r="AI153" s="400"/>
      <c r="AJ153" s="400"/>
      <c r="AK153" s="400"/>
      <c r="AL153" s="400"/>
      <c r="AM153" s="400"/>
      <c r="AN153" s="400"/>
      <c r="AO153" s="400"/>
      <c r="AP153" s="400"/>
    </row>
    <row r="154" spans="1:42" x14ac:dyDescent="0.2">
      <c r="A154" s="400"/>
      <c r="B154" s="400"/>
      <c r="C154" s="400"/>
      <c r="D154" s="400"/>
      <c r="E154" s="400"/>
      <c r="F154" s="400"/>
      <c r="G154" s="400"/>
      <c r="H154" s="400"/>
      <c r="I154" s="400"/>
      <c r="J154" s="400"/>
      <c r="K154" s="400"/>
      <c r="L154" s="400"/>
      <c r="M154" s="688"/>
      <c r="Q154" s="400"/>
      <c r="R154" s="688"/>
      <c r="S154" s="400"/>
      <c r="T154" s="400"/>
      <c r="U154" s="400"/>
      <c r="V154" s="400"/>
      <c r="W154" s="400"/>
      <c r="X154" s="400"/>
      <c r="Y154" s="400"/>
      <c r="Z154" s="400"/>
      <c r="AA154" s="400"/>
      <c r="AB154" s="400"/>
      <c r="AC154" s="400"/>
      <c r="AD154" s="400"/>
      <c r="AE154" s="400"/>
      <c r="AF154" s="400"/>
      <c r="AG154" s="400"/>
      <c r="AH154" s="400"/>
      <c r="AI154" s="400"/>
      <c r="AJ154" s="400"/>
      <c r="AK154" s="400"/>
      <c r="AL154" s="400"/>
      <c r="AM154" s="400"/>
      <c r="AN154" s="400"/>
      <c r="AO154" s="400"/>
      <c r="AP154" s="400"/>
    </row>
    <row r="155" spans="1:42" x14ac:dyDescent="0.2">
      <c r="A155" s="400"/>
      <c r="B155" s="400"/>
      <c r="C155" s="400"/>
      <c r="D155" s="400"/>
      <c r="E155" s="400"/>
      <c r="F155" s="400"/>
      <c r="G155" s="400"/>
      <c r="H155" s="400"/>
      <c r="I155" s="400"/>
      <c r="J155" s="400"/>
      <c r="K155" s="400"/>
      <c r="L155" s="400"/>
      <c r="M155" s="688"/>
      <c r="Q155" s="400"/>
      <c r="R155" s="688"/>
      <c r="S155" s="400"/>
      <c r="T155" s="400"/>
      <c r="U155" s="400"/>
      <c r="V155" s="400"/>
      <c r="W155" s="400"/>
      <c r="X155" s="400"/>
      <c r="Y155" s="400"/>
      <c r="Z155" s="400"/>
      <c r="AA155" s="400"/>
      <c r="AB155" s="400"/>
      <c r="AC155" s="400"/>
      <c r="AD155" s="400"/>
      <c r="AE155" s="400"/>
      <c r="AF155" s="400"/>
      <c r="AG155" s="400"/>
      <c r="AH155" s="400"/>
      <c r="AI155" s="400"/>
      <c r="AJ155" s="400"/>
      <c r="AK155" s="400"/>
      <c r="AL155" s="400"/>
      <c r="AM155" s="400"/>
      <c r="AN155" s="400"/>
      <c r="AO155" s="400"/>
      <c r="AP155" s="400"/>
    </row>
    <row r="156" spans="1:42" x14ac:dyDescent="0.2">
      <c r="A156" s="400"/>
      <c r="B156" s="400"/>
      <c r="C156" s="400"/>
      <c r="D156" s="400"/>
      <c r="E156" s="400"/>
      <c r="F156" s="400"/>
      <c r="G156" s="400"/>
      <c r="H156" s="400"/>
      <c r="I156" s="400"/>
      <c r="J156" s="400"/>
      <c r="K156" s="400"/>
      <c r="L156" s="400"/>
      <c r="M156" s="688"/>
      <c r="Q156" s="400"/>
      <c r="R156" s="688"/>
      <c r="S156" s="400"/>
      <c r="T156" s="400"/>
      <c r="U156" s="400"/>
      <c r="V156" s="400"/>
      <c r="W156" s="400"/>
      <c r="X156" s="400"/>
      <c r="Y156" s="400"/>
      <c r="Z156" s="400"/>
      <c r="AA156" s="400"/>
      <c r="AB156" s="400"/>
      <c r="AC156" s="400"/>
      <c r="AD156" s="400"/>
      <c r="AE156" s="400"/>
      <c r="AF156" s="400"/>
      <c r="AG156" s="400"/>
      <c r="AH156" s="400"/>
      <c r="AI156" s="400"/>
      <c r="AJ156" s="400"/>
      <c r="AK156" s="400"/>
      <c r="AL156" s="400"/>
      <c r="AM156" s="400"/>
      <c r="AN156" s="400"/>
      <c r="AO156" s="400"/>
      <c r="AP156" s="400"/>
    </row>
    <row r="157" spans="1:42" x14ac:dyDescent="0.2">
      <c r="A157" s="400"/>
      <c r="B157" s="400"/>
      <c r="C157" s="400"/>
      <c r="D157" s="400"/>
      <c r="E157" s="400"/>
      <c r="F157" s="400"/>
      <c r="G157" s="400"/>
      <c r="H157" s="400"/>
      <c r="I157" s="400"/>
      <c r="J157" s="400"/>
      <c r="K157" s="400"/>
      <c r="L157" s="400"/>
      <c r="M157" s="688"/>
      <c r="Q157" s="400"/>
      <c r="R157" s="688"/>
      <c r="S157" s="400"/>
      <c r="T157" s="400"/>
      <c r="U157" s="400"/>
      <c r="V157" s="400"/>
      <c r="W157" s="400"/>
      <c r="X157" s="400"/>
      <c r="Y157" s="400"/>
      <c r="Z157" s="400"/>
      <c r="AA157" s="400"/>
      <c r="AB157" s="400"/>
      <c r="AC157" s="400"/>
      <c r="AD157" s="400"/>
      <c r="AE157" s="400"/>
      <c r="AF157" s="400"/>
      <c r="AG157" s="400"/>
      <c r="AH157" s="400"/>
      <c r="AI157" s="400"/>
      <c r="AJ157" s="400"/>
      <c r="AK157" s="400"/>
      <c r="AL157" s="400"/>
      <c r="AM157" s="400"/>
      <c r="AN157" s="400"/>
      <c r="AO157" s="400"/>
      <c r="AP157" s="400"/>
    </row>
    <row r="158" spans="1:42" x14ac:dyDescent="0.2">
      <c r="A158" s="400"/>
      <c r="B158" s="400"/>
      <c r="C158" s="400"/>
      <c r="D158" s="400"/>
      <c r="E158" s="400"/>
      <c r="F158" s="400"/>
      <c r="G158" s="400"/>
      <c r="H158" s="400"/>
      <c r="I158" s="400"/>
      <c r="J158" s="400"/>
      <c r="K158" s="400"/>
      <c r="L158" s="400"/>
      <c r="M158" s="688"/>
      <c r="Q158" s="400"/>
      <c r="R158" s="688"/>
      <c r="S158" s="400"/>
      <c r="T158" s="400"/>
      <c r="U158" s="400"/>
      <c r="V158" s="400"/>
      <c r="W158" s="400"/>
      <c r="X158" s="400"/>
      <c r="Y158" s="400"/>
      <c r="Z158" s="400"/>
      <c r="AA158" s="400"/>
      <c r="AB158" s="400"/>
      <c r="AC158" s="400"/>
      <c r="AD158" s="400"/>
      <c r="AE158" s="400"/>
      <c r="AF158" s="400"/>
      <c r="AG158" s="400"/>
      <c r="AH158" s="400"/>
      <c r="AI158" s="400"/>
      <c r="AJ158" s="400"/>
      <c r="AK158" s="400"/>
      <c r="AL158" s="400"/>
      <c r="AM158" s="400"/>
      <c r="AN158" s="400"/>
      <c r="AO158" s="400"/>
      <c r="AP158" s="400"/>
    </row>
    <row r="159" spans="1:42" x14ac:dyDescent="0.2">
      <c r="A159" s="400"/>
      <c r="B159" s="400"/>
      <c r="C159" s="400"/>
      <c r="D159" s="400"/>
      <c r="E159" s="400"/>
      <c r="F159" s="400"/>
      <c r="G159" s="400"/>
      <c r="H159" s="400"/>
      <c r="I159" s="400"/>
      <c r="J159" s="400"/>
      <c r="K159" s="400"/>
      <c r="L159" s="400"/>
      <c r="M159" s="688"/>
      <c r="Q159" s="400"/>
      <c r="R159" s="688"/>
      <c r="S159" s="400"/>
      <c r="T159" s="400"/>
      <c r="U159" s="400"/>
      <c r="V159" s="400"/>
      <c r="W159" s="400"/>
      <c r="X159" s="400"/>
      <c r="Y159" s="400"/>
      <c r="Z159" s="400"/>
      <c r="AA159" s="400"/>
      <c r="AB159" s="400"/>
      <c r="AC159" s="400"/>
      <c r="AD159" s="400"/>
      <c r="AE159" s="400"/>
      <c r="AF159" s="400"/>
      <c r="AG159" s="400"/>
      <c r="AH159" s="400"/>
      <c r="AI159" s="400"/>
      <c r="AJ159" s="400"/>
      <c r="AK159" s="400"/>
      <c r="AL159" s="400"/>
      <c r="AM159" s="400"/>
      <c r="AN159" s="400"/>
      <c r="AO159" s="400"/>
      <c r="AP159" s="400"/>
    </row>
    <row r="160" spans="1:42" x14ac:dyDescent="0.2">
      <c r="A160" s="400"/>
      <c r="B160" s="400"/>
      <c r="C160" s="400"/>
      <c r="D160" s="400"/>
      <c r="E160" s="400"/>
      <c r="F160" s="400"/>
      <c r="G160" s="400"/>
      <c r="H160" s="400"/>
      <c r="I160" s="400"/>
      <c r="J160" s="400"/>
      <c r="K160" s="400"/>
      <c r="L160" s="400"/>
      <c r="M160" s="688"/>
      <c r="Q160" s="400"/>
      <c r="R160" s="688"/>
      <c r="S160" s="400"/>
      <c r="T160" s="400"/>
      <c r="U160" s="400"/>
      <c r="V160" s="400"/>
      <c r="W160" s="400"/>
      <c r="X160" s="400"/>
      <c r="Y160" s="400"/>
      <c r="Z160" s="400"/>
      <c r="AA160" s="400"/>
      <c r="AB160" s="400"/>
      <c r="AC160" s="400"/>
      <c r="AD160" s="400"/>
      <c r="AE160" s="400"/>
      <c r="AF160" s="400"/>
      <c r="AG160" s="400"/>
      <c r="AH160" s="400"/>
      <c r="AI160" s="400"/>
      <c r="AJ160" s="400"/>
      <c r="AK160" s="400"/>
      <c r="AL160" s="400"/>
      <c r="AM160" s="400"/>
      <c r="AN160" s="400"/>
      <c r="AO160" s="400"/>
      <c r="AP160" s="400"/>
    </row>
    <row r="161" spans="1:42" x14ac:dyDescent="0.2">
      <c r="A161" s="400"/>
      <c r="B161" s="400"/>
      <c r="C161" s="400"/>
      <c r="D161" s="400"/>
      <c r="E161" s="400"/>
      <c r="F161" s="400"/>
      <c r="G161" s="400"/>
      <c r="H161" s="400"/>
      <c r="I161" s="400"/>
      <c r="J161" s="400"/>
      <c r="K161" s="400"/>
      <c r="L161" s="400"/>
      <c r="M161" s="688"/>
      <c r="Q161" s="400"/>
      <c r="R161" s="688"/>
      <c r="S161" s="400"/>
      <c r="T161" s="400"/>
      <c r="U161" s="400"/>
      <c r="V161" s="400"/>
      <c r="W161" s="400"/>
      <c r="X161" s="400"/>
      <c r="Y161" s="400"/>
      <c r="Z161" s="400"/>
      <c r="AA161" s="400"/>
      <c r="AB161" s="400"/>
      <c r="AC161" s="400"/>
      <c r="AD161" s="400"/>
      <c r="AE161" s="400"/>
      <c r="AF161" s="400"/>
      <c r="AG161" s="400"/>
      <c r="AH161" s="400"/>
      <c r="AI161" s="400"/>
      <c r="AJ161" s="400"/>
      <c r="AK161" s="400"/>
      <c r="AL161" s="400"/>
      <c r="AM161" s="400"/>
      <c r="AN161" s="400"/>
      <c r="AO161" s="400"/>
      <c r="AP161" s="400"/>
    </row>
    <row r="162" spans="1:42" x14ac:dyDescent="0.2">
      <c r="A162" s="400"/>
      <c r="B162" s="400"/>
      <c r="C162" s="400"/>
      <c r="D162" s="400"/>
      <c r="E162" s="400"/>
      <c r="F162" s="400"/>
      <c r="G162" s="400"/>
      <c r="H162" s="400"/>
      <c r="I162" s="400"/>
      <c r="J162" s="400"/>
      <c r="K162" s="400"/>
      <c r="L162" s="400"/>
      <c r="M162" s="688"/>
      <c r="Q162" s="400"/>
      <c r="R162" s="688"/>
      <c r="S162" s="400"/>
      <c r="T162" s="400"/>
      <c r="U162" s="400"/>
      <c r="V162" s="400"/>
      <c r="W162" s="400"/>
      <c r="X162" s="400"/>
      <c r="Y162" s="400"/>
      <c r="Z162" s="400"/>
      <c r="AA162" s="400"/>
      <c r="AB162" s="400"/>
      <c r="AC162" s="400"/>
      <c r="AD162" s="400"/>
      <c r="AE162" s="400"/>
      <c r="AF162" s="400"/>
      <c r="AG162" s="400"/>
      <c r="AH162" s="400"/>
      <c r="AI162" s="400"/>
      <c r="AJ162" s="400"/>
      <c r="AK162" s="400"/>
      <c r="AL162" s="400"/>
      <c r="AM162" s="400"/>
      <c r="AN162" s="400"/>
      <c r="AO162" s="400"/>
      <c r="AP162" s="400"/>
    </row>
    <row r="163" spans="1:42" x14ac:dyDescent="0.2">
      <c r="A163" s="400"/>
      <c r="B163" s="400"/>
      <c r="C163" s="400"/>
      <c r="D163" s="400"/>
      <c r="E163" s="400"/>
      <c r="F163" s="400"/>
      <c r="G163" s="400"/>
      <c r="H163" s="400"/>
      <c r="I163" s="400"/>
      <c r="J163" s="400"/>
      <c r="K163" s="400"/>
      <c r="L163" s="400"/>
      <c r="M163" s="688"/>
      <c r="Q163" s="400"/>
      <c r="R163" s="688"/>
      <c r="S163" s="400"/>
      <c r="T163" s="400"/>
      <c r="U163" s="400"/>
      <c r="V163" s="400"/>
      <c r="W163" s="400"/>
      <c r="X163" s="400"/>
      <c r="Y163" s="400"/>
      <c r="Z163" s="400"/>
      <c r="AA163" s="400"/>
      <c r="AB163" s="400"/>
      <c r="AC163" s="400"/>
      <c r="AD163" s="400"/>
      <c r="AE163" s="400"/>
      <c r="AF163" s="400"/>
      <c r="AG163" s="400"/>
      <c r="AH163" s="400"/>
      <c r="AI163" s="400"/>
      <c r="AJ163" s="400"/>
      <c r="AK163" s="400"/>
      <c r="AL163" s="400"/>
      <c r="AM163" s="400"/>
      <c r="AN163" s="400"/>
      <c r="AO163" s="400"/>
      <c r="AP163" s="400"/>
    </row>
    <row r="164" spans="1:42" x14ac:dyDescent="0.2">
      <c r="A164" s="400"/>
      <c r="B164" s="400"/>
      <c r="C164" s="400"/>
      <c r="D164" s="400"/>
      <c r="E164" s="400"/>
      <c r="F164" s="400"/>
      <c r="G164" s="400"/>
      <c r="H164" s="400"/>
      <c r="I164" s="400"/>
      <c r="J164" s="400"/>
      <c r="K164" s="400"/>
      <c r="L164" s="400"/>
      <c r="M164" s="688"/>
      <c r="Q164" s="400"/>
      <c r="R164" s="688"/>
      <c r="S164" s="400"/>
      <c r="T164" s="400"/>
      <c r="U164" s="400"/>
      <c r="V164" s="400"/>
      <c r="W164" s="400"/>
      <c r="X164" s="400"/>
      <c r="Y164" s="400"/>
      <c r="Z164" s="400"/>
      <c r="AA164" s="400"/>
      <c r="AB164" s="400"/>
      <c r="AC164" s="400"/>
      <c r="AD164" s="400"/>
      <c r="AE164" s="400"/>
      <c r="AF164" s="400"/>
      <c r="AG164" s="400"/>
      <c r="AH164" s="400"/>
      <c r="AI164" s="400"/>
      <c r="AJ164" s="400"/>
      <c r="AK164" s="400"/>
      <c r="AL164" s="400"/>
      <c r="AM164" s="400"/>
      <c r="AN164" s="400"/>
      <c r="AO164" s="400"/>
      <c r="AP164" s="400"/>
    </row>
    <row r="165" spans="1:42" x14ac:dyDescent="0.2">
      <c r="A165" s="400"/>
      <c r="B165" s="400"/>
      <c r="C165" s="400"/>
      <c r="D165" s="400"/>
      <c r="E165" s="400"/>
      <c r="F165" s="400"/>
      <c r="G165" s="400"/>
      <c r="H165" s="400"/>
      <c r="I165" s="400"/>
      <c r="J165" s="400"/>
      <c r="K165" s="400"/>
      <c r="L165" s="400"/>
      <c r="M165" s="688"/>
      <c r="Q165" s="400"/>
      <c r="R165" s="688"/>
      <c r="S165" s="400"/>
      <c r="T165" s="400"/>
      <c r="U165" s="400"/>
      <c r="V165" s="400"/>
      <c r="W165" s="400"/>
      <c r="X165" s="400"/>
      <c r="Y165" s="400"/>
      <c r="Z165" s="400"/>
      <c r="AA165" s="400"/>
      <c r="AB165" s="400"/>
      <c r="AC165" s="400"/>
      <c r="AD165" s="400"/>
      <c r="AE165" s="400"/>
      <c r="AF165" s="400"/>
      <c r="AG165" s="400"/>
      <c r="AH165" s="400"/>
      <c r="AI165" s="400"/>
      <c r="AJ165" s="400"/>
      <c r="AK165" s="400"/>
      <c r="AL165" s="400"/>
      <c r="AM165" s="400"/>
      <c r="AN165" s="400"/>
      <c r="AO165" s="400"/>
      <c r="AP165" s="400"/>
    </row>
    <row r="166" spans="1:42" x14ac:dyDescent="0.2">
      <c r="A166" s="400"/>
      <c r="B166" s="400"/>
      <c r="C166" s="400"/>
      <c r="D166" s="400"/>
      <c r="E166" s="400"/>
      <c r="F166" s="400"/>
      <c r="G166" s="400"/>
      <c r="H166" s="400"/>
      <c r="I166" s="400"/>
      <c r="J166" s="400"/>
      <c r="K166" s="400"/>
      <c r="L166" s="400"/>
      <c r="M166" s="688"/>
      <c r="Q166" s="400"/>
      <c r="R166" s="688"/>
      <c r="S166" s="400"/>
      <c r="T166" s="400"/>
      <c r="U166" s="400"/>
      <c r="V166" s="400"/>
      <c r="W166" s="400"/>
      <c r="X166" s="400"/>
      <c r="Y166" s="400"/>
      <c r="Z166" s="400"/>
      <c r="AA166" s="400"/>
      <c r="AB166" s="400"/>
      <c r="AC166" s="400"/>
      <c r="AD166" s="400"/>
      <c r="AE166" s="400"/>
      <c r="AF166" s="400"/>
      <c r="AG166" s="400"/>
      <c r="AH166" s="400"/>
      <c r="AI166" s="400"/>
      <c r="AJ166" s="400"/>
      <c r="AK166" s="400"/>
      <c r="AL166" s="400"/>
      <c r="AM166" s="400"/>
      <c r="AN166" s="400"/>
      <c r="AO166" s="400"/>
      <c r="AP166" s="400"/>
    </row>
    <row r="167" spans="1:42" x14ac:dyDescent="0.2">
      <c r="A167" s="400"/>
      <c r="B167" s="400"/>
      <c r="C167" s="400"/>
      <c r="D167" s="400"/>
      <c r="E167" s="400"/>
      <c r="F167" s="400"/>
      <c r="G167" s="400"/>
      <c r="H167" s="400"/>
      <c r="I167" s="400"/>
      <c r="J167" s="400"/>
      <c r="K167" s="400"/>
      <c r="L167" s="400"/>
      <c r="M167" s="688"/>
      <c r="Q167" s="400"/>
      <c r="R167" s="688"/>
      <c r="S167" s="400"/>
      <c r="T167" s="400"/>
      <c r="U167" s="400"/>
      <c r="V167" s="400"/>
      <c r="W167" s="400"/>
      <c r="X167" s="400"/>
      <c r="Y167" s="400"/>
      <c r="Z167" s="400"/>
      <c r="AA167" s="400"/>
      <c r="AB167" s="400"/>
      <c r="AC167" s="400"/>
      <c r="AD167" s="400"/>
      <c r="AE167" s="400"/>
      <c r="AF167" s="400"/>
      <c r="AG167" s="400"/>
      <c r="AH167" s="400"/>
      <c r="AI167" s="400"/>
      <c r="AJ167" s="400"/>
      <c r="AK167" s="400"/>
      <c r="AL167" s="400"/>
      <c r="AM167" s="400"/>
      <c r="AN167" s="400"/>
      <c r="AO167" s="400"/>
      <c r="AP167" s="400"/>
    </row>
    <row r="168" spans="1:42" x14ac:dyDescent="0.2">
      <c r="A168" s="400"/>
      <c r="B168" s="400"/>
      <c r="C168" s="400"/>
      <c r="D168" s="400"/>
      <c r="E168" s="400"/>
      <c r="F168" s="400"/>
      <c r="G168" s="400"/>
      <c r="H168" s="400"/>
      <c r="I168" s="400"/>
      <c r="J168" s="400"/>
      <c r="K168" s="400"/>
      <c r="L168" s="400"/>
      <c r="M168" s="688"/>
      <c r="R168" s="688"/>
      <c r="S168" s="400"/>
      <c r="T168" s="400"/>
      <c r="U168" s="400"/>
      <c r="V168" s="400"/>
      <c r="W168" s="400"/>
      <c r="X168" s="400"/>
      <c r="Y168" s="400"/>
      <c r="Z168" s="400"/>
      <c r="AA168" s="400"/>
      <c r="AB168" s="400"/>
      <c r="AC168" s="400"/>
      <c r="AD168" s="400"/>
      <c r="AE168" s="400"/>
      <c r="AF168" s="400"/>
      <c r="AG168" s="400"/>
      <c r="AH168" s="400"/>
      <c r="AI168" s="400"/>
      <c r="AJ168" s="400"/>
      <c r="AK168" s="400"/>
      <c r="AL168" s="400"/>
      <c r="AM168" s="400"/>
      <c r="AN168" s="400"/>
      <c r="AO168" s="400"/>
      <c r="AP168" s="400"/>
    </row>
  </sheetData>
  <sheetProtection algorithmName="SHA-512" hashValue="gTfcMr+BbO/z3tFzNxUkHVOq2NMh/kLz8I28floUKhPBFNhFY4bbVe/mDXw4qJRzGbRdJUDRVZ8uGUXS5LZKng==" saltValue="W9CedYrbNNF1bzYsHRYW5g==" spinCount="100000" sheet="1" objects="1" scenarios="1"/>
  <mergeCells count="10">
    <mergeCell ref="F7:G7"/>
    <mergeCell ref="H7:I7"/>
    <mergeCell ref="A1:L1"/>
    <mergeCell ref="A2:L2"/>
    <mergeCell ref="A3:L3"/>
    <mergeCell ref="A4:L4"/>
    <mergeCell ref="B5:C6"/>
    <mergeCell ref="D5:E6"/>
    <mergeCell ref="F5:I6"/>
    <mergeCell ref="J5:L6"/>
  </mergeCells>
  <dataValidations count="2">
    <dataValidation type="whole" operator="lessThan" allowBlank="1" showInputMessage="1" showErrorMessage="1" sqref="A1:L1 A77 B77:B84 A3:B10 C3:L84" xr:uid="{8ACF6D7B-772E-467C-8D7B-7720475AAD72}">
      <formula1>-9999</formula1>
    </dataValidation>
    <dataValidation operator="lessThan" allowBlank="1" showInputMessage="1" showErrorMessage="1" sqref="A2:L2" xr:uid="{BDEAC657-8056-4CB1-8739-16BF8A0648A9}"/>
  </dataValidations>
  <printOptions horizontalCentered="1" verticalCentered="1"/>
  <pageMargins left="0.39370078740157483" right="0.39370078740157483" top="0.39370078740157483" bottom="0.19685039370078741" header="0.31496062992125984" footer="0.31496062992125984"/>
  <pageSetup paperSize="8" scale="57" orientation="portrait" blackAndWhite="1" r:id="rId1"/>
  <ignoredErrors>
    <ignoredError sqref="D32:H46 D48:H59 F60:F75 D60:D75 H60:H75 D47:F47 G18:H18 G19:H31 D18:F18 D19:F31 D11:F17 H11:H17"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8">
    <tabColor rgb="FFFFC000"/>
    <pageSetUpPr fitToPage="1"/>
  </sheetPr>
  <dimension ref="A1:AZ166"/>
  <sheetViews>
    <sheetView workbookViewId="0">
      <selection activeCell="M55" sqref="M55"/>
    </sheetView>
  </sheetViews>
  <sheetFormatPr baseColWidth="10" defaultRowHeight="12.75" outlineLevelRow="1" outlineLevelCol="1" x14ac:dyDescent="0.2"/>
  <cols>
    <col min="1" max="1" width="31.375" customWidth="1"/>
    <col min="2" max="2" width="28.625" customWidth="1"/>
    <col min="4" max="4" width="7.625" customWidth="1"/>
    <col min="5" max="5" width="14.125" hidden="1" customWidth="1" outlineLevel="1"/>
    <col min="6" max="6" width="11" collapsed="1"/>
  </cols>
  <sheetData>
    <row r="1" spans="1:52" ht="24" customHeight="1" x14ac:dyDescent="0.2">
      <c r="A1" s="439" t="str">
        <f>Stammblatt!A1</f>
        <v>Test</v>
      </c>
      <c r="B1" s="999"/>
      <c r="C1" s="153" t="str">
        <f>Stammblatt!F4</f>
        <v>Version 26.3</v>
      </c>
      <c r="D1" s="999"/>
      <c r="E1" s="301"/>
      <c r="F1" s="212"/>
      <c r="G1" s="212"/>
      <c r="H1" s="212"/>
      <c r="I1" s="212"/>
      <c r="J1" s="212"/>
      <c r="K1" s="212"/>
      <c r="L1" s="212"/>
      <c r="M1" s="212"/>
      <c r="N1" s="212"/>
      <c r="O1" s="212"/>
      <c r="P1" s="212"/>
      <c r="Q1" s="212"/>
      <c r="R1" s="212"/>
      <c r="S1" s="212"/>
      <c r="T1" s="212"/>
      <c r="U1" s="212"/>
      <c r="V1" s="212"/>
      <c r="W1" s="212"/>
      <c r="X1" s="212"/>
      <c r="Y1" s="212"/>
      <c r="Z1" s="212"/>
      <c r="AA1" s="212"/>
      <c r="AB1" s="448"/>
      <c r="AC1" s="448"/>
      <c r="AD1" s="448"/>
      <c r="AE1" s="448"/>
      <c r="AF1" s="448"/>
      <c r="AG1" s="448"/>
      <c r="AH1" s="448"/>
      <c r="AI1" s="448"/>
      <c r="AJ1" s="448"/>
      <c r="AK1" s="448"/>
      <c r="AL1" s="448"/>
      <c r="AM1" s="448"/>
      <c r="AN1" s="448"/>
      <c r="AO1" s="448"/>
      <c r="AP1" s="448"/>
      <c r="AQ1" s="448"/>
      <c r="AR1" s="448"/>
      <c r="AS1" s="448"/>
      <c r="AT1" s="448"/>
      <c r="AU1" s="448"/>
      <c r="AV1" s="448"/>
      <c r="AW1" s="448"/>
      <c r="AX1" s="448"/>
      <c r="AY1" s="448"/>
      <c r="AZ1" s="448"/>
    </row>
    <row r="2" spans="1:52" ht="15" customHeight="1" x14ac:dyDescent="0.2">
      <c r="A2" s="1000" t="s">
        <v>135</v>
      </c>
      <c r="B2" s="1001" t="str">
        <f>IF(Stammblatt!B11=0,"",Stammblatt!B11)</f>
        <v/>
      </c>
      <c r="C2" s="935"/>
      <c r="D2" s="935"/>
      <c r="E2" s="212"/>
      <c r="F2" s="212"/>
      <c r="G2" s="212"/>
      <c r="H2" s="212"/>
      <c r="I2" s="212"/>
      <c r="J2" s="212"/>
      <c r="K2" s="212"/>
      <c r="L2" s="212"/>
      <c r="M2" s="212"/>
      <c r="N2" s="212"/>
      <c r="O2" s="212"/>
      <c r="P2" s="212"/>
      <c r="Q2" s="212"/>
      <c r="R2" s="212"/>
      <c r="S2" s="212"/>
      <c r="T2" s="212"/>
      <c r="U2" s="212"/>
      <c r="V2" s="212"/>
      <c r="W2" s="212"/>
      <c r="X2" s="212"/>
      <c r="Y2" s="212"/>
      <c r="Z2" s="212"/>
      <c r="AA2" s="212"/>
      <c r="AB2" s="448"/>
      <c r="AC2" s="448"/>
      <c r="AD2" s="448"/>
      <c r="AE2" s="448"/>
      <c r="AF2" s="448"/>
      <c r="AG2" s="448"/>
      <c r="AH2" s="448"/>
      <c r="AI2" s="448"/>
      <c r="AJ2" s="448"/>
      <c r="AK2" s="448"/>
      <c r="AL2" s="448"/>
      <c r="AM2" s="448"/>
      <c r="AN2" s="448"/>
      <c r="AO2" s="448"/>
      <c r="AP2" s="448"/>
      <c r="AQ2" s="448"/>
      <c r="AR2" s="448"/>
      <c r="AS2" s="448"/>
      <c r="AT2" s="448"/>
      <c r="AU2" s="448"/>
      <c r="AV2" s="448"/>
      <c r="AW2" s="448"/>
      <c r="AX2" s="448"/>
      <c r="AY2" s="448"/>
      <c r="AZ2" s="448"/>
    </row>
    <row r="3" spans="1:52" ht="15" customHeight="1" x14ac:dyDescent="0.2">
      <c r="A3" s="1001"/>
      <c r="B3" s="1002"/>
      <c r="C3" s="935"/>
      <c r="D3" s="935"/>
      <c r="E3" s="212"/>
      <c r="F3" s="212"/>
      <c r="G3" s="212"/>
      <c r="H3" s="212"/>
      <c r="I3" s="212"/>
      <c r="J3" s="212"/>
      <c r="K3" s="212"/>
      <c r="L3" s="212"/>
      <c r="M3" s="212"/>
      <c r="N3" s="212"/>
      <c r="O3" s="212"/>
      <c r="P3" s="212"/>
      <c r="Q3" s="212"/>
      <c r="R3" s="212"/>
      <c r="S3" s="212"/>
      <c r="T3" s="212"/>
      <c r="U3" s="212"/>
      <c r="V3" s="212"/>
      <c r="W3" s="212"/>
      <c r="X3" s="212"/>
      <c r="Y3" s="212"/>
      <c r="Z3" s="212"/>
      <c r="AA3" s="212"/>
      <c r="AB3" s="448"/>
      <c r="AC3" s="448"/>
      <c r="AD3" s="448"/>
      <c r="AE3" s="448"/>
      <c r="AF3" s="448"/>
      <c r="AG3" s="448"/>
      <c r="AH3" s="448"/>
      <c r="AI3" s="448"/>
      <c r="AJ3" s="448"/>
      <c r="AK3" s="448"/>
      <c r="AL3" s="448"/>
      <c r="AM3" s="448"/>
      <c r="AN3" s="448"/>
      <c r="AO3" s="448"/>
      <c r="AP3" s="448"/>
      <c r="AQ3" s="448"/>
      <c r="AR3" s="448"/>
      <c r="AS3" s="448"/>
      <c r="AT3" s="448"/>
      <c r="AU3" s="448"/>
      <c r="AV3" s="448"/>
      <c r="AW3" s="448"/>
      <c r="AX3" s="448"/>
      <c r="AY3" s="448"/>
      <c r="AZ3" s="448"/>
    </row>
    <row r="4" spans="1:52" ht="15" customHeight="1" x14ac:dyDescent="0.2">
      <c r="A4" s="590" t="s">
        <v>834</v>
      </c>
      <c r="B4" s="935" t="s">
        <v>680</v>
      </c>
      <c r="C4" s="1003" t="s">
        <v>698</v>
      </c>
      <c r="D4" s="1004" t="s">
        <v>798</v>
      </c>
      <c r="E4" s="560" t="s">
        <v>699</v>
      </c>
      <c r="F4" s="212"/>
      <c r="G4" s="212"/>
      <c r="H4" s="212"/>
      <c r="I4" s="212"/>
      <c r="J4" s="212"/>
      <c r="K4" s="212"/>
      <c r="L4" s="212"/>
      <c r="M4" s="212"/>
      <c r="N4" s="212"/>
      <c r="O4" s="212"/>
      <c r="P4" s="212"/>
      <c r="Q4" s="212"/>
      <c r="R4" s="212"/>
      <c r="S4" s="212"/>
      <c r="T4" s="212"/>
      <c r="U4" s="212"/>
      <c r="V4" s="212"/>
      <c r="W4" s="212"/>
      <c r="X4" s="212"/>
      <c r="Y4" s="212"/>
      <c r="Z4" s="212"/>
      <c r="AA4" s="212"/>
      <c r="AB4" s="448"/>
      <c r="AC4" s="448"/>
      <c r="AD4" s="448"/>
      <c r="AE4" s="448"/>
      <c r="AF4" s="448"/>
      <c r="AG4" s="448"/>
      <c r="AH4" s="448"/>
      <c r="AI4" s="448"/>
      <c r="AJ4" s="448"/>
      <c r="AK4" s="448"/>
      <c r="AL4" s="448"/>
      <c r="AM4" s="448"/>
      <c r="AN4" s="448"/>
      <c r="AO4" s="448"/>
      <c r="AP4" s="448"/>
      <c r="AQ4" s="448"/>
      <c r="AR4" s="448"/>
      <c r="AS4" s="448"/>
      <c r="AT4" s="448"/>
      <c r="AU4" s="448"/>
      <c r="AV4" s="448"/>
      <c r="AW4" s="448"/>
      <c r="AX4" s="448"/>
      <c r="AY4" s="448"/>
      <c r="AZ4" s="448"/>
    </row>
    <row r="5" spans="1:52" ht="15" customHeight="1" x14ac:dyDescent="0.2">
      <c r="A5" s="590"/>
      <c r="B5" s="935"/>
      <c r="C5" s="1003"/>
      <c r="D5" s="1004"/>
      <c r="E5" s="560"/>
      <c r="F5" s="212"/>
      <c r="G5" s="212"/>
      <c r="H5" s="212"/>
      <c r="I5" s="212"/>
      <c r="J5" s="212"/>
      <c r="K5" s="212"/>
      <c r="L5" s="212"/>
      <c r="M5" s="212"/>
      <c r="N5" s="212"/>
      <c r="O5" s="212"/>
      <c r="P5" s="212"/>
      <c r="Q5" s="212"/>
      <c r="R5" s="212"/>
      <c r="S5" s="212"/>
      <c r="T5" s="212"/>
      <c r="U5" s="212"/>
      <c r="V5" s="212"/>
      <c r="W5" s="212"/>
      <c r="X5" s="212"/>
      <c r="Y5" s="212"/>
      <c r="Z5" s="212"/>
      <c r="AA5" s="212"/>
      <c r="AB5" s="448"/>
      <c r="AC5" s="448"/>
      <c r="AD5" s="448"/>
      <c r="AE5" s="448"/>
      <c r="AF5" s="448"/>
      <c r="AG5" s="448"/>
      <c r="AH5" s="448"/>
      <c r="AI5" s="448"/>
      <c r="AJ5" s="448"/>
      <c r="AK5" s="448"/>
      <c r="AL5" s="448"/>
      <c r="AM5" s="448"/>
      <c r="AN5" s="448"/>
      <c r="AO5" s="448"/>
      <c r="AP5" s="448"/>
      <c r="AQ5" s="448"/>
      <c r="AR5" s="448"/>
      <c r="AS5" s="448"/>
      <c r="AT5" s="448"/>
      <c r="AU5" s="448"/>
      <c r="AV5" s="448"/>
      <c r="AW5" s="448"/>
      <c r="AX5" s="448"/>
      <c r="AY5" s="448"/>
      <c r="AZ5" s="448"/>
    </row>
    <row r="6" spans="1:52" ht="15" customHeight="1" x14ac:dyDescent="0.2">
      <c r="A6" s="1005" t="s">
        <v>830</v>
      </c>
      <c r="B6" s="212"/>
      <c r="C6" s="560"/>
      <c r="D6" s="561"/>
      <c r="E6" s="560"/>
      <c r="F6" s="212"/>
      <c r="G6" s="212"/>
      <c r="H6" s="212"/>
      <c r="I6" s="212"/>
      <c r="J6" s="212"/>
      <c r="K6" s="212"/>
      <c r="L6" s="212"/>
      <c r="M6" s="212"/>
      <c r="N6" s="212"/>
      <c r="O6" s="212"/>
      <c r="P6" s="212"/>
      <c r="Q6" s="212"/>
      <c r="R6" s="212"/>
      <c r="S6" s="212"/>
      <c r="T6" s="212"/>
      <c r="U6" s="212"/>
      <c r="V6" s="212"/>
      <c r="W6" s="212"/>
      <c r="X6" s="212"/>
      <c r="Y6" s="212"/>
      <c r="Z6" s="212"/>
      <c r="AA6" s="212"/>
      <c r="AB6" s="448"/>
      <c r="AC6" s="448"/>
      <c r="AD6" s="448"/>
      <c r="AE6" s="448"/>
      <c r="AF6" s="448"/>
      <c r="AG6" s="448"/>
      <c r="AH6" s="448"/>
      <c r="AI6" s="448"/>
      <c r="AJ6" s="448"/>
      <c r="AK6" s="448"/>
      <c r="AL6" s="448"/>
      <c r="AM6" s="448"/>
      <c r="AN6" s="448"/>
      <c r="AO6" s="448"/>
      <c r="AP6" s="448"/>
      <c r="AQ6" s="448"/>
      <c r="AR6" s="448"/>
      <c r="AS6" s="448"/>
      <c r="AT6" s="448"/>
      <c r="AU6" s="448"/>
      <c r="AV6" s="448"/>
      <c r="AW6" s="448"/>
      <c r="AX6" s="448"/>
      <c r="AY6" s="448"/>
      <c r="AZ6" s="448"/>
    </row>
    <row r="7" spans="1:52" ht="15" customHeight="1" x14ac:dyDescent="0.2">
      <c r="A7" s="396" t="s">
        <v>148</v>
      </c>
      <c r="B7" s="32"/>
      <c r="C7" s="111">
        <v>0</v>
      </c>
      <c r="D7" s="563"/>
      <c r="E7" s="111">
        <v>0</v>
      </c>
      <c r="F7" s="212"/>
      <c r="G7" s="212"/>
      <c r="H7" s="212"/>
      <c r="I7" s="212"/>
      <c r="J7" s="212"/>
      <c r="K7" s="212"/>
      <c r="L7" s="212"/>
      <c r="M7" s="212"/>
      <c r="N7" s="212"/>
      <c r="O7" s="212"/>
      <c r="P7" s="212"/>
      <c r="Q7" s="212"/>
      <c r="R7" s="212"/>
      <c r="S7" s="212"/>
      <c r="T7" s="212"/>
      <c r="U7" s="212"/>
      <c r="V7" s="212"/>
      <c r="W7" s="212"/>
      <c r="X7" s="212"/>
      <c r="Y7" s="212"/>
      <c r="Z7" s="212"/>
      <c r="AA7" s="212"/>
      <c r="AB7" s="448"/>
      <c r="AC7" s="448"/>
      <c r="AD7" s="448"/>
      <c r="AE7" s="448"/>
      <c r="AF7" s="448"/>
      <c r="AG7" s="448"/>
      <c r="AH7" s="448"/>
      <c r="AI7" s="448"/>
      <c r="AJ7" s="448"/>
      <c r="AK7" s="448"/>
      <c r="AL7" s="448"/>
      <c r="AM7" s="448"/>
      <c r="AN7" s="448"/>
      <c r="AO7" s="448"/>
      <c r="AP7" s="448"/>
      <c r="AQ7" s="448"/>
      <c r="AR7" s="448"/>
      <c r="AS7" s="448"/>
      <c r="AT7" s="448"/>
      <c r="AU7" s="448"/>
      <c r="AV7" s="448"/>
      <c r="AW7" s="448"/>
      <c r="AX7" s="448"/>
      <c r="AY7" s="448"/>
      <c r="AZ7" s="448"/>
    </row>
    <row r="8" spans="1:52" ht="15" customHeight="1" x14ac:dyDescent="0.2">
      <c r="A8" s="396" t="s">
        <v>143</v>
      </c>
      <c r="B8" s="32"/>
      <c r="C8" s="111">
        <v>0</v>
      </c>
      <c r="D8" s="563"/>
      <c r="E8" s="111">
        <v>0</v>
      </c>
      <c r="F8" s="212"/>
      <c r="G8" s="212"/>
      <c r="H8" s="212"/>
      <c r="I8" s="212"/>
      <c r="J8" s="212"/>
      <c r="K8" s="212"/>
      <c r="L8" s="212"/>
      <c r="M8" s="212"/>
      <c r="N8" s="212"/>
      <c r="O8" s="212"/>
      <c r="P8" s="212"/>
      <c r="Q8" s="212"/>
      <c r="R8" s="212"/>
      <c r="S8" s="212"/>
      <c r="T8" s="212"/>
      <c r="U8" s="212"/>
      <c r="V8" s="212"/>
      <c r="W8" s="212"/>
      <c r="X8" s="212"/>
      <c r="Y8" s="212"/>
      <c r="Z8" s="212"/>
      <c r="AA8" s="212"/>
      <c r="AB8" s="448"/>
      <c r="AC8" s="448"/>
      <c r="AD8" s="448"/>
      <c r="AE8" s="448"/>
      <c r="AF8" s="448"/>
      <c r="AG8" s="448"/>
      <c r="AH8" s="448"/>
      <c r="AI8" s="448"/>
      <c r="AJ8" s="448"/>
      <c r="AK8" s="448"/>
      <c r="AL8" s="448"/>
      <c r="AM8" s="448"/>
      <c r="AN8" s="448"/>
      <c r="AO8" s="448"/>
      <c r="AP8" s="448"/>
      <c r="AQ8" s="448"/>
      <c r="AR8" s="448"/>
      <c r="AS8" s="448"/>
      <c r="AT8" s="448"/>
      <c r="AU8" s="448"/>
      <c r="AV8" s="448"/>
      <c r="AW8" s="448"/>
      <c r="AX8" s="448"/>
      <c r="AY8" s="448"/>
      <c r="AZ8" s="448"/>
    </row>
    <row r="9" spans="1:52" ht="15" customHeight="1" x14ac:dyDescent="0.2">
      <c r="A9" s="396" t="s">
        <v>180</v>
      </c>
      <c r="B9" s="32"/>
      <c r="C9" s="111">
        <v>0</v>
      </c>
      <c r="D9" s="563"/>
      <c r="E9" s="111"/>
      <c r="F9" s="212"/>
      <c r="G9" s="212"/>
      <c r="H9" s="212"/>
      <c r="I9" s="212"/>
      <c r="J9" s="212"/>
      <c r="K9" s="212"/>
      <c r="L9" s="212"/>
      <c r="M9" s="212"/>
      <c r="N9" s="212"/>
      <c r="O9" s="212"/>
      <c r="P9" s="212"/>
      <c r="Q9" s="212"/>
      <c r="R9" s="212"/>
      <c r="S9" s="212"/>
      <c r="T9" s="212"/>
      <c r="U9" s="212"/>
      <c r="V9" s="212"/>
      <c r="W9" s="212"/>
      <c r="X9" s="212"/>
      <c r="Y9" s="212"/>
      <c r="Z9" s="212"/>
      <c r="AA9" s="212"/>
      <c r="AB9" s="448"/>
      <c r="AC9" s="448"/>
      <c r="AD9" s="448"/>
      <c r="AE9" s="448"/>
      <c r="AF9" s="448"/>
      <c r="AG9" s="448"/>
      <c r="AH9" s="448"/>
      <c r="AI9" s="448"/>
      <c r="AJ9" s="448"/>
      <c r="AK9" s="448"/>
      <c r="AL9" s="448"/>
      <c r="AM9" s="448"/>
      <c r="AN9" s="448"/>
      <c r="AO9" s="448"/>
      <c r="AP9" s="448"/>
      <c r="AQ9" s="448"/>
      <c r="AR9" s="448"/>
      <c r="AS9" s="448"/>
      <c r="AT9" s="448"/>
      <c r="AU9" s="448"/>
      <c r="AV9" s="448"/>
      <c r="AW9" s="448"/>
      <c r="AX9" s="448"/>
      <c r="AY9" s="448"/>
      <c r="AZ9" s="448"/>
    </row>
    <row r="10" spans="1:52" ht="15" customHeight="1" x14ac:dyDescent="0.2">
      <c r="A10" s="32" t="s">
        <v>828</v>
      </c>
      <c r="B10" s="32"/>
      <c r="C10" s="111">
        <v>0</v>
      </c>
      <c r="D10" s="563"/>
      <c r="E10" s="111"/>
      <c r="F10" s="212"/>
      <c r="G10" s="212"/>
      <c r="H10" s="212"/>
      <c r="I10" s="212"/>
      <c r="J10" s="212"/>
      <c r="K10" s="212"/>
      <c r="L10" s="212"/>
      <c r="M10" s="212"/>
      <c r="N10" s="212"/>
      <c r="O10" s="212"/>
      <c r="P10" s="212"/>
      <c r="Q10" s="212"/>
      <c r="R10" s="212"/>
      <c r="S10" s="212"/>
      <c r="T10" s="212"/>
      <c r="U10" s="212"/>
      <c r="V10" s="212"/>
      <c r="W10" s="212"/>
      <c r="X10" s="212"/>
      <c r="Y10" s="212"/>
      <c r="Z10" s="212"/>
      <c r="AA10" s="212"/>
      <c r="AB10" s="448"/>
      <c r="AC10" s="448"/>
      <c r="AD10" s="448"/>
      <c r="AE10" s="448"/>
      <c r="AF10" s="448"/>
      <c r="AG10" s="448"/>
      <c r="AH10" s="448"/>
      <c r="AI10" s="448"/>
      <c r="AJ10" s="448"/>
      <c r="AK10" s="448"/>
      <c r="AL10" s="448"/>
      <c r="AM10" s="448"/>
      <c r="AN10" s="448"/>
      <c r="AO10" s="448"/>
      <c r="AP10" s="448"/>
      <c r="AQ10" s="448"/>
      <c r="AR10" s="448"/>
      <c r="AS10" s="448"/>
      <c r="AT10" s="448"/>
      <c r="AU10" s="448"/>
      <c r="AV10" s="448"/>
      <c r="AW10" s="448"/>
      <c r="AX10" s="448"/>
      <c r="AY10" s="448"/>
      <c r="AZ10" s="448"/>
    </row>
    <row r="11" spans="1:52" ht="15" customHeight="1" x14ac:dyDescent="0.2">
      <c r="A11" s="32" t="s">
        <v>828</v>
      </c>
      <c r="B11" s="32"/>
      <c r="C11" s="111">
        <v>0</v>
      </c>
      <c r="D11" s="563"/>
      <c r="E11" s="111"/>
      <c r="F11" s="212"/>
      <c r="G11" s="212"/>
      <c r="H11" s="212"/>
      <c r="I11" s="212"/>
      <c r="J11" s="212"/>
      <c r="K11" s="212"/>
      <c r="L11" s="212"/>
      <c r="M11" s="212"/>
      <c r="N11" s="212"/>
      <c r="O11" s="212"/>
      <c r="P11" s="212"/>
      <c r="Q11" s="212"/>
      <c r="R11" s="212"/>
      <c r="S11" s="212"/>
      <c r="T11" s="212"/>
      <c r="U11" s="212"/>
      <c r="V11" s="212"/>
      <c r="W11" s="212"/>
      <c r="X11" s="212"/>
      <c r="Y11" s="212"/>
      <c r="Z11" s="212"/>
      <c r="AA11" s="212"/>
      <c r="AB11" s="448"/>
      <c r="AC11" s="448"/>
      <c r="AD11" s="448"/>
      <c r="AE11" s="448"/>
      <c r="AF11" s="448"/>
      <c r="AG11" s="448"/>
      <c r="AH11" s="448"/>
      <c r="AI11" s="448"/>
      <c r="AJ11" s="448"/>
      <c r="AK11" s="448"/>
      <c r="AL11" s="448"/>
      <c r="AM11" s="448"/>
      <c r="AN11" s="448"/>
      <c r="AO11" s="448"/>
      <c r="AP11" s="448"/>
      <c r="AQ11" s="448"/>
      <c r="AR11" s="448"/>
      <c r="AS11" s="448"/>
      <c r="AT11" s="448"/>
      <c r="AU11" s="448"/>
      <c r="AV11" s="448"/>
      <c r="AW11" s="448"/>
      <c r="AX11" s="448"/>
      <c r="AY11" s="448"/>
      <c r="AZ11" s="448"/>
    </row>
    <row r="12" spans="1:52" ht="15" customHeight="1" x14ac:dyDescent="0.2">
      <c r="A12" s="396" t="s">
        <v>829</v>
      </c>
      <c r="B12" s="32"/>
      <c r="C12" s="111">
        <v>0</v>
      </c>
      <c r="D12" s="563"/>
      <c r="E12" s="111">
        <v>0</v>
      </c>
      <c r="F12" s="212"/>
      <c r="G12" s="212"/>
      <c r="H12" s="212"/>
      <c r="I12" s="212"/>
      <c r="J12" s="212"/>
      <c r="K12" s="212"/>
      <c r="L12" s="212"/>
      <c r="M12" s="212"/>
      <c r="N12" s="212"/>
      <c r="O12" s="212"/>
      <c r="P12" s="212"/>
      <c r="Q12" s="212"/>
      <c r="R12" s="212"/>
      <c r="S12" s="212"/>
      <c r="T12" s="212"/>
      <c r="U12" s="212"/>
      <c r="V12" s="212"/>
      <c r="W12" s="212"/>
      <c r="X12" s="212"/>
      <c r="Y12" s="212"/>
      <c r="Z12" s="212"/>
      <c r="AA12" s="212"/>
      <c r="AB12" s="448"/>
      <c r="AC12" s="448"/>
      <c r="AD12" s="448"/>
      <c r="AE12" s="448"/>
      <c r="AF12" s="448"/>
      <c r="AG12" s="448"/>
      <c r="AH12" s="448"/>
      <c r="AI12" s="448"/>
      <c r="AJ12" s="448"/>
      <c r="AK12" s="448"/>
      <c r="AL12" s="448"/>
      <c r="AM12" s="448"/>
      <c r="AN12" s="448"/>
      <c r="AO12" s="448"/>
      <c r="AP12" s="448"/>
      <c r="AQ12" s="448"/>
      <c r="AR12" s="448"/>
      <c r="AS12" s="448"/>
      <c r="AT12" s="448"/>
      <c r="AU12" s="448"/>
      <c r="AV12" s="448"/>
      <c r="AW12" s="448"/>
      <c r="AX12" s="448"/>
      <c r="AY12" s="448"/>
      <c r="AZ12" s="448"/>
    </row>
    <row r="13" spans="1:52" ht="15" customHeight="1" x14ac:dyDescent="0.2">
      <c r="A13" s="304"/>
      <c r="B13" s="563"/>
      <c r="C13" s="563"/>
      <c r="D13" s="563"/>
      <c r="E13" s="574"/>
      <c r="F13" s="212"/>
      <c r="G13" s="212"/>
      <c r="H13" s="212"/>
      <c r="I13" s="212"/>
      <c r="J13" s="212"/>
      <c r="K13" s="212"/>
      <c r="L13" s="212"/>
      <c r="M13" s="212"/>
      <c r="N13" s="212"/>
      <c r="O13" s="212"/>
      <c r="P13" s="212"/>
      <c r="Q13" s="212"/>
      <c r="R13" s="212"/>
      <c r="S13" s="212"/>
      <c r="T13" s="212"/>
      <c r="U13" s="212"/>
      <c r="V13" s="212"/>
      <c r="W13" s="212"/>
      <c r="X13" s="212"/>
      <c r="Y13" s="212"/>
      <c r="Z13" s="212"/>
      <c r="AA13" s="212"/>
      <c r="AB13" s="448"/>
      <c r="AC13" s="448"/>
      <c r="AD13" s="448"/>
      <c r="AE13" s="448"/>
      <c r="AF13" s="448"/>
      <c r="AG13" s="448"/>
      <c r="AH13" s="448"/>
      <c r="AI13" s="448"/>
      <c r="AJ13" s="448"/>
      <c r="AK13" s="448"/>
      <c r="AL13" s="448"/>
      <c r="AM13" s="448"/>
      <c r="AN13" s="448"/>
      <c r="AO13" s="448"/>
      <c r="AP13" s="448"/>
      <c r="AQ13" s="448"/>
      <c r="AR13" s="448"/>
      <c r="AS13" s="448"/>
      <c r="AT13" s="448"/>
      <c r="AU13" s="448"/>
      <c r="AV13" s="448"/>
      <c r="AW13" s="448"/>
      <c r="AX13" s="448"/>
      <c r="AY13" s="448"/>
      <c r="AZ13" s="448"/>
    </row>
    <row r="14" spans="1:52" ht="15" customHeight="1" x14ac:dyDescent="0.2">
      <c r="A14" s="1005" t="s">
        <v>831</v>
      </c>
      <c r="B14" s="563"/>
      <c r="C14" s="563"/>
      <c r="D14" s="563"/>
      <c r="E14" s="574"/>
      <c r="F14" s="212"/>
      <c r="G14" s="212"/>
      <c r="H14" s="212"/>
      <c r="I14" s="212"/>
      <c r="J14" s="212"/>
      <c r="K14" s="212"/>
      <c r="L14" s="212"/>
      <c r="M14" s="212"/>
      <c r="N14" s="212"/>
      <c r="O14" s="212"/>
      <c r="P14" s="212"/>
      <c r="Q14" s="212"/>
      <c r="R14" s="212"/>
      <c r="S14" s="212"/>
      <c r="T14" s="212"/>
      <c r="U14" s="212"/>
      <c r="V14" s="212"/>
      <c r="W14" s="212"/>
      <c r="X14" s="212"/>
      <c r="Y14" s="212"/>
      <c r="Z14" s="212"/>
      <c r="AA14" s="212"/>
      <c r="AB14" s="448"/>
      <c r="AC14" s="448"/>
      <c r="AD14" s="448"/>
      <c r="AE14" s="448"/>
      <c r="AF14" s="448"/>
      <c r="AG14" s="448"/>
      <c r="AH14" s="448"/>
      <c r="AI14" s="448"/>
      <c r="AJ14" s="448"/>
      <c r="AK14" s="448"/>
      <c r="AL14" s="448"/>
      <c r="AM14" s="448"/>
      <c r="AN14" s="448"/>
      <c r="AO14" s="448"/>
      <c r="AP14" s="448"/>
      <c r="AQ14" s="448"/>
      <c r="AR14" s="448"/>
      <c r="AS14" s="448"/>
      <c r="AT14" s="448"/>
      <c r="AU14" s="448"/>
      <c r="AV14" s="448"/>
      <c r="AW14" s="448"/>
      <c r="AX14" s="448"/>
      <c r="AY14" s="448"/>
      <c r="AZ14" s="448"/>
    </row>
    <row r="15" spans="1:52" ht="15" customHeight="1" x14ac:dyDescent="0.2">
      <c r="A15" s="32" t="s">
        <v>799</v>
      </c>
      <c r="B15" s="32"/>
      <c r="C15" s="111">
        <v>0</v>
      </c>
      <c r="D15" s="563"/>
      <c r="E15" s="574"/>
      <c r="F15" s="212"/>
      <c r="G15" s="212"/>
      <c r="H15" s="212"/>
      <c r="I15" s="212"/>
      <c r="J15" s="212"/>
      <c r="K15" s="212"/>
      <c r="L15" s="212"/>
      <c r="M15" s="212"/>
      <c r="N15" s="212"/>
      <c r="O15" s="212"/>
      <c r="P15" s="212"/>
      <c r="Q15" s="212"/>
      <c r="R15" s="212"/>
      <c r="S15" s="212"/>
      <c r="T15" s="212"/>
      <c r="U15" s="212"/>
      <c r="V15" s="212"/>
      <c r="W15" s="212"/>
      <c r="X15" s="212"/>
      <c r="Y15" s="212"/>
      <c r="Z15" s="212"/>
      <c r="AA15" s="212"/>
      <c r="AB15" s="448"/>
      <c r="AC15" s="448"/>
      <c r="AD15" s="448"/>
      <c r="AE15" s="448"/>
      <c r="AF15" s="448"/>
      <c r="AG15" s="448"/>
      <c r="AH15" s="448"/>
      <c r="AI15" s="448"/>
      <c r="AJ15" s="448"/>
      <c r="AK15" s="448"/>
      <c r="AL15" s="448"/>
      <c r="AM15" s="448"/>
      <c r="AN15" s="448"/>
      <c r="AO15" s="448"/>
      <c r="AP15" s="448"/>
      <c r="AQ15" s="448"/>
      <c r="AR15" s="448"/>
      <c r="AS15" s="448"/>
      <c r="AT15" s="448"/>
      <c r="AU15" s="448"/>
      <c r="AV15" s="448"/>
      <c r="AW15" s="448"/>
      <c r="AX15" s="448"/>
      <c r="AY15" s="448"/>
      <c r="AZ15" s="448"/>
    </row>
    <row r="16" spans="1:52" ht="15" customHeight="1" x14ac:dyDescent="0.2">
      <c r="A16" s="32" t="s">
        <v>832</v>
      </c>
      <c r="B16" s="32"/>
      <c r="C16" s="111">
        <v>0</v>
      </c>
      <c r="D16" s="563"/>
      <c r="E16" s="574"/>
      <c r="F16" s="212"/>
      <c r="G16" s="212"/>
      <c r="H16" s="212"/>
      <c r="I16" s="212"/>
      <c r="J16" s="212"/>
      <c r="K16" s="212"/>
      <c r="L16" s="212"/>
      <c r="M16" s="212"/>
      <c r="N16" s="212"/>
      <c r="O16" s="212"/>
      <c r="P16" s="212"/>
      <c r="Q16" s="212"/>
      <c r="R16" s="212"/>
      <c r="S16" s="212"/>
      <c r="T16" s="212"/>
      <c r="U16" s="212"/>
      <c r="V16" s="212"/>
      <c r="W16" s="212"/>
      <c r="X16" s="212"/>
      <c r="Y16" s="212"/>
      <c r="Z16" s="212"/>
      <c r="AA16" s="212"/>
      <c r="AB16" s="448"/>
      <c r="AC16" s="448"/>
      <c r="AD16" s="448"/>
      <c r="AE16" s="448"/>
      <c r="AF16" s="448"/>
      <c r="AG16" s="448"/>
      <c r="AH16" s="448"/>
      <c r="AI16" s="448"/>
      <c r="AJ16" s="448"/>
      <c r="AK16" s="448"/>
      <c r="AL16" s="448"/>
      <c r="AM16" s="448"/>
      <c r="AN16" s="448"/>
      <c r="AO16" s="448"/>
      <c r="AP16" s="448"/>
      <c r="AQ16" s="448"/>
      <c r="AR16" s="448"/>
      <c r="AS16" s="448"/>
      <c r="AT16" s="448"/>
      <c r="AU16" s="448"/>
      <c r="AV16" s="448"/>
      <c r="AW16" s="448"/>
      <c r="AX16" s="448"/>
      <c r="AY16" s="448"/>
      <c r="AZ16" s="448"/>
    </row>
    <row r="17" spans="1:52" ht="15" customHeight="1" x14ac:dyDescent="0.2">
      <c r="A17" s="32" t="s">
        <v>833</v>
      </c>
      <c r="B17" s="32"/>
      <c r="C17" s="111">
        <v>0</v>
      </c>
      <c r="D17" s="563"/>
      <c r="E17" s="574"/>
      <c r="F17" s="212"/>
      <c r="G17" s="212"/>
      <c r="H17" s="212"/>
      <c r="I17" s="212"/>
      <c r="J17" s="212"/>
      <c r="K17" s="212"/>
      <c r="L17" s="212"/>
      <c r="M17" s="212"/>
      <c r="N17" s="212"/>
      <c r="O17" s="212"/>
      <c r="P17" s="212"/>
      <c r="Q17" s="212"/>
      <c r="R17" s="212"/>
      <c r="S17" s="212"/>
      <c r="T17" s="212"/>
      <c r="U17" s="212"/>
      <c r="V17" s="212"/>
      <c r="W17" s="212"/>
      <c r="X17" s="212"/>
      <c r="Y17" s="212"/>
      <c r="Z17" s="212"/>
      <c r="AA17" s="212"/>
      <c r="AB17" s="448"/>
      <c r="AC17" s="448"/>
      <c r="AD17" s="448"/>
      <c r="AE17" s="448"/>
      <c r="AF17" s="448"/>
      <c r="AG17" s="448"/>
      <c r="AH17" s="448"/>
      <c r="AI17" s="448"/>
      <c r="AJ17" s="448"/>
      <c r="AK17" s="448"/>
      <c r="AL17" s="448"/>
      <c r="AM17" s="448"/>
      <c r="AN17" s="448"/>
      <c r="AO17" s="448"/>
      <c r="AP17" s="448"/>
      <c r="AQ17" s="448"/>
      <c r="AR17" s="448"/>
      <c r="AS17" s="448"/>
      <c r="AT17" s="448"/>
      <c r="AU17" s="448"/>
      <c r="AV17" s="448"/>
      <c r="AW17" s="448"/>
      <c r="AX17" s="448"/>
      <c r="AY17" s="448"/>
      <c r="AZ17" s="448"/>
    </row>
    <row r="18" spans="1:52" ht="15" customHeight="1" x14ac:dyDescent="0.2">
      <c r="A18" s="212"/>
      <c r="B18" s="212"/>
      <c r="C18" s="562"/>
      <c r="D18" s="563"/>
      <c r="E18" s="574"/>
      <c r="F18" s="212"/>
      <c r="G18" s="212"/>
      <c r="H18" s="212"/>
      <c r="I18" s="212"/>
      <c r="J18" s="212"/>
      <c r="K18" s="212"/>
      <c r="L18" s="212"/>
      <c r="M18" s="212"/>
      <c r="N18" s="212"/>
      <c r="O18" s="212"/>
      <c r="P18" s="212"/>
      <c r="Q18" s="212"/>
      <c r="R18" s="212"/>
      <c r="S18" s="212"/>
      <c r="T18" s="212"/>
      <c r="U18" s="212"/>
      <c r="V18" s="212"/>
      <c r="W18" s="212"/>
      <c r="X18" s="212"/>
      <c r="Y18" s="212"/>
      <c r="Z18" s="212"/>
      <c r="AA18" s="212"/>
      <c r="AB18" s="448"/>
      <c r="AC18" s="448"/>
      <c r="AD18" s="448"/>
      <c r="AE18" s="448"/>
      <c r="AF18" s="448"/>
      <c r="AG18" s="448"/>
      <c r="AH18" s="448"/>
      <c r="AI18" s="448"/>
      <c r="AJ18" s="448"/>
      <c r="AK18" s="448"/>
      <c r="AL18" s="448"/>
      <c r="AM18" s="448"/>
      <c r="AN18" s="448"/>
      <c r="AO18" s="448"/>
      <c r="AP18" s="448"/>
      <c r="AQ18" s="448"/>
      <c r="AR18" s="448"/>
      <c r="AS18" s="448"/>
      <c r="AT18" s="448"/>
      <c r="AU18" s="448"/>
      <c r="AV18" s="448"/>
      <c r="AW18" s="448"/>
      <c r="AX18" s="448"/>
      <c r="AY18" s="448"/>
      <c r="AZ18" s="448"/>
    </row>
    <row r="19" spans="1:52" ht="15" customHeight="1" x14ac:dyDescent="0.2">
      <c r="A19" s="590" t="s">
        <v>835</v>
      </c>
      <c r="B19" s="212"/>
      <c r="C19" s="562"/>
      <c r="D19" s="563"/>
      <c r="E19" s="562"/>
      <c r="F19" s="212"/>
      <c r="G19" s="212"/>
      <c r="H19" s="212"/>
      <c r="I19" s="212"/>
      <c r="J19" s="212"/>
      <c r="K19" s="212"/>
      <c r="L19" s="212"/>
      <c r="M19" s="212"/>
      <c r="N19" s="212"/>
      <c r="O19" s="212"/>
      <c r="P19" s="212"/>
      <c r="Q19" s="212"/>
      <c r="R19" s="212"/>
      <c r="S19" s="212"/>
      <c r="T19" s="212"/>
      <c r="U19" s="212"/>
      <c r="V19" s="212"/>
      <c r="W19" s="212"/>
      <c r="X19" s="212"/>
      <c r="Y19" s="212"/>
      <c r="Z19" s="212"/>
      <c r="AA19" s="212"/>
      <c r="AB19" s="448"/>
      <c r="AC19" s="448"/>
      <c r="AD19" s="448"/>
      <c r="AE19" s="448"/>
      <c r="AF19" s="448"/>
      <c r="AG19" s="448"/>
      <c r="AH19" s="448"/>
      <c r="AI19" s="448"/>
      <c r="AJ19" s="448"/>
      <c r="AK19" s="448"/>
      <c r="AL19" s="448"/>
      <c r="AM19" s="448"/>
      <c r="AN19" s="448"/>
      <c r="AO19" s="448"/>
      <c r="AP19" s="448"/>
      <c r="AQ19" s="448"/>
      <c r="AR19" s="448"/>
      <c r="AS19" s="448"/>
      <c r="AT19" s="448"/>
      <c r="AU19" s="448"/>
      <c r="AV19" s="448"/>
      <c r="AW19" s="448"/>
      <c r="AX19" s="448"/>
      <c r="AY19" s="448"/>
      <c r="AZ19" s="448"/>
    </row>
    <row r="20" spans="1:52" ht="15" customHeight="1" x14ac:dyDescent="0.2">
      <c r="A20" s="1005" t="s">
        <v>691</v>
      </c>
      <c r="B20" s="212"/>
      <c r="C20" s="562"/>
      <c r="D20" s="563"/>
      <c r="E20" s="562"/>
      <c r="F20" s="212"/>
      <c r="G20" s="212"/>
      <c r="H20" s="212"/>
      <c r="I20" s="212"/>
      <c r="J20" s="212"/>
      <c r="K20" s="212"/>
      <c r="L20" s="212"/>
      <c r="M20" s="212"/>
      <c r="N20" s="212"/>
      <c r="O20" s="212"/>
      <c r="P20" s="212"/>
      <c r="Q20" s="212"/>
      <c r="R20" s="212"/>
      <c r="S20" s="212"/>
      <c r="T20" s="212"/>
      <c r="U20" s="212"/>
      <c r="V20" s="212"/>
      <c r="W20" s="212"/>
      <c r="X20" s="212"/>
      <c r="Y20" s="212"/>
      <c r="Z20" s="212"/>
      <c r="AA20" s="212"/>
      <c r="AB20" s="448"/>
      <c r="AC20" s="448"/>
      <c r="AD20" s="448"/>
      <c r="AE20" s="448"/>
      <c r="AF20" s="448"/>
      <c r="AG20" s="448"/>
      <c r="AH20" s="448"/>
      <c r="AI20" s="448"/>
      <c r="AJ20" s="448"/>
      <c r="AK20" s="448"/>
      <c r="AL20" s="448"/>
      <c r="AM20" s="448"/>
      <c r="AN20" s="448"/>
      <c r="AO20" s="448"/>
      <c r="AP20" s="448"/>
      <c r="AQ20" s="448"/>
      <c r="AR20" s="448"/>
      <c r="AS20" s="448"/>
      <c r="AT20" s="448"/>
      <c r="AU20" s="448"/>
      <c r="AV20" s="448"/>
      <c r="AW20" s="448"/>
      <c r="AX20" s="448"/>
      <c r="AY20" s="448"/>
      <c r="AZ20" s="448"/>
    </row>
    <row r="21" spans="1:52" ht="15" customHeight="1" x14ac:dyDescent="0.2">
      <c r="A21" s="1006" t="s">
        <v>35</v>
      </c>
      <c r="B21" s="32"/>
      <c r="C21" s="570">
        <f>IF('Kalkulation Herstellungskosten'!AV17=TRUE,'Kalkulation Herstellungskosten'!F17,0)</f>
        <v>0</v>
      </c>
      <c r="D21" s="563"/>
      <c r="E21" s="111">
        <v>0</v>
      </c>
      <c r="F21" s="212"/>
      <c r="G21" s="212"/>
      <c r="H21" s="212"/>
      <c r="I21" s="212"/>
      <c r="J21" s="212"/>
      <c r="K21" s="212"/>
      <c r="L21" s="212"/>
      <c r="M21" s="212"/>
      <c r="N21" s="212"/>
      <c r="O21" s="212"/>
      <c r="P21" s="212"/>
      <c r="Q21" s="212"/>
      <c r="R21" s="212"/>
      <c r="S21" s="212"/>
      <c r="T21" s="212"/>
      <c r="U21" s="212"/>
      <c r="V21" s="212"/>
      <c r="W21" s="212"/>
      <c r="X21" s="212"/>
      <c r="Y21" s="212"/>
      <c r="Z21" s="212"/>
      <c r="AA21" s="212"/>
      <c r="AB21" s="448"/>
      <c r="AC21" s="448"/>
      <c r="AD21" s="448"/>
      <c r="AE21" s="448"/>
      <c r="AF21" s="448"/>
      <c r="AG21" s="448"/>
      <c r="AH21" s="448"/>
      <c r="AI21" s="448"/>
      <c r="AJ21" s="448"/>
      <c r="AK21" s="448"/>
      <c r="AL21" s="448"/>
      <c r="AM21" s="448"/>
      <c r="AN21" s="448"/>
      <c r="AO21" s="448"/>
      <c r="AP21" s="448"/>
      <c r="AQ21" s="448"/>
      <c r="AR21" s="448"/>
      <c r="AS21" s="448"/>
      <c r="AT21" s="448"/>
      <c r="AU21" s="448"/>
      <c r="AV21" s="448"/>
      <c r="AW21" s="448"/>
      <c r="AX21" s="448"/>
      <c r="AY21" s="448"/>
      <c r="AZ21" s="448"/>
    </row>
    <row r="22" spans="1:52" ht="15" customHeight="1" x14ac:dyDescent="0.2">
      <c r="A22" s="32" t="s">
        <v>639</v>
      </c>
      <c r="B22" s="32"/>
      <c r="C22" s="111">
        <v>0</v>
      </c>
      <c r="D22" s="563"/>
      <c r="E22" s="111">
        <v>0</v>
      </c>
      <c r="F22" s="212"/>
      <c r="G22" s="212"/>
      <c r="H22" s="212"/>
      <c r="I22" s="212"/>
      <c r="J22" s="212"/>
      <c r="K22" s="212"/>
      <c r="L22" s="212"/>
      <c r="M22" s="212"/>
      <c r="N22" s="212"/>
      <c r="O22" s="212"/>
      <c r="P22" s="212"/>
      <c r="Q22" s="212"/>
      <c r="R22" s="212"/>
      <c r="S22" s="212"/>
      <c r="T22" s="212"/>
      <c r="U22" s="212"/>
      <c r="V22" s="212"/>
      <c r="W22" s="212"/>
      <c r="X22" s="212"/>
      <c r="Y22" s="212"/>
      <c r="Z22" s="212"/>
      <c r="AA22" s="212"/>
      <c r="AB22" s="448"/>
      <c r="AC22" s="448"/>
      <c r="AD22" s="448"/>
      <c r="AE22" s="448"/>
      <c r="AF22" s="448"/>
      <c r="AG22" s="448"/>
      <c r="AH22" s="448"/>
      <c r="AI22" s="448"/>
      <c r="AJ22" s="448"/>
      <c r="AK22" s="448"/>
      <c r="AL22" s="448"/>
      <c r="AM22" s="448"/>
      <c r="AN22" s="448"/>
      <c r="AO22" s="448"/>
      <c r="AP22" s="448"/>
      <c r="AQ22" s="448"/>
      <c r="AR22" s="448"/>
      <c r="AS22" s="448"/>
      <c r="AT22" s="448"/>
      <c r="AU22" s="448"/>
      <c r="AV22" s="448"/>
      <c r="AW22" s="448"/>
      <c r="AX22" s="448"/>
      <c r="AY22" s="448"/>
      <c r="AZ22" s="448"/>
    </row>
    <row r="23" spans="1:52" ht="15" customHeight="1" x14ac:dyDescent="0.2">
      <c r="A23" s="308"/>
      <c r="B23" s="308"/>
      <c r="C23" s="651"/>
      <c r="D23" s="563"/>
      <c r="E23" s="565"/>
      <c r="F23" s="212"/>
      <c r="G23" s="212"/>
      <c r="H23" s="212"/>
      <c r="I23" s="212"/>
      <c r="J23" s="212"/>
      <c r="K23" s="212"/>
      <c r="L23" s="212"/>
      <c r="M23" s="212"/>
      <c r="N23" s="212"/>
      <c r="O23" s="212"/>
      <c r="P23" s="212"/>
      <c r="Q23" s="212"/>
      <c r="R23" s="212"/>
      <c r="S23" s="212"/>
      <c r="T23" s="212"/>
      <c r="U23" s="212"/>
      <c r="V23" s="212"/>
      <c r="W23" s="212"/>
      <c r="X23" s="212"/>
      <c r="Y23" s="212"/>
      <c r="Z23" s="212"/>
      <c r="AA23" s="212"/>
      <c r="AB23" s="448"/>
      <c r="AC23" s="448"/>
      <c r="AD23" s="448"/>
      <c r="AE23" s="448"/>
      <c r="AF23" s="448"/>
      <c r="AG23" s="448"/>
      <c r="AH23" s="448"/>
      <c r="AI23" s="448"/>
      <c r="AJ23" s="448"/>
      <c r="AK23" s="448"/>
      <c r="AL23" s="448"/>
      <c r="AM23" s="448"/>
      <c r="AN23" s="448"/>
      <c r="AO23" s="448"/>
      <c r="AP23" s="448"/>
      <c r="AQ23" s="448"/>
      <c r="AR23" s="448"/>
      <c r="AS23" s="448"/>
      <c r="AT23" s="448"/>
      <c r="AU23" s="448"/>
      <c r="AV23" s="448"/>
      <c r="AW23" s="448"/>
      <c r="AX23" s="448"/>
      <c r="AY23" s="448"/>
      <c r="AZ23" s="448"/>
    </row>
    <row r="24" spans="1:52" ht="15" customHeight="1" x14ac:dyDescent="0.2">
      <c r="A24" s="1005" t="s">
        <v>830</v>
      </c>
      <c r="B24" s="935" t="s">
        <v>680</v>
      </c>
      <c r="C24" s="571"/>
      <c r="D24" s="563"/>
      <c r="E24" s="562"/>
      <c r="F24" s="212"/>
      <c r="G24" s="212"/>
      <c r="H24" s="212"/>
      <c r="I24" s="212"/>
      <c r="J24" s="212"/>
      <c r="K24" s="212"/>
      <c r="L24" s="212"/>
      <c r="M24" s="212"/>
      <c r="N24" s="212"/>
      <c r="O24" s="212"/>
      <c r="P24" s="212"/>
      <c r="Q24" s="212"/>
      <c r="R24" s="212"/>
      <c r="S24" s="212"/>
      <c r="T24" s="212"/>
      <c r="U24" s="212"/>
      <c r="V24" s="212"/>
      <c r="W24" s="212"/>
      <c r="X24" s="212"/>
      <c r="Y24" s="212"/>
      <c r="Z24" s="212"/>
      <c r="AA24" s="212"/>
      <c r="AB24" s="448"/>
      <c r="AC24" s="448"/>
      <c r="AD24" s="448"/>
      <c r="AE24" s="448"/>
      <c r="AF24" s="448"/>
      <c r="AG24" s="448"/>
      <c r="AH24" s="448"/>
      <c r="AI24" s="448"/>
      <c r="AJ24" s="448"/>
      <c r="AK24" s="448"/>
      <c r="AL24" s="448"/>
      <c r="AM24" s="448"/>
      <c r="AN24" s="448"/>
      <c r="AO24" s="448"/>
      <c r="AP24" s="448"/>
      <c r="AQ24" s="448"/>
      <c r="AR24" s="448"/>
      <c r="AS24" s="448"/>
      <c r="AT24" s="448"/>
      <c r="AU24" s="448"/>
      <c r="AV24" s="448"/>
      <c r="AW24" s="448"/>
      <c r="AX24" s="448"/>
      <c r="AY24" s="448"/>
      <c r="AZ24" s="448"/>
    </row>
    <row r="25" spans="1:52" ht="15" customHeight="1" x14ac:dyDescent="0.2">
      <c r="A25" s="1006" t="s">
        <v>142</v>
      </c>
      <c r="B25" s="32"/>
      <c r="C25" s="570">
        <f>IF('Kalkulation Herstellungskosten'!AV55=TRUE,'Kalkulation Herstellungskosten'!F55,0)</f>
        <v>0</v>
      </c>
      <c r="D25" s="564">
        <f>IF(C25&gt;0,Stab_Ö_Lohnnebenkosten!W16,0)</f>
        <v>0</v>
      </c>
      <c r="E25" s="111">
        <v>0</v>
      </c>
      <c r="F25" s="212"/>
      <c r="G25" s="212"/>
      <c r="H25" s="212"/>
      <c r="I25" s="212"/>
      <c r="J25" s="212"/>
      <c r="K25" s="212"/>
      <c r="L25" s="212"/>
      <c r="M25" s="212"/>
      <c r="N25" s="212"/>
      <c r="O25" s="212"/>
      <c r="P25" s="212"/>
      <c r="Q25" s="212"/>
      <c r="R25" s="212"/>
      <c r="S25" s="212"/>
      <c r="T25" s="212"/>
      <c r="U25" s="212"/>
      <c r="V25" s="212"/>
      <c r="W25" s="212"/>
      <c r="X25" s="212"/>
      <c r="Y25" s="212"/>
      <c r="Z25" s="212"/>
      <c r="AA25" s="212"/>
      <c r="AB25" s="448"/>
      <c r="AC25" s="448"/>
      <c r="AD25" s="448"/>
      <c r="AE25" s="448"/>
      <c r="AF25" s="448"/>
      <c r="AG25" s="448"/>
      <c r="AH25" s="448"/>
      <c r="AI25" s="448"/>
      <c r="AJ25" s="448"/>
      <c r="AK25" s="448"/>
      <c r="AL25" s="448"/>
      <c r="AM25" s="448"/>
      <c r="AN25" s="448"/>
      <c r="AO25" s="448"/>
      <c r="AP25" s="448"/>
      <c r="AQ25" s="448"/>
      <c r="AR25" s="448"/>
      <c r="AS25" s="448"/>
      <c r="AT25" s="448"/>
      <c r="AU25" s="448"/>
      <c r="AV25" s="448"/>
      <c r="AW25" s="448"/>
      <c r="AX25" s="448"/>
      <c r="AY25" s="448"/>
      <c r="AZ25" s="448"/>
    </row>
    <row r="26" spans="1:52" ht="15" customHeight="1" x14ac:dyDescent="0.2">
      <c r="A26" s="1007" t="s">
        <v>681</v>
      </c>
      <c r="B26" s="32"/>
      <c r="C26" s="570">
        <f>IF('Kalkulation Herstellungskosten'!AV33=TRUE,'Kalkulation Herstellungskosten'!F32,0)</f>
        <v>0</v>
      </c>
      <c r="D26" s="564">
        <f>IF(C26&gt;0,Stab_Ö_Lohnnebenkosten!W5,0)</f>
        <v>0</v>
      </c>
      <c r="E26" s="111">
        <v>0</v>
      </c>
      <c r="F26" s="212"/>
      <c r="G26" s="212"/>
      <c r="H26" s="212"/>
      <c r="I26" s="212"/>
      <c r="J26" s="212"/>
      <c r="K26" s="212"/>
      <c r="L26" s="212"/>
      <c r="M26" s="212"/>
      <c r="N26" s="212"/>
      <c r="O26" s="212"/>
      <c r="P26" s="212"/>
      <c r="Q26" s="212"/>
      <c r="R26" s="212"/>
      <c r="S26" s="212"/>
      <c r="T26" s="212"/>
      <c r="U26" s="212"/>
      <c r="V26" s="212"/>
      <c r="W26" s="212"/>
      <c r="X26" s="212"/>
      <c r="Y26" s="212"/>
      <c r="Z26" s="212"/>
      <c r="AA26" s="212"/>
      <c r="AB26" s="448"/>
      <c r="AC26" s="448"/>
      <c r="AD26" s="448"/>
      <c r="AE26" s="448"/>
      <c r="AF26" s="448"/>
      <c r="AG26" s="448"/>
      <c r="AH26" s="448"/>
      <c r="AI26" s="448"/>
      <c r="AJ26" s="448"/>
      <c r="AK26" s="448"/>
      <c r="AL26" s="448"/>
      <c r="AM26" s="448"/>
      <c r="AN26" s="448"/>
      <c r="AO26" s="448"/>
      <c r="AP26" s="448"/>
      <c r="AQ26" s="448"/>
      <c r="AR26" s="448"/>
      <c r="AS26" s="448"/>
      <c r="AT26" s="448"/>
      <c r="AU26" s="448"/>
      <c r="AV26" s="448"/>
      <c r="AW26" s="448"/>
      <c r="AX26" s="448"/>
      <c r="AY26" s="448"/>
      <c r="AZ26" s="448"/>
    </row>
    <row r="27" spans="1:52" ht="15" customHeight="1" x14ac:dyDescent="0.2">
      <c r="A27" s="1007" t="s">
        <v>682</v>
      </c>
      <c r="B27" s="32"/>
      <c r="C27" s="570">
        <f>IF('Kalkulation Herstellungskosten'!AV35=TRUE,'Kalkulation Herstellungskosten'!F34,0)</f>
        <v>0</v>
      </c>
      <c r="D27" s="564">
        <f>IF(C27&gt;0,Stab_Ö_Lohnnebenkosten!W6,0)</f>
        <v>0</v>
      </c>
      <c r="E27" s="111">
        <v>0</v>
      </c>
      <c r="F27" s="212"/>
      <c r="G27" s="212"/>
      <c r="H27" s="212"/>
      <c r="I27" s="212"/>
      <c r="J27" s="212"/>
      <c r="K27" s="212"/>
      <c r="L27" s="212"/>
      <c r="M27" s="212"/>
      <c r="N27" s="212"/>
      <c r="O27" s="212"/>
      <c r="P27" s="212"/>
      <c r="Q27" s="212"/>
      <c r="R27" s="212"/>
      <c r="S27" s="212"/>
      <c r="T27" s="212"/>
      <c r="U27" s="212"/>
      <c r="V27" s="212"/>
      <c r="W27" s="212"/>
      <c r="X27" s="212"/>
      <c r="Y27" s="212"/>
      <c r="Z27" s="212"/>
      <c r="AA27" s="212"/>
      <c r="AB27" s="448"/>
      <c r="AC27" s="448"/>
      <c r="AD27" s="448"/>
      <c r="AE27" s="448"/>
      <c r="AF27" s="448"/>
      <c r="AG27" s="448"/>
      <c r="AH27" s="448"/>
      <c r="AI27" s="448"/>
      <c r="AJ27" s="448"/>
      <c r="AK27" s="448"/>
      <c r="AL27" s="448"/>
      <c r="AM27" s="448"/>
      <c r="AN27" s="448"/>
      <c r="AO27" s="448"/>
      <c r="AP27" s="448"/>
      <c r="AQ27" s="448"/>
      <c r="AR27" s="448"/>
      <c r="AS27" s="448"/>
      <c r="AT27" s="448"/>
      <c r="AU27" s="448"/>
      <c r="AV27" s="448"/>
      <c r="AW27" s="448"/>
      <c r="AX27" s="448"/>
      <c r="AY27" s="448"/>
      <c r="AZ27" s="448"/>
    </row>
    <row r="28" spans="1:52" ht="15" customHeight="1" x14ac:dyDescent="0.2">
      <c r="A28" s="1007" t="s">
        <v>585</v>
      </c>
      <c r="B28" s="32"/>
      <c r="C28" s="570">
        <f>IF('Kalkulation Herstellungskosten'!AV47=TRUE,'Kalkulation Herstellungskosten'!F46,0)</f>
        <v>0</v>
      </c>
      <c r="D28" s="564">
        <f>IF(C28&gt;0,Stab_Ö_Lohnnebenkosten!W12,0)</f>
        <v>0</v>
      </c>
      <c r="E28" s="111">
        <v>0</v>
      </c>
      <c r="F28" s="212"/>
      <c r="G28" s="212"/>
      <c r="H28" s="212"/>
      <c r="I28" s="212"/>
      <c r="J28" s="212"/>
      <c r="K28" s="212"/>
      <c r="L28" s="212"/>
      <c r="M28" s="212"/>
      <c r="N28" s="212"/>
      <c r="O28" s="212"/>
      <c r="P28" s="212"/>
      <c r="Q28" s="212"/>
      <c r="R28" s="212"/>
      <c r="S28" s="212"/>
      <c r="T28" s="212"/>
      <c r="U28" s="212"/>
      <c r="V28" s="212"/>
      <c r="W28" s="212"/>
      <c r="X28" s="212"/>
      <c r="Y28" s="212"/>
      <c r="Z28" s="212"/>
      <c r="AA28" s="212"/>
      <c r="AB28" s="448"/>
      <c r="AC28" s="448"/>
      <c r="AD28" s="448"/>
      <c r="AE28" s="448"/>
      <c r="AF28" s="448"/>
      <c r="AG28" s="448"/>
      <c r="AH28" s="448"/>
      <c r="AI28" s="448"/>
      <c r="AJ28" s="448"/>
      <c r="AK28" s="448"/>
      <c r="AL28" s="448"/>
      <c r="AM28" s="448"/>
      <c r="AN28" s="448"/>
      <c r="AO28" s="448"/>
      <c r="AP28" s="448"/>
      <c r="AQ28" s="448"/>
      <c r="AR28" s="448"/>
      <c r="AS28" s="448"/>
      <c r="AT28" s="448"/>
      <c r="AU28" s="448"/>
      <c r="AV28" s="448"/>
      <c r="AW28" s="448"/>
      <c r="AX28" s="448"/>
      <c r="AY28" s="448"/>
      <c r="AZ28" s="448"/>
    </row>
    <row r="29" spans="1:52" ht="15" customHeight="1" x14ac:dyDescent="0.2">
      <c r="A29" s="1007" t="s">
        <v>581</v>
      </c>
      <c r="B29" s="32"/>
      <c r="C29" s="570">
        <f>IF('Kalkulation Herstellungskosten'!AV51=TRUE,'Kalkulation Herstellungskosten'!F50,0)</f>
        <v>0</v>
      </c>
      <c r="D29" s="564">
        <f>IF(C29&gt;0,Stab_Ö_Lohnnebenkosten!W14,0)</f>
        <v>0</v>
      </c>
      <c r="E29" s="111">
        <v>0</v>
      </c>
      <c r="F29" s="212"/>
      <c r="G29" s="212"/>
      <c r="H29" s="212"/>
      <c r="I29" s="212"/>
      <c r="J29" s="212"/>
      <c r="K29" s="212"/>
      <c r="L29" s="212"/>
      <c r="M29" s="212"/>
      <c r="N29" s="212"/>
      <c r="O29" s="212"/>
      <c r="P29" s="212"/>
      <c r="Q29" s="212"/>
      <c r="R29" s="212"/>
      <c r="S29" s="212"/>
      <c r="T29" s="212"/>
      <c r="U29" s="212"/>
      <c r="V29" s="212"/>
      <c r="W29" s="212"/>
      <c r="X29" s="212"/>
      <c r="Y29" s="212"/>
      <c r="Z29" s="212"/>
      <c r="AA29" s="212"/>
      <c r="AB29" s="448"/>
      <c r="AC29" s="448"/>
      <c r="AD29" s="448"/>
      <c r="AE29" s="448"/>
      <c r="AF29" s="448"/>
      <c r="AG29" s="448"/>
      <c r="AH29" s="448"/>
      <c r="AI29" s="448"/>
      <c r="AJ29" s="448"/>
      <c r="AK29" s="448"/>
      <c r="AL29" s="448"/>
      <c r="AM29" s="448"/>
      <c r="AN29" s="448"/>
      <c r="AO29" s="448"/>
      <c r="AP29" s="448"/>
      <c r="AQ29" s="448"/>
      <c r="AR29" s="448"/>
      <c r="AS29" s="448"/>
      <c r="AT29" s="448"/>
      <c r="AU29" s="448"/>
      <c r="AV29" s="448"/>
      <c r="AW29" s="448"/>
      <c r="AX29" s="448"/>
      <c r="AY29" s="448"/>
      <c r="AZ29" s="448"/>
    </row>
    <row r="30" spans="1:52" ht="15" customHeight="1" x14ac:dyDescent="0.2">
      <c r="A30" s="1007" t="s">
        <v>180</v>
      </c>
      <c r="B30" s="32"/>
      <c r="C30" s="570">
        <f>IF('Kalkulation Herstellungskosten'!AV53=TRUE,'Kalkulation Herstellungskosten'!F52,0)</f>
        <v>0</v>
      </c>
      <c r="D30" s="564">
        <f>IF(C30&gt;0,Stab_Ö_Lohnnebenkosten!W15,0)</f>
        <v>0</v>
      </c>
      <c r="E30" s="111">
        <v>0</v>
      </c>
      <c r="F30" s="212"/>
      <c r="G30" s="212"/>
      <c r="H30" s="212"/>
      <c r="I30" s="212"/>
      <c r="J30" s="212"/>
      <c r="K30" s="212"/>
      <c r="L30" s="212"/>
      <c r="M30" s="212"/>
      <c r="N30" s="212"/>
      <c r="O30" s="212"/>
      <c r="P30" s="212"/>
      <c r="Q30" s="212"/>
      <c r="R30" s="212"/>
      <c r="S30" s="212"/>
      <c r="T30" s="212"/>
      <c r="U30" s="212"/>
      <c r="V30" s="212"/>
      <c r="W30" s="212"/>
      <c r="X30" s="212"/>
      <c r="Y30" s="212"/>
      <c r="Z30" s="212"/>
      <c r="AA30" s="212"/>
      <c r="AB30" s="448"/>
      <c r="AC30" s="448"/>
      <c r="AD30" s="448"/>
      <c r="AE30" s="448"/>
      <c r="AF30" s="448"/>
      <c r="AG30" s="448"/>
      <c r="AH30" s="448"/>
      <c r="AI30" s="448"/>
      <c r="AJ30" s="448"/>
      <c r="AK30" s="448"/>
      <c r="AL30" s="448"/>
      <c r="AM30" s="448"/>
      <c r="AN30" s="448"/>
      <c r="AO30" s="448"/>
      <c r="AP30" s="448"/>
      <c r="AQ30" s="448"/>
      <c r="AR30" s="448"/>
      <c r="AS30" s="448"/>
      <c r="AT30" s="448"/>
      <c r="AU30" s="448"/>
      <c r="AV30" s="448"/>
      <c r="AW30" s="448"/>
      <c r="AX30" s="448"/>
      <c r="AY30" s="448"/>
      <c r="AZ30" s="448"/>
    </row>
    <row r="31" spans="1:52" ht="15" customHeight="1" x14ac:dyDescent="0.2">
      <c r="A31" s="1007" t="s">
        <v>586</v>
      </c>
      <c r="B31" s="32"/>
      <c r="C31" s="570">
        <f>IF('Kalkulation Herstellungskosten'!AV49=TRUE,'Kalkulation Herstellungskosten'!F48,0)</f>
        <v>0</v>
      </c>
      <c r="D31" s="564">
        <f>IF(C31&gt;0,Stab_Ö_Lohnnebenkosten!W13,0)</f>
        <v>0</v>
      </c>
      <c r="E31" s="111">
        <v>0</v>
      </c>
      <c r="F31" s="212"/>
      <c r="G31" s="212"/>
      <c r="H31" s="212"/>
      <c r="I31" s="212"/>
      <c r="J31" s="212"/>
      <c r="K31" s="212"/>
      <c r="L31" s="212"/>
      <c r="M31" s="212"/>
      <c r="N31" s="212"/>
      <c r="O31" s="212"/>
      <c r="P31" s="212"/>
      <c r="Q31" s="212"/>
      <c r="R31" s="212"/>
      <c r="S31" s="212"/>
      <c r="T31" s="212"/>
      <c r="U31" s="212"/>
      <c r="V31" s="212"/>
      <c r="W31" s="212"/>
      <c r="X31" s="212"/>
      <c r="Y31" s="212"/>
      <c r="Z31" s="212"/>
      <c r="AA31" s="212"/>
      <c r="AB31" s="448"/>
      <c r="AC31" s="448"/>
      <c r="AD31" s="448"/>
      <c r="AE31" s="448"/>
      <c r="AF31" s="448"/>
      <c r="AG31" s="448"/>
      <c r="AH31" s="448"/>
      <c r="AI31" s="448"/>
      <c r="AJ31" s="448"/>
      <c r="AK31" s="448"/>
      <c r="AL31" s="448"/>
      <c r="AM31" s="448"/>
      <c r="AN31" s="448"/>
      <c r="AO31" s="448"/>
      <c r="AP31" s="448"/>
      <c r="AQ31" s="448"/>
      <c r="AR31" s="448"/>
      <c r="AS31" s="448"/>
      <c r="AT31" s="448"/>
      <c r="AU31" s="448"/>
      <c r="AV31" s="448"/>
      <c r="AW31" s="448"/>
      <c r="AX31" s="448"/>
      <c r="AY31" s="448"/>
      <c r="AZ31" s="448"/>
    </row>
    <row r="32" spans="1:52" ht="15" customHeight="1" x14ac:dyDescent="0.2">
      <c r="A32" s="32" t="s">
        <v>194</v>
      </c>
      <c r="B32" s="32"/>
      <c r="C32" s="111">
        <v>0</v>
      </c>
      <c r="D32" s="118">
        <v>0</v>
      </c>
      <c r="E32" s="111">
        <v>0</v>
      </c>
      <c r="F32" s="212"/>
      <c r="G32" s="212"/>
      <c r="H32" s="212"/>
      <c r="I32" s="212"/>
      <c r="J32" s="212"/>
      <c r="K32" s="212"/>
      <c r="L32" s="212"/>
      <c r="M32" s="212"/>
      <c r="N32" s="212"/>
      <c r="O32" s="212"/>
      <c r="P32" s="212"/>
      <c r="Q32" s="212"/>
      <c r="R32" s="212"/>
      <c r="S32" s="212"/>
      <c r="T32" s="212"/>
      <c r="U32" s="212"/>
      <c r="V32" s="212"/>
      <c r="W32" s="212"/>
      <c r="X32" s="212"/>
      <c r="Y32" s="212"/>
      <c r="Z32" s="212"/>
      <c r="AA32" s="212"/>
      <c r="AB32" s="448"/>
      <c r="AC32" s="448"/>
      <c r="AD32" s="448"/>
      <c r="AE32" s="448"/>
      <c r="AF32" s="448"/>
      <c r="AG32" s="448"/>
      <c r="AH32" s="448"/>
      <c r="AI32" s="448"/>
      <c r="AJ32" s="448"/>
      <c r="AK32" s="448"/>
      <c r="AL32" s="448"/>
      <c r="AM32" s="448"/>
      <c r="AN32" s="448"/>
      <c r="AO32" s="448"/>
      <c r="AP32" s="448"/>
      <c r="AQ32" s="448"/>
      <c r="AR32" s="448"/>
      <c r="AS32" s="448"/>
      <c r="AT32" s="448"/>
      <c r="AU32" s="448"/>
      <c r="AV32" s="448"/>
      <c r="AW32" s="448"/>
      <c r="AX32" s="448"/>
      <c r="AY32" s="448"/>
      <c r="AZ32" s="448"/>
    </row>
    <row r="33" spans="1:52" ht="15" customHeight="1" x14ac:dyDescent="0.2">
      <c r="A33" s="1007" t="s">
        <v>683</v>
      </c>
      <c r="B33" s="566"/>
      <c r="C33" s="570">
        <f>SUM(D25:D32)</f>
        <v>0</v>
      </c>
      <c r="D33" s="562"/>
      <c r="E33" s="111">
        <v>0</v>
      </c>
      <c r="F33" s="212"/>
      <c r="G33" s="212"/>
      <c r="H33" s="212"/>
      <c r="I33" s="212"/>
      <c r="J33" s="212"/>
      <c r="K33" s="212"/>
      <c r="L33" s="212"/>
      <c r="M33" s="212"/>
      <c r="N33" s="212"/>
      <c r="O33" s="212"/>
      <c r="P33" s="212"/>
      <c r="Q33" s="212"/>
      <c r="R33" s="212"/>
      <c r="S33" s="212"/>
      <c r="T33" s="212"/>
      <c r="U33" s="212"/>
      <c r="V33" s="212"/>
      <c r="W33" s="212"/>
      <c r="X33" s="212"/>
      <c r="Y33" s="212"/>
      <c r="Z33" s="212"/>
      <c r="AA33" s="212"/>
      <c r="AB33" s="448"/>
      <c r="AC33" s="448"/>
      <c r="AD33" s="448"/>
      <c r="AE33" s="448"/>
      <c r="AF33" s="448"/>
      <c r="AG33" s="448"/>
      <c r="AH33" s="448"/>
      <c r="AI33" s="448"/>
      <c r="AJ33" s="448"/>
      <c r="AK33" s="448"/>
      <c r="AL33" s="448"/>
      <c r="AM33" s="448"/>
      <c r="AN33" s="448"/>
      <c r="AO33" s="448"/>
      <c r="AP33" s="448"/>
      <c r="AQ33" s="448"/>
      <c r="AR33" s="448"/>
      <c r="AS33" s="448"/>
      <c r="AT33" s="448"/>
      <c r="AU33" s="448"/>
      <c r="AV33" s="448"/>
      <c r="AW33" s="448"/>
      <c r="AX33" s="448"/>
      <c r="AY33" s="448"/>
      <c r="AZ33" s="448"/>
    </row>
    <row r="34" spans="1:52" ht="15" customHeight="1" x14ac:dyDescent="0.2">
      <c r="A34" s="212"/>
      <c r="B34" s="212"/>
      <c r="C34" s="571"/>
      <c r="D34" s="562"/>
      <c r="E34" s="574"/>
      <c r="F34" s="212"/>
      <c r="G34" s="212"/>
      <c r="H34" s="212"/>
      <c r="I34" s="212"/>
      <c r="J34" s="212"/>
      <c r="K34" s="212"/>
      <c r="L34" s="212"/>
      <c r="M34" s="212"/>
      <c r="N34" s="212"/>
      <c r="O34" s="212"/>
      <c r="P34" s="212"/>
      <c r="Q34" s="212"/>
      <c r="R34" s="212"/>
      <c r="S34" s="212"/>
      <c r="T34" s="212"/>
      <c r="U34" s="212"/>
      <c r="V34" s="212"/>
      <c r="W34" s="212"/>
      <c r="X34" s="212"/>
      <c r="Y34" s="212"/>
      <c r="Z34" s="212"/>
      <c r="AA34" s="212"/>
      <c r="AB34" s="448"/>
      <c r="AC34" s="448"/>
      <c r="AD34" s="448"/>
      <c r="AE34" s="448"/>
      <c r="AF34" s="448"/>
      <c r="AG34" s="448"/>
      <c r="AH34" s="448"/>
      <c r="AI34" s="448"/>
      <c r="AJ34" s="448"/>
      <c r="AK34" s="448"/>
      <c r="AL34" s="448"/>
      <c r="AM34" s="448"/>
      <c r="AN34" s="448"/>
      <c r="AO34" s="448"/>
      <c r="AP34" s="448"/>
      <c r="AQ34" s="448"/>
      <c r="AR34" s="448"/>
      <c r="AS34" s="448"/>
      <c r="AT34" s="448"/>
      <c r="AU34" s="448"/>
      <c r="AV34" s="448"/>
      <c r="AW34" s="448"/>
      <c r="AX34" s="448"/>
      <c r="AY34" s="448"/>
      <c r="AZ34" s="448"/>
    </row>
    <row r="35" spans="1:52" ht="18" customHeight="1" thickBot="1" x14ac:dyDescent="0.25">
      <c r="A35" s="1008" t="s">
        <v>1032</v>
      </c>
      <c r="B35" s="1009"/>
      <c r="C35" s="705">
        <f>SUM(C21:C33,C7:C12)</f>
        <v>0</v>
      </c>
      <c r="D35" s="562"/>
      <c r="E35" s="574"/>
      <c r="F35" s="212"/>
      <c r="G35" s="212"/>
      <c r="H35" s="212"/>
      <c r="I35" s="212"/>
      <c r="J35" s="212"/>
      <c r="K35" s="212"/>
      <c r="L35" s="212"/>
      <c r="M35" s="212"/>
      <c r="N35" s="212"/>
      <c r="O35" s="212"/>
      <c r="P35" s="212"/>
      <c r="Q35" s="212"/>
      <c r="R35" s="212"/>
      <c r="S35" s="212"/>
      <c r="T35" s="212"/>
      <c r="U35" s="212"/>
      <c r="V35" s="212"/>
      <c r="W35" s="212"/>
      <c r="X35" s="212"/>
      <c r="Y35" s="212"/>
      <c r="Z35" s="212"/>
      <c r="AA35" s="212"/>
      <c r="AB35" s="448"/>
      <c r="AC35" s="448"/>
      <c r="AD35" s="448"/>
      <c r="AE35" s="448"/>
      <c r="AF35" s="448"/>
      <c r="AG35" s="448"/>
      <c r="AH35" s="448"/>
      <c r="AI35" s="448"/>
      <c r="AJ35" s="448"/>
      <c r="AK35" s="448"/>
      <c r="AL35" s="448"/>
      <c r="AM35" s="448"/>
      <c r="AN35" s="448"/>
      <c r="AO35" s="448"/>
      <c r="AP35" s="448"/>
      <c r="AQ35" s="448"/>
      <c r="AR35" s="448"/>
      <c r="AS35" s="448"/>
      <c r="AT35" s="448"/>
      <c r="AU35" s="448"/>
      <c r="AV35" s="448"/>
      <c r="AW35" s="448"/>
      <c r="AX35" s="448"/>
      <c r="AY35" s="448"/>
      <c r="AZ35" s="448"/>
    </row>
    <row r="36" spans="1:52" ht="13.5" thickTop="1" x14ac:dyDescent="0.2">
      <c r="A36" s="212"/>
      <c r="B36" s="212"/>
      <c r="C36" s="562"/>
      <c r="D36" s="562"/>
      <c r="E36" s="562"/>
      <c r="F36" s="212"/>
      <c r="G36" s="212"/>
      <c r="H36" s="212"/>
      <c r="I36" s="212"/>
      <c r="J36" s="212"/>
      <c r="K36" s="212"/>
      <c r="L36" s="212"/>
      <c r="M36" s="212"/>
      <c r="N36" s="212"/>
      <c r="O36" s="212"/>
      <c r="P36" s="212"/>
      <c r="Q36" s="212"/>
      <c r="R36" s="212"/>
      <c r="S36" s="212"/>
      <c r="T36" s="212"/>
      <c r="U36" s="212"/>
      <c r="V36" s="212"/>
      <c r="W36" s="212"/>
      <c r="X36" s="212"/>
      <c r="Y36" s="212"/>
      <c r="Z36" s="212"/>
      <c r="AA36" s="212"/>
      <c r="AB36" s="448"/>
      <c r="AC36" s="448"/>
      <c r="AD36" s="448"/>
      <c r="AE36" s="448"/>
      <c r="AF36" s="448"/>
      <c r="AG36" s="448"/>
      <c r="AH36" s="448"/>
      <c r="AI36" s="448"/>
      <c r="AJ36" s="448"/>
      <c r="AK36" s="448"/>
      <c r="AL36" s="448"/>
      <c r="AM36" s="448"/>
      <c r="AN36" s="448"/>
      <c r="AO36" s="448"/>
      <c r="AP36" s="448"/>
      <c r="AQ36" s="448"/>
      <c r="AR36" s="448"/>
      <c r="AS36" s="448"/>
      <c r="AT36" s="448"/>
      <c r="AU36" s="448"/>
      <c r="AV36" s="448"/>
      <c r="AW36" s="448"/>
      <c r="AX36" s="448"/>
      <c r="AY36" s="448"/>
      <c r="AZ36" s="448"/>
    </row>
    <row r="37" spans="1:52" ht="15" customHeight="1" x14ac:dyDescent="0.2">
      <c r="A37" s="1005" t="s">
        <v>831</v>
      </c>
      <c r="B37" s="935" t="s">
        <v>684</v>
      </c>
      <c r="C37" s="562"/>
      <c r="D37" s="562"/>
      <c r="E37" s="562"/>
      <c r="F37" s="212"/>
      <c r="G37" s="212"/>
      <c r="H37" s="212"/>
      <c r="I37" s="212"/>
      <c r="J37" s="212"/>
      <c r="K37" s="212"/>
      <c r="L37" s="212"/>
      <c r="M37" s="212"/>
      <c r="N37" s="212"/>
      <c r="O37" s="212"/>
      <c r="P37" s="212"/>
      <c r="Q37" s="212"/>
      <c r="R37" s="212"/>
      <c r="S37" s="212"/>
      <c r="T37" s="212"/>
      <c r="U37" s="212"/>
      <c r="V37" s="212"/>
      <c r="W37" s="212"/>
      <c r="X37" s="212"/>
      <c r="Y37" s="212"/>
      <c r="Z37" s="212"/>
      <c r="AA37" s="212"/>
      <c r="AB37" s="448"/>
      <c r="AC37" s="448"/>
      <c r="AD37" s="448"/>
      <c r="AE37" s="448"/>
      <c r="AF37" s="448"/>
      <c r="AG37" s="448"/>
      <c r="AH37" s="448"/>
      <c r="AI37" s="448"/>
      <c r="AJ37" s="448"/>
      <c r="AK37" s="448"/>
      <c r="AL37" s="448"/>
      <c r="AM37" s="448"/>
      <c r="AN37" s="448"/>
      <c r="AO37" s="448"/>
      <c r="AP37" s="448"/>
      <c r="AQ37" s="448"/>
      <c r="AR37" s="448"/>
      <c r="AS37" s="448"/>
      <c r="AT37" s="448"/>
      <c r="AU37" s="448"/>
      <c r="AV37" s="448"/>
      <c r="AW37" s="448"/>
      <c r="AX37" s="448"/>
      <c r="AY37" s="448"/>
      <c r="AZ37" s="448"/>
    </row>
    <row r="38" spans="1:52" ht="15" customHeight="1" x14ac:dyDescent="0.2">
      <c r="A38" s="1007" t="s">
        <v>198</v>
      </c>
      <c r="B38" s="32"/>
      <c r="C38" s="111">
        <f>IF('Kalkulation Herstellungskosten'!AV331=TRUE,'Kalkulation Herstellungskosten'!F331,0)</f>
        <v>0</v>
      </c>
      <c r="D38" s="562"/>
      <c r="E38" s="111">
        <v>0</v>
      </c>
      <c r="F38" s="212"/>
      <c r="G38" s="212"/>
      <c r="H38" s="212"/>
      <c r="I38" s="212"/>
      <c r="J38" s="212"/>
      <c r="K38" s="212"/>
      <c r="L38" s="212"/>
      <c r="M38" s="212"/>
      <c r="N38" s="212"/>
      <c r="O38" s="212"/>
      <c r="P38" s="212"/>
      <c r="Q38" s="212"/>
      <c r="R38" s="212"/>
      <c r="S38" s="212"/>
      <c r="T38" s="212"/>
      <c r="U38" s="212"/>
      <c r="V38" s="212"/>
      <c r="W38" s="212"/>
      <c r="X38" s="212"/>
      <c r="Y38" s="212"/>
      <c r="Z38" s="212"/>
      <c r="AA38" s="212"/>
      <c r="AB38" s="448"/>
      <c r="AC38" s="448"/>
      <c r="AD38" s="448"/>
      <c r="AE38" s="448"/>
      <c r="AF38" s="448"/>
      <c r="AG38" s="448"/>
      <c r="AH38" s="448"/>
      <c r="AI38" s="448"/>
      <c r="AJ38" s="448"/>
      <c r="AK38" s="448"/>
      <c r="AL38" s="448"/>
      <c r="AM38" s="448"/>
      <c r="AN38" s="448"/>
      <c r="AO38" s="448"/>
      <c r="AP38" s="448"/>
      <c r="AQ38" s="448"/>
      <c r="AR38" s="448"/>
      <c r="AS38" s="448"/>
      <c r="AT38" s="448"/>
      <c r="AU38" s="448"/>
      <c r="AV38" s="448"/>
      <c r="AW38" s="448"/>
      <c r="AX38" s="448"/>
      <c r="AY38" s="448"/>
      <c r="AZ38" s="448"/>
    </row>
    <row r="39" spans="1:52" ht="15" customHeight="1" x14ac:dyDescent="0.2">
      <c r="A39" s="1007" t="s">
        <v>607</v>
      </c>
      <c r="B39" s="32"/>
      <c r="C39" s="111">
        <f>IF('Kalkulation Herstellungskosten'!AV333=TRUE,'Kalkulation Herstellungskosten'!F333,0)</f>
        <v>0</v>
      </c>
      <c r="D39" s="562"/>
      <c r="E39" s="111">
        <v>0</v>
      </c>
      <c r="F39" s="212"/>
      <c r="G39" s="212"/>
      <c r="H39" s="212"/>
      <c r="I39" s="212"/>
      <c r="J39" s="212"/>
      <c r="K39" s="212"/>
      <c r="L39" s="212"/>
      <c r="M39" s="212"/>
      <c r="N39" s="212"/>
      <c r="O39" s="212"/>
      <c r="P39" s="212"/>
      <c r="Q39" s="212"/>
      <c r="R39" s="212"/>
      <c r="S39" s="212"/>
      <c r="T39" s="212"/>
      <c r="U39" s="212"/>
      <c r="V39" s="212"/>
      <c r="W39" s="212"/>
      <c r="X39" s="212"/>
      <c r="Y39" s="212"/>
      <c r="Z39" s="212"/>
      <c r="AA39" s="212"/>
      <c r="AB39" s="448"/>
      <c r="AC39" s="448"/>
      <c r="AD39" s="448"/>
      <c r="AE39" s="448"/>
      <c r="AF39" s="448"/>
      <c r="AG39" s="448"/>
      <c r="AH39" s="448"/>
      <c r="AI39" s="448"/>
      <c r="AJ39" s="448"/>
      <c r="AK39" s="448"/>
      <c r="AL39" s="448"/>
      <c r="AM39" s="448"/>
      <c r="AN39" s="448"/>
      <c r="AO39" s="448"/>
      <c r="AP39" s="448"/>
      <c r="AQ39" s="448"/>
      <c r="AR39" s="448"/>
      <c r="AS39" s="448"/>
      <c r="AT39" s="448"/>
      <c r="AU39" s="448"/>
      <c r="AV39" s="448"/>
      <c r="AW39" s="448"/>
      <c r="AX39" s="448"/>
      <c r="AY39" s="448"/>
      <c r="AZ39" s="448"/>
    </row>
    <row r="40" spans="1:52" ht="15" customHeight="1" x14ac:dyDescent="0.2">
      <c r="A40" s="32" t="s">
        <v>690</v>
      </c>
      <c r="B40" s="32"/>
      <c r="C40" s="111">
        <v>0</v>
      </c>
      <c r="D40" s="562"/>
      <c r="E40" s="111"/>
      <c r="F40" s="212"/>
      <c r="G40" s="212"/>
      <c r="H40" s="212"/>
      <c r="I40" s="212"/>
      <c r="J40" s="212"/>
      <c r="K40" s="212"/>
      <c r="L40" s="212"/>
      <c r="M40" s="212"/>
      <c r="N40" s="212"/>
      <c r="O40" s="212"/>
      <c r="P40" s="212"/>
      <c r="Q40" s="212"/>
      <c r="R40" s="212"/>
      <c r="S40" s="212"/>
      <c r="T40" s="212"/>
      <c r="U40" s="212"/>
      <c r="V40" s="212"/>
      <c r="W40" s="212"/>
      <c r="X40" s="212"/>
      <c r="Y40" s="212"/>
      <c r="Z40" s="212"/>
      <c r="AA40" s="212"/>
      <c r="AB40" s="448"/>
      <c r="AC40" s="448"/>
      <c r="AD40" s="448"/>
      <c r="AE40" s="448"/>
      <c r="AF40" s="448"/>
      <c r="AG40" s="448"/>
      <c r="AH40" s="448"/>
      <c r="AI40" s="448"/>
      <c r="AJ40" s="448"/>
      <c r="AK40" s="448"/>
      <c r="AL40" s="448"/>
      <c r="AM40" s="448"/>
      <c r="AN40" s="448"/>
      <c r="AO40" s="448"/>
      <c r="AP40" s="448"/>
      <c r="AQ40" s="448"/>
      <c r="AR40" s="448"/>
      <c r="AS40" s="448"/>
      <c r="AT40" s="448"/>
      <c r="AU40" s="448"/>
      <c r="AV40" s="448"/>
      <c r="AW40" s="448"/>
      <c r="AX40" s="448"/>
      <c r="AY40" s="448"/>
      <c r="AZ40" s="448"/>
    </row>
    <row r="41" spans="1:52" ht="15" customHeight="1" x14ac:dyDescent="0.2">
      <c r="A41" s="1007" t="s">
        <v>685</v>
      </c>
      <c r="B41" s="32"/>
      <c r="C41" s="111">
        <f>IF('Kalkulation Herstellungskosten'!AV392=TRUE,'Kalkulation Herstellungskosten'!F392,0)</f>
        <v>0</v>
      </c>
      <c r="D41" s="562"/>
      <c r="E41" s="111">
        <v>0</v>
      </c>
      <c r="F41" s="212"/>
      <c r="G41" s="212"/>
      <c r="H41" s="212"/>
      <c r="I41" s="212"/>
      <c r="J41" s="212"/>
      <c r="K41" s="212"/>
      <c r="L41" s="212"/>
      <c r="M41" s="212"/>
      <c r="N41" s="212"/>
      <c r="O41" s="212"/>
      <c r="P41" s="212"/>
      <c r="Q41" s="212"/>
      <c r="R41" s="212"/>
      <c r="S41" s="212"/>
      <c r="T41" s="212"/>
      <c r="U41" s="212"/>
      <c r="V41" s="212"/>
      <c r="W41" s="212"/>
      <c r="X41" s="212"/>
      <c r="Y41" s="212"/>
      <c r="Z41" s="212"/>
      <c r="AA41" s="212"/>
      <c r="AB41" s="448"/>
      <c r="AC41" s="448"/>
      <c r="AD41" s="448"/>
      <c r="AE41" s="448"/>
      <c r="AF41" s="448"/>
      <c r="AG41" s="448"/>
      <c r="AH41" s="448"/>
      <c r="AI41" s="448"/>
      <c r="AJ41" s="448"/>
      <c r="AK41" s="448"/>
      <c r="AL41" s="448"/>
      <c r="AM41" s="448"/>
      <c r="AN41" s="448"/>
      <c r="AO41" s="448"/>
      <c r="AP41" s="448"/>
      <c r="AQ41" s="448"/>
      <c r="AR41" s="448"/>
      <c r="AS41" s="448"/>
      <c r="AT41" s="448"/>
      <c r="AU41" s="448"/>
      <c r="AV41" s="448"/>
      <c r="AW41" s="448"/>
      <c r="AX41" s="448"/>
      <c r="AY41" s="448"/>
      <c r="AZ41" s="448"/>
    </row>
    <row r="42" spans="1:52" ht="15" customHeight="1" x14ac:dyDescent="0.2">
      <c r="A42" s="1007" t="s">
        <v>611</v>
      </c>
      <c r="B42" s="32"/>
      <c r="C42" s="111">
        <f>IF('Kalkulation Herstellungskosten'!AV393=TRUE,'Kalkulation Herstellungskosten'!F393,0)</f>
        <v>0</v>
      </c>
      <c r="D42" s="562"/>
      <c r="E42" s="111">
        <v>0</v>
      </c>
      <c r="F42" s="212"/>
      <c r="G42" s="212"/>
      <c r="H42" s="212"/>
      <c r="I42" s="212"/>
      <c r="J42" s="212"/>
      <c r="K42" s="212"/>
      <c r="L42" s="212"/>
      <c r="M42" s="212"/>
      <c r="N42" s="212"/>
      <c r="O42" s="212"/>
      <c r="P42" s="212"/>
      <c r="Q42" s="212"/>
      <c r="R42" s="212"/>
      <c r="S42" s="212"/>
      <c r="T42" s="212"/>
      <c r="U42" s="212"/>
      <c r="V42" s="212"/>
      <c r="W42" s="212"/>
      <c r="X42" s="212"/>
      <c r="Y42" s="212"/>
      <c r="Z42" s="212"/>
      <c r="AA42" s="212"/>
      <c r="AB42" s="448"/>
      <c r="AC42" s="448"/>
      <c r="AD42" s="448"/>
      <c r="AE42" s="448"/>
      <c r="AF42" s="448"/>
      <c r="AG42" s="448"/>
      <c r="AH42" s="448"/>
      <c r="AI42" s="448"/>
      <c r="AJ42" s="448"/>
      <c r="AK42" s="448"/>
      <c r="AL42" s="448"/>
      <c r="AM42" s="448"/>
      <c r="AN42" s="448"/>
      <c r="AO42" s="448"/>
      <c r="AP42" s="448"/>
      <c r="AQ42" s="448"/>
      <c r="AR42" s="448"/>
      <c r="AS42" s="448"/>
      <c r="AT42" s="448"/>
      <c r="AU42" s="448"/>
      <c r="AV42" s="448"/>
      <c r="AW42" s="448"/>
      <c r="AX42" s="448"/>
      <c r="AY42" s="448"/>
      <c r="AZ42" s="448"/>
    </row>
    <row r="43" spans="1:52" ht="15" customHeight="1" x14ac:dyDescent="0.2">
      <c r="A43" s="32" t="s">
        <v>686</v>
      </c>
      <c r="B43" s="32"/>
      <c r="C43" s="111">
        <v>0</v>
      </c>
      <c r="D43" s="562"/>
      <c r="E43" s="111">
        <v>0</v>
      </c>
      <c r="F43" s="212"/>
      <c r="G43" s="212"/>
      <c r="H43" s="212"/>
      <c r="I43" s="212"/>
      <c r="J43" s="212"/>
      <c r="K43" s="212"/>
      <c r="L43" s="212"/>
      <c r="M43" s="212"/>
      <c r="N43" s="212"/>
      <c r="O43" s="212"/>
      <c r="P43" s="212"/>
      <c r="Q43" s="212"/>
      <c r="R43" s="212"/>
      <c r="S43" s="212"/>
      <c r="T43" s="212"/>
      <c r="U43" s="212"/>
      <c r="V43" s="212"/>
      <c r="W43" s="212"/>
      <c r="X43" s="212"/>
      <c r="Y43" s="212"/>
      <c r="Z43" s="212"/>
      <c r="AA43" s="212"/>
      <c r="AB43" s="448"/>
      <c r="AC43" s="448"/>
      <c r="AD43" s="448"/>
      <c r="AE43" s="448"/>
      <c r="AF43" s="448"/>
      <c r="AG43" s="448"/>
      <c r="AH43" s="448"/>
      <c r="AI43" s="448"/>
      <c r="AJ43" s="448"/>
      <c r="AK43" s="448"/>
      <c r="AL43" s="448"/>
      <c r="AM43" s="448"/>
      <c r="AN43" s="448"/>
      <c r="AO43" s="448"/>
      <c r="AP43" s="448"/>
      <c r="AQ43" s="448"/>
      <c r="AR43" s="448"/>
      <c r="AS43" s="448"/>
      <c r="AT43" s="448"/>
      <c r="AU43" s="448"/>
      <c r="AV43" s="448"/>
      <c r="AW43" s="448"/>
      <c r="AX43" s="448"/>
      <c r="AY43" s="448"/>
      <c r="AZ43" s="448"/>
    </row>
    <row r="44" spans="1:52" ht="15" customHeight="1" x14ac:dyDescent="0.2">
      <c r="A44" s="1007" t="s">
        <v>73</v>
      </c>
      <c r="B44" s="32"/>
      <c r="C44" s="111">
        <f>IF('Kalkulation Herstellungskosten'!AV395=TRUE,'Kalkulation Herstellungskosten'!F395,0)</f>
        <v>0</v>
      </c>
      <c r="D44" s="562"/>
      <c r="E44" s="111"/>
      <c r="F44" s="212"/>
      <c r="G44" s="212"/>
      <c r="H44" s="212"/>
      <c r="I44" s="212"/>
      <c r="J44" s="212"/>
      <c r="K44" s="212"/>
      <c r="L44" s="212"/>
      <c r="M44" s="212"/>
      <c r="N44" s="212"/>
      <c r="O44" s="212"/>
      <c r="P44" s="212"/>
      <c r="Q44" s="212"/>
      <c r="R44" s="212"/>
      <c r="S44" s="212"/>
      <c r="T44" s="212"/>
      <c r="U44" s="212"/>
      <c r="V44" s="212"/>
      <c r="W44" s="212"/>
      <c r="X44" s="212"/>
      <c r="Y44" s="212"/>
      <c r="Z44" s="212"/>
      <c r="AA44" s="212"/>
      <c r="AB44" s="448"/>
      <c r="AC44" s="448"/>
      <c r="AD44" s="448"/>
      <c r="AE44" s="448"/>
      <c r="AF44" s="448"/>
      <c r="AG44" s="448"/>
      <c r="AH44" s="448"/>
      <c r="AI44" s="448"/>
      <c r="AJ44" s="448"/>
      <c r="AK44" s="448"/>
      <c r="AL44" s="448"/>
      <c r="AM44" s="448"/>
      <c r="AN44" s="448"/>
      <c r="AO44" s="448"/>
      <c r="AP44" s="448"/>
      <c r="AQ44" s="448"/>
      <c r="AR44" s="448"/>
      <c r="AS44" s="448"/>
      <c r="AT44" s="448"/>
      <c r="AU44" s="448"/>
      <c r="AV44" s="448"/>
      <c r="AW44" s="448"/>
      <c r="AX44" s="448"/>
      <c r="AY44" s="448"/>
      <c r="AZ44" s="448"/>
    </row>
    <row r="45" spans="1:52" ht="15" customHeight="1" x14ac:dyDescent="0.2">
      <c r="A45" s="1007" t="s">
        <v>687</v>
      </c>
      <c r="B45" s="32"/>
      <c r="C45" s="111">
        <v>0</v>
      </c>
      <c r="D45" s="562"/>
      <c r="E45" s="111">
        <v>0</v>
      </c>
      <c r="F45" s="212"/>
      <c r="G45" s="212"/>
      <c r="H45" s="212"/>
      <c r="I45" s="212"/>
      <c r="J45" s="212"/>
      <c r="K45" s="212"/>
      <c r="L45" s="212"/>
      <c r="M45" s="212"/>
      <c r="N45" s="212"/>
      <c r="O45" s="212"/>
      <c r="P45" s="212"/>
      <c r="Q45" s="212"/>
      <c r="R45" s="212"/>
      <c r="S45" s="212"/>
      <c r="T45" s="212"/>
      <c r="U45" s="212"/>
      <c r="V45" s="212"/>
      <c r="W45" s="212"/>
      <c r="X45" s="212"/>
      <c r="Y45" s="212"/>
      <c r="Z45" s="212"/>
      <c r="AA45" s="212"/>
      <c r="AB45" s="448"/>
      <c r="AC45" s="448"/>
      <c r="AD45" s="448"/>
      <c r="AE45" s="448"/>
      <c r="AF45" s="448"/>
      <c r="AG45" s="448"/>
      <c r="AH45" s="448"/>
      <c r="AI45" s="448"/>
      <c r="AJ45" s="448"/>
      <c r="AK45" s="448"/>
      <c r="AL45" s="448"/>
      <c r="AM45" s="448"/>
      <c r="AN45" s="448"/>
      <c r="AO45" s="448"/>
      <c r="AP45" s="448"/>
      <c r="AQ45" s="448"/>
      <c r="AR45" s="448"/>
      <c r="AS45" s="448"/>
      <c r="AT45" s="448"/>
      <c r="AU45" s="448"/>
      <c r="AV45" s="448"/>
      <c r="AW45" s="448"/>
      <c r="AX45" s="448"/>
      <c r="AY45" s="448"/>
      <c r="AZ45" s="448"/>
    </row>
    <row r="46" spans="1:52" ht="15" customHeight="1" x14ac:dyDescent="0.2">
      <c r="A46" s="212"/>
      <c r="B46" s="212"/>
      <c r="C46" s="562"/>
      <c r="D46" s="562"/>
      <c r="E46" s="574"/>
      <c r="F46" s="212"/>
      <c r="G46" s="212"/>
      <c r="H46" s="212"/>
      <c r="I46" s="212"/>
      <c r="J46" s="212"/>
      <c r="K46" s="212"/>
      <c r="L46" s="212"/>
      <c r="M46" s="212"/>
      <c r="N46" s="212"/>
      <c r="O46" s="212"/>
      <c r="P46" s="212"/>
      <c r="Q46" s="212"/>
      <c r="R46" s="212"/>
      <c r="S46" s="212"/>
      <c r="T46" s="212"/>
      <c r="U46" s="212"/>
      <c r="V46" s="212"/>
      <c r="W46" s="212"/>
      <c r="X46" s="212"/>
      <c r="Y46" s="212"/>
      <c r="Z46" s="212"/>
      <c r="AA46" s="212"/>
      <c r="AB46" s="448"/>
      <c r="AC46" s="448"/>
      <c r="AD46" s="448"/>
      <c r="AE46" s="448"/>
      <c r="AF46" s="448"/>
      <c r="AG46" s="448"/>
      <c r="AH46" s="448"/>
      <c r="AI46" s="448"/>
      <c r="AJ46" s="448"/>
      <c r="AK46" s="448"/>
      <c r="AL46" s="448"/>
      <c r="AM46" s="448"/>
      <c r="AN46" s="448"/>
      <c r="AO46" s="448"/>
      <c r="AP46" s="448"/>
      <c r="AQ46" s="448"/>
      <c r="AR46" s="448"/>
      <c r="AS46" s="448"/>
      <c r="AT46" s="448"/>
      <c r="AU46" s="448"/>
      <c r="AV46" s="448"/>
      <c r="AW46" s="448"/>
      <c r="AX46" s="448"/>
      <c r="AY46" s="448"/>
      <c r="AZ46" s="448"/>
    </row>
    <row r="47" spans="1:52" ht="18" customHeight="1" thickBot="1" x14ac:dyDescent="0.25">
      <c r="A47" s="1008" t="s">
        <v>1033</v>
      </c>
      <c r="B47" s="1009"/>
      <c r="C47" s="705">
        <f>SUM(C38:C46,C15:C17)</f>
        <v>0</v>
      </c>
      <c r="D47" s="562"/>
      <c r="E47" s="574"/>
      <c r="F47" s="212"/>
      <c r="G47" s="212"/>
      <c r="H47" s="212"/>
      <c r="I47" s="212"/>
      <c r="J47" s="212"/>
      <c r="K47" s="212"/>
      <c r="L47" s="212"/>
      <c r="M47" s="212"/>
      <c r="N47" s="212"/>
      <c r="O47" s="212"/>
      <c r="P47" s="212"/>
      <c r="Q47" s="212"/>
      <c r="R47" s="212"/>
      <c r="S47" s="212"/>
      <c r="T47" s="212"/>
      <c r="U47" s="212"/>
      <c r="V47" s="212"/>
      <c r="W47" s="212"/>
      <c r="X47" s="212"/>
      <c r="Y47" s="212"/>
      <c r="Z47" s="212"/>
      <c r="AA47" s="212"/>
      <c r="AB47" s="448"/>
      <c r="AC47" s="448"/>
      <c r="AD47" s="448"/>
      <c r="AE47" s="448"/>
      <c r="AF47" s="448"/>
      <c r="AG47" s="448"/>
      <c r="AH47" s="448"/>
      <c r="AI47" s="448"/>
      <c r="AJ47" s="448"/>
      <c r="AK47" s="448"/>
      <c r="AL47" s="448"/>
      <c r="AM47" s="448"/>
      <c r="AN47" s="448"/>
      <c r="AO47" s="448"/>
      <c r="AP47" s="448"/>
      <c r="AQ47" s="448"/>
      <c r="AR47" s="448"/>
      <c r="AS47" s="448"/>
      <c r="AT47" s="448"/>
      <c r="AU47" s="448"/>
      <c r="AV47" s="448"/>
      <c r="AW47" s="448"/>
      <c r="AX47" s="448"/>
      <c r="AY47" s="448"/>
      <c r="AZ47" s="448"/>
    </row>
    <row r="48" spans="1:52" ht="15" customHeight="1" thickTop="1" x14ac:dyDescent="0.2">
      <c r="A48" s="212"/>
      <c r="B48" s="212"/>
      <c r="C48" s="562"/>
      <c r="D48" s="562"/>
      <c r="E48" s="574"/>
      <c r="F48" s="212"/>
      <c r="G48" s="212"/>
      <c r="H48" s="212"/>
      <c r="I48" s="212"/>
      <c r="J48" s="212"/>
      <c r="K48" s="212"/>
      <c r="L48" s="212"/>
      <c r="M48" s="212"/>
      <c r="N48" s="212"/>
      <c r="O48" s="212"/>
      <c r="P48" s="212"/>
      <c r="Q48" s="212"/>
      <c r="R48" s="212"/>
      <c r="S48" s="212"/>
      <c r="T48" s="212"/>
      <c r="U48" s="212"/>
      <c r="V48" s="212"/>
      <c r="W48" s="212"/>
      <c r="X48" s="212"/>
      <c r="Y48" s="212"/>
      <c r="Z48" s="212"/>
      <c r="AA48" s="212"/>
      <c r="AB48" s="448"/>
      <c r="AC48" s="448"/>
      <c r="AD48" s="448"/>
      <c r="AE48" s="448"/>
      <c r="AF48" s="448"/>
      <c r="AG48" s="448"/>
      <c r="AH48" s="448"/>
      <c r="AI48" s="448"/>
      <c r="AJ48" s="448"/>
      <c r="AK48" s="448"/>
      <c r="AL48" s="448"/>
      <c r="AM48" s="448"/>
      <c r="AN48" s="448"/>
      <c r="AO48" s="448"/>
      <c r="AP48" s="448"/>
      <c r="AQ48" s="448"/>
      <c r="AR48" s="448"/>
      <c r="AS48" s="448"/>
      <c r="AT48" s="448"/>
      <c r="AU48" s="448"/>
      <c r="AV48" s="448"/>
      <c r="AW48" s="448"/>
      <c r="AX48" s="448"/>
      <c r="AY48" s="448"/>
      <c r="AZ48" s="448"/>
    </row>
    <row r="49" spans="1:52" ht="15" customHeight="1" x14ac:dyDescent="0.2">
      <c r="A49" s="1005" t="s">
        <v>688</v>
      </c>
      <c r="B49" s="935"/>
      <c r="C49" s="571"/>
      <c r="D49" s="562"/>
      <c r="E49" s="562"/>
      <c r="F49" s="212"/>
      <c r="G49" s="212"/>
      <c r="H49" s="212"/>
      <c r="I49" s="212"/>
      <c r="J49" s="212"/>
      <c r="K49" s="212"/>
      <c r="L49" s="212"/>
      <c r="M49" s="212"/>
      <c r="N49" s="212"/>
      <c r="O49" s="212"/>
      <c r="P49" s="212"/>
      <c r="Q49" s="212"/>
      <c r="R49" s="212"/>
      <c r="S49" s="212"/>
      <c r="T49" s="212"/>
      <c r="U49" s="212"/>
      <c r="V49" s="212"/>
      <c r="W49" s="212"/>
      <c r="X49" s="212"/>
      <c r="Y49" s="212"/>
      <c r="Z49" s="212"/>
      <c r="AA49" s="212"/>
      <c r="AB49" s="448"/>
      <c r="AC49" s="448"/>
      <c r="AD49" s="448"/>
      <c r="AE49" s="448"/>
      <c r="AF49" s="448"/>
      <c r="AG49" s="448"/>
      <c r="AH49" s="448"/>
      <c r="AI49" s="448"/>
      <c r="AJ49" s="448"/>
      <c r="AK49" s="448"/>
      <c r="AL49" s="448"/>
      <c r="AM49" s="448"/>
      <c r="AN49" s="448"/>
      <c r="AO49" s="448"/>
      <c r="AP49" s="448"/>
      <c r="AQ49" s="448"/>
      <c r="AR49" s="448"/>
      <c r="AS49" s="448"/>
      <c r="AT49" s="448"/>
      <c r="AU49" s="448"/>
      <c r="AV49" s="448"/>
      <c r="AW49" s="448"/>
      <c r="AX49" s="448"/>
      <c r="AY49" s="448"/>
      <c r="AZ49" s="448"/>
    </row>
    <row r="50" spans="1:52" ht="15" customHeight="1" x14ac:dyDescent="0.2">
      <c r="A50" s="1006" t="s">
        <v>214</v>
      </c>
      <c r="B50" s="1006"/>
      <c r="C50" s="570">
        <f ca="1">'Kalkulation Herstellungskosten'!E264</f>
        <v>0</v>
      </c>
      <c r="D50" s="567"/>
      <c r="E50" s="570" t="e">
        <f>'Kalkulation Herstellungskosten'!#REF!</f>
        <v>#REF!</v>
      </c>
      <c r="F50" s="212"/>
      <c r="G50" s="212"/>
      <c r="H50" s="212"/>
      <c r="I50" s="212"/>
      <c r="J50" s="212"/>
      <c r="K50" s="212"/>
      <c r="L50" s="212"/>
      <c r="M50" s="212"/>
      <c r="N50" s="212"/>
      <c r="O50" s="212"/>
      <c r="P50" s="212"/>
      <c r="Q50" s="212"/>
      <c r="R50" s="212"/>
      <c r="S50" s="212"/>
      <c r="T50" s="212"/>
      <c r="U50" s="212"/>
      <c r="V50" s="212"/>
      <c r="W50" s="212"/>
      <c r="X50" s="212"/>
      <c r="Y50" s="212"/>
      <c r="Z50" s="212"/>
      <c r="AA50" s="212"/>
      <c r="AB50" s="448"/>
      <c r="AC50" s="448"/>
      <c r="AD50" s="448"/>
      <c r="AE50" s="448"/>
      <c r="AF50" s="448"/>
      <c r="AG50" s="448"/>
      <c r="AH50" s="448"/>
      <c r="AI50" s="448"/>
      <c r="AJ50" s="448"/>
      <c r="AK50" s="448"/>
      <c r="AL50" s="448"/>
      <c r="AM50" s="448"/>
      <c r="AN50" s="448"/>
      <c r="AO50" s="448"/>
      <c r="AP50" s="448"/>
      <c r="AQ50" s="448"/>
      <c r="AR50" s="448"/>
      <c r="AS50" s="448"/>
      <c r="AT50" s="448"/>
      <c r="AU50" s="448"/>
      <c r="AV50" s="448"/>
      <c r="AW50" s="448"/>
      <c r="AX50" s="448"/>
      <c r="AY50" s="448"/>
      <c r="AZ50" s="448"/>
    </row>
    <row r="51" spans="1:52" ht="15" customHeight="1" x14ac:dyDescent="0.2">
      <c r="A51" s="1006" t="s">
        <v>25</v>
      </c>
      <c r="B51" s="1006"/>
      <c r="C51" s="570">
        <f ca="1">Zusammenfassung!D18</f>
        <v>0</v>
      </c>
      <c r="D51" s="567"/>
      <c r="E51" s="570" t="e">
        <f>Zusammenfassung!#REF!</f>
        <v>#REF!</v>
      </c>
      <c r="F51" s="212"/>
      <c r="G51" s="212"/>
      <c r="H51" s="212"/>
      <c r="I51" s="212"/>
      <c r="J51" s="212"/>
      <c r="K51" s="212"/>
      <c r="L51" s="212"/>
      <c r="M51" s="212"/>
      <c r="N51" s="212"/>
      <c r="O51" s="212"/>
      <c r="P51" s="212"/>
      <c r="Q51" s="212"/>
      <c r="R51" s="212"/>
      <c r="S51" s="212"/>
      <c r="T51" s="212"/>
      <c r="U51" s="212"/>
      <c r="V51" s="212"/>
      <c r="W51" s="212"/>
      <c r="X51" s="212"/>
      <c r="Y51" s="212"/>
      <c r="Z51" s="212"/>
      <c r="AA51" s="212"/>
      <c r="AB51" s="448"/>
      <c r="AC51" s="448"/>
      <c r="AD51" s="448"/>
      <c r="AE51" s="448"/>
      <c r="AF51" s="448"/>
      <c r="AG51" s="448"/>
      <c r="AH51" s="448"/>
      <c r="AI51" s="448"/>
      <c r="AJ51" s="448"/>
      <c r="AK51" s="448"/>
      <c r="AL51" s="448"/>
      <c r="AM51" s="448"/>
      <c r="AN51" s="448"/>
      <c r="AO51" s="448"/>
      <c r="AP51" s="448"/>
      <c r="AQ51" s="448"/>
      <c r="AR51" s="448"/>
      <c r="AS51" s="448"/>
      <c r="AT51" s="448"/>
      <c r="AU51" s="448"/>
      <c r="AV51" s="448"/>
      <c r="AW51" s="448"/>
      <c r="AX51" s="448"/>
      <c r="AY51" s="448"/>
      <c r="AZ51" s="448"/>
    </row>
    <row r="52" spans="1:52" ht="15" customHeight="1" x14ac:dyDescent="0.2">
      <c r="A52" s="212"/>
      <c r="B52" s="212"/>
      <c r="C52" s="562"/>
      <c r="D52" s="562"/>
      <c r="E52" s="571"/>
      <c r="F52" s="212"/>
      <c r="G52" s="212"/>
      <c r="H52" s="212"/>
      <c r="I52" s="212"/>
      <c r="J52" s="212"/>
      <c r="K52" s="212"/>
      <c r="L52" s="212"/>
      <c r="M52" s="212"/>
      <c r="N52" s="212"/>
      <c r="O52" s="212"/>
      <c r="P52" s="212"/>
      <c r="Q52" s="212"/>
      <c r="R52" s="212"/>
      <c r="S52" s="212"/>
      <c r="T52" s="212"/>
      <c r="U52" s="212"/>
      <c r="V52" s="212"/>
      <c r="W52" s="212"/>
      <c r="X52" s="212"/>
      <c r="Y52" s="212"/>
      <c r="Z52" s="212"/>
      <c r="AA52" s="212"/>
      <c r="AB52" s="448"/>
      <c r="AC52" s="448"/>
      <c r="AD52" s="448"/>
      <c r="AE52" s="448"/>
      <c r="AF52" s="448"/>
      <c r="AG52" s="448"/>
      <c r="AH52" s="448"/>
      <c r="AI52" s="448"/>
      <c r="AJ52" s="448"/>
      <c r="AK52" s="448"/>
      <c r="AL52" s="448"/>
      <c r="AM52" s="448"/>
      <c r="AN52" s="448"/>
      <c r="AO52" s="448"/>
      <c r="AP52" s="448"/>
      <c r="AQ52" s="448"/>
      <c r="AR52" s="448"/>
      <c r="AS52" s="448"/>
      <c r="AT52" s="448"/>
      <c r="AU52" s="448"/>
      <c r="AV52" s="448"/>
      <c r="AW52" s="448"/>
      <c r="AX52" s="448"/>
      <c r="AY52" s="448"/>
      <c r="AZ52" s="448"/>
    </row>
    <row r="53" spans="1:52" ht="18" customHeight="1" thickBot="1" x14ac:dyDescent="0.25">
      <c r="A53" s="1008" t="s">
        <v>1034</v>
      </c>
      <c r="B53" s="1009"/>
      <c r="C53" s="705">
        <f ca="1">SUM(C50:C52)</f>
        <v>0</v>
      </c>
      <c r="D53" s="562"/>
      <c r="E53" s="571"/>
      <c r="F53" s="212"/>
      <c r="G53" s="212"/>
      <c r="H53" s="212"/>
      <c r="I53" s="212"/>
      <c r="J53" s="212"/>
      <c r="K53" s="212"/>
      <c r="L53" s="212"/>
      <c r="M53" s="212"/>
      <c r="N53" s="212"/>
      <c r="O53" s="212"/>
      <c r="P53" s="212"/>
      <c r="Q53" s="212"/>
      <c r="R53" s="212"/>
      <c r="S53" s="212"/>
      <c r="T53" s="212"/>
      <c r="U53" s="212"/>
      <c r="V53" s="212"/>
      <c r="W53" s="212"/>
      <c r="X53" s="212"/>
      <c r="Y53" s="212"/>
      <c r="Z53" s="212"/>
      <c r="AA53" s="212"/>
      <c r="AB53" s="448"/>
      <c r="AC53" s="448"/>
      <c r="AD53" s="448"/>
      <c r="AE53" s="448"/>
      <c r="AF53" s="448"/>
      <c r="AG53" s="448"/>
      <c r="AH53" s="448"/>
      <c r="AI53" s="448"/>
      <c r="AJ53" s="448"/>
      <c r="AK53" s="448"/>
      <c r="AL53" s="448"/>
      <c r="AM53" s="448"/>
      <c r="AN53" s="448"/>
      <c r="AO53" s="448"/>
      <c r="AP53" s="448"/>
      <c r="AQ53" s="448"/>
      <c r="AR53" s="448"/>
      <c r="AS53" s="448"/>
      <c r="AT53" s="448"/>
      <c r="AU53" s="448"/>
      <c r="AV53" s="448"/>
      <c r="AW53" s="448"/>
      <c r="AX53" s="448"/>
      <c r="AY53" s="448"/>
      <c r="AZ53" s="448"/>
    </row>
    <row r="54" spans="1:52" ht="15" customHeight="1" thickTop="1" thickBot="1" x14ac:dyDescent="0.25">
      <c r="A54" s="212"/>
      <c r="B54" s="212"/>
      <c r="C54" s="562"/>
      <c r="D54" s="562"/>
      <c r="E54" s="571"/>
      <c r="F54" s="212"/>
      <c r="G54" s="212"/>
      <c r="H54" s="212"/>
      <c r="I54" s="212"/>
      <c r="J54" s="212"/>
      <c r="K54" s="212"/>
      <c r="L54" s="212"/>
      <c r="M54" s="212"/>
      <c r="N54" s="212"/>
      <c r="O54" s="212"/>
      <c r="P54" s="212"/>
      <c r="Q54" s="212"/>
      <c r="R54" s="212"/>
      <c r="S54" s="212"/>
      <c r="T54" s="212"/>
      <c r="U54" s="212"/>
      <c r="V54" s="212"/>
      <c r="W54" s="212"/>
      <c r="X54" s="212"/>
      <c r="Y54" s="212"/>
      <c r="Z54" s="212"/>
      <c r="AA54" s="212"/>
      <c r="AB54" s="448"/>
      <c r="AC54" s="448"/>
      <c r="AD54" s="448"/>
      <c r="AE54" s="448"/>
      <c r="AF54" s="448"/>
      <c r="AG54" s="448"/>
      <c r="AH54" s="448"/>
      <c r="AI54" s="448"/>
      <c r="AJ54" s="448"/>
      <c r="AK54" s="448"/>
      <c r="AL54" s="448"/>
      <c r="AM54" s="448"/>
      <c r="AN54" s="448"/>
      <c r="AO54" s="448"/>
      <c r="AP54" s="448"/>
      <c r="AQ54" s="448"/>
      <c r="AR54" s="448"/>
      <c r="AS54" s="448"/>
      <c r="AT54" s="448"/>
      <c r="AU54" s="448"/>
      <c r="AV54" s="448"/>
      <c r="AW54" s="448"/>
      <c r="AX54" s="448"/>
      <c r="AY54" s="448"/>
      <c r="AZ54" s="448"/>
    </row>
    <row r="55" spans="1:52" ht="21" customHeight="1" thickBot="1" x14ac:dyDescent="0.25">
      <c r="A55" s="1010" t="s">
        <v>700</v>
      </c>
      <c r="B55" s="706"/>
      <c r="C55" s="707">
        <f ca="1">SUM(C53,C47,C35)</f>
        <v>0</v>
      </c>
      <c r="D55" s="708" t="str">
        <f ca="1">IF(GHSTK=0,"",C55/GHSTK)</f>
        <v/>
      </c>
      <c r="E55" s="572" t="e">
        <f>SUM(E7:E54)</f>
        <v>#REF!</v>
      </c>
      <c r="F55" s="212"/>
      <c r="G55" s="212"/>
      <c r="H55" s="212"/>
      <c r="I55" s="212"/>
      <c r="J55" s="212"/>
      <c r="K55" s="212"/>
      <c r="L55" s="212"/>
      <c r="M55" s="212"/>
      <c r="N55" s="212"/>
      <c r="O55" s="212"/>
      <c r="P55" s="212"/>
      <c r="Q55" s="212"/>
      <c r="R55" s="212"/>
      <c r="S55" s="212"/>
      <c r="T55" s="212"/>
      <c r="U55" s="212"/>
      <c r="V55" s="212"/>
      <c r="W55" s="212"/>
      <c r="X55" s="212"/>
      <c r="Y55" s="212"/>
      <c r="Z55" s="212"/>
      <c r="AA55" s="212"/>
      <c r="AB55" s="448"/>
      <c r="AC55" s="448"/>
      <c r="AD55" s="448"/>
      <c r="AE55" s="448"/>
      <c r="AF55" s="448"/>
      <c r="AG55" s="448"/>
      <c r="AH55" s="448"/>
      <c r="AI55" s="448"/>
      <c r="AJ55" s="448"/>
      <c r="AK55" s="448"/>
      <c r="AL55" s="448"/>
      <c r="AM55" s="448"/>
      <c r="AN55" s="448"/>
      <c r="AO55" s="448"/>
      <c r="AP55" s="448"/>
      <c r="AQ55" s="448"/>
      <c r="AR55" s="448"/>
      <c r="AS55" s="448"/>
      <c r="AT55" s="448"/>
      <c r="AU55" s="448"/>
      <c r="AV55" s="448"/>
      <c r="AW55" s="448"/>
      <c r="AX55" s="448"/>
      <c r="AY55" s="448"/>
      <c r="AZ55" s="448"/>
    </row>
    <row r="56" spans="1:52" ht="21" customHeight="1" x14ac:dyDescent="0.2">
      <c r="A56" s="569" t="s">
        <v>689</v>
      </c>
      <c r="B56" s="212"/>
      <c r="C56" s="573">
        <f ca="1">Finanzierungsplan!C6+Finanzierungsplan!C7+Finanzierungsplan!C8</f>
        <v>0</v>
      </c>
      <c r="D56" s="568"/>
      <c r="E56" s="573">
        <f>Finanzierungsplan!D6+Finanzierungsplan!D8</f>
        <v>0</v>
      </c>
      <c r="F56" s="212"/>
      <c r="G56" s="212"/>
      <c r="H56" s="212"/>
      <c r="I56" s="212"/>
      <c r="J56" s="212"/>
      <c r="K56" s="212"/>
      <c r="L56" s="212"/>
      <c r="M56" s="212"/>
      <c r="N56" s="212"/>
      <c r="O56" s="212"/>
      <c r="P56" s="212"/>
      <c r="Q56" s="212"/>
      <c r="R56" s="212"/>
      <c r="S56" s="212"/>
      <c r="T56" s="212"/>
      <c r="U56" s="212"/>
      <c r="V56" s="212"/>
      <c r="W56" s="212"/>
      <c r="X56" s="212"/>
      <c r="Y56" s="212"/>
      <c r="Z56" s="212"/>
      <c r="AA56" s="212"/>
      <c r="AB56" s="448"/>
      <c r="AC56" s="448"/>
      <c r="AD56" s="448"/>
      <c r="AE56" s="448"/>
      <c r="AF56" s="448"/>
      <c r="AG56" s="448"/>
      <c r="AH56" s="448"/>
      <c r="AI56" s="448"/>
      <c r="AJ56" s="448"/>
      <c r="AK56" s="448"/>
      <c r="AL56" s="448"/>
      <c r="AM56" s="448"/>
      <c r="AN56" s="448"/>
      <c r="AO56" s="448"/>
      <c r="AP56" s="448"/>
      <c r="AQ56" s="448"/>
      <c r="AR56" s="448"/>
      <c r="AS56" s="448"/>
      <c r="AT56" s="448"/>
      <c r="AU56" s="448"/>
      <c r="AV56" s="448"/>
      <c r="AW56" s="448"/>
      <c r="AX56" s="448"/>
      <c r="AY56" s="448"/>
      <c r="AZ56" s="448"/>
    </row>
    <row r="57" spans="1:52" ht="21" hidden="1" customHeight="1" outlineLevel="1" x14ac:dyDescent="0.2">
      <c r="A57" s="935" t="s">
        <v>801</v>
      </c>
      <c r="B57" s="935"/>
      <c r="C57" s="213">
        <f ca="1">C55-C56</f>
        <v>0</v>
      </c>
      <c r="D57" s="212"/>
      <c r="E57" s="212"/>
      <c r="F57" s="212"/>
      <c r="G57" s="212"/>
      <c r="H57" s="212"/>
      <c r="I57" s="212"/>
      <c r="J57" s="212"/>
      <c r="K57" s="212"/>
      <c r="L57" s="212"/>
      <c r="M57" s="212"/>
      <c r="N57" s="212"/>
      <c r="O57" s="212"/>
      <c r="P57" s="212"/>
      <c r="Q57" s="212"/>
      <c r="R57" s="212"/>
      <c r="S57" s="212"/>
      <c r="T57" s="212"/>
      <c r="U57" s="212"/>
      <c r="V57" s="212"/>
      <c r="W57" s="212"/>
      <c r="X57" s="212"/>
      <c r="Y57" s="212"/>
      <c r="Z57" s="212"/>
      <c r="AA57" s="212"/>
      <c r="AB57" s="448"/>
      <c r="AC57" s="448"/>
      <c r="AD57" s="448"/>
      <c r="AE57" s="448"/>
      <c r="AF57" s="448"/>
      <c r="AG57" s="448"/>
      <c r="AH57" s="448"/>
      <c r="AI57" s="448"/>
      <c r="AJ57" s="448"/>
      <c r="AK57" s="448"/>
      <c r="AL57" s="448"/>
      <c r="AM57" s="448"/>
      <c r="AN57" s="448"/>
      <c r="AO57" s="448"/>
      <c r="AP57" s="448"/>
      <c r="AQ57" s="448"/>
      <c r="AR57" s="448"/>
      <c r="AS57" s="448"/>
      <c r="AT57" s="448"/>
      <c r="AU57" s="448"/>
      <c r="AV57" s="448"/>
      <c r="AW57" s="448"/>
      <c r="AX57" s="448"/>
      <c r="AY57" s="448"/>
      <c r="AZ57" s="448"/>
    </row>
    <row r="58" spans="1:52" collapsed="1" x14ac:dyDescent="0.2">
      <c r="A58" s="212"/>
      <c r="B58" s="212"/>
      <c r="C58" s="212"/>
      <c r="D58" s="212"/>
      <c r="E58" s="212"/>
      <c r="F58" s="212"/>
      <c r="G58" s="212"/>
      <c r="H58" s="212"/>
      <c r="I58" s="212"/>
      <c r="J58" s="212"/>
      <c r="K58" s="212"/>
      <c r="L58" s="212"/>
      <c r="M58" s="212"/>
      <c r="N58" s="212"/>
      <c r="O58" s="212"/>
      <c r="P58" s="212"/>
      <c r="Q58" s="212"/>
      <c r="R58" s="212"/>
      <c r="S58" s="212"/>
      <c r="T58" s="212"/>
      <c r="U58" s="212"/>
      <c r="V58" s="212"/>
      <c r="W58" s="212"/>
      <c r="X58" s="212"/>
      <c r="Y58" s="212"/>
      <c r="Z58" s="212"/>
      <c r="AA58" s="212"/>
      <c r="AB58" s="448"/>
      <c r="AC58" s="448"/>
      <c r="AD58" s="448"/>
      <c r="AE58" s="448"/>
      <c r="AF58" s="448"/>
      <c r="AG58" s="448"/>
      <c r="AH58" s="448"/>
      <c r="AI58" s="448"/>
      <c r="AJ58" s="448"/>
      <c r="AK58" s="448"/>
      <c r="AL58" s="448"/>
      <c r="AM58" s="448"/>
      <c r="AN58" s="448"/>
      <c r="AO58" s="448"/>
      <c r="AP58" s="448"/>
      <c r="AQ58" s="448"/>
      <c r="AR58" s="448"/>
      <c r="AS58" s="448"/>
      <c r="AT58" s="448"/>
      <c r="AU58" s="448"/>
      <c r="AV58" s="448"/>
      <c r="AW58" s="448"/>
      <c r="AX58" s="448"/>
      <c r="AY58" s="448"/>
      <c r="AZ58" s="448"/>
    </row>
    <row r="59" spans="1:52" x14ac:dyDescent="0.2">
      <c r="A59" s="212"/>
      <c r="B59" s="212"/>
      <c r="C59" s="212"/>
      <c r="D59" s="212"/>
      <c r="E59" s="212"/>
      <c r="F59" s="212"/>
      <c r="G59" s="212"/>
      <c r="H59" s="212"/>
      <c r="I59" s="212"/>
      <c r="J59" s="212"/>
      <c r="K59" s="212"/>
      <c r="L59" s="212"/>
      <c r="M59" s="212"/>
      <c r="N59" s="212"/>
      <c r="O59" s="212"/>
      <c r="P59" s="212"/>
      <c r="Q59" s="212"/>
      <c r="R59" s="212"/>
      <c r="S59" s="212"/>
      <c r="T59" s="212"/>
      <c r="U59" s="212"/>
      <c r="V59" s="212"/>
      <c r="W59" s="212"/>
      <c r="X59" s="212"/>
      <c r="Y59" s="212"/>
      <c r="Z59" s="212"/>
      <c r="AA59" s="212"/>
      <c r="AB59" s="448"/>
      <c r="AC59" s="448"/>
      <c r="AD59" s="448"/>
      <c r="AE59" s="448"/>
      <c r="AF59" s="448"/>
      <c r="AG59" s="448"/>
      <c r="AH59" s="448"/>
      <c r="AI59" s="448"/>
      <c r="AJ59" s="448"/>
      <c r="AK59" s="448"/>
      <c r="AL59" s="448"/>
      <c r="AM59" s="448"/>
      <c r="AN59" s="448"/>
      <c r="AO59" s="448"/>
      <c r="AP59" s="448"/>
      <c r="AQ59" s="448"/>
      <c r="AR59" s="448"/>
      <c r="AS59" s="448"/>
      <c r="AT59" s="448"/>
      <c r="AU59" s="448"/>
      <c r="AV59" s="448"/>
      <c r="AW59" s="448"/>
      <c r="AX59" s="448"/>
      <c r="AY59" s="448"/>
      <c r="AZ59" s="448"/>
    </row>
    <row r="60" spans="1:52" x14ac:dyDescent="0.2">
      <c r="A60" s="212"/>
      <c r="B60" s="212"/>
      <c r="C60" s="212"/>
      <c r="D60" s="212"/>
      <c r="E60" s="212"/>
      <c r="F60" s="212"/>
      <c r="G60" s="212"/>
      <c r="H60" s="212"/>
      <c r="I60" s="212"/>
      <c r="J60" s="212"/>
      <c r="K60" s="212"/>
      <c r="L60" s="212"/>
      <c r="M60" s="212"/>
      <c r="N60" s="212"/>
      <c r="O60" s="212"/>
      <c r="P60" s="212"/>
      <c r="Q60" s="212"/>
      <c r="R60" s="212"/>
      <c r="S60" s="212"/>
      <c r="T60" s="212"/>
      <c r="U60" s="212"/>
      <c r="V60" s="212"/>
      <c r="W60" s="212"/>
      <c r="X60" s="212"/>
      <c r="Y60" s="212"/>
      <c r="Z60" s="212"/>
      <c r="AA60" s="212"/>
      <c r="AB60" s="448"/>
      <c r="AC60" s="448"/>
      <c r="AD60" s="448"/>
      <c r="AE60" s="448"/>
      <c r="AF60" s="448"/>
      <c r="AG60" s="448"/>
      <c r="AH60" s="448"/>
      <c r="AI60" s="448"/>
      <c r="AJ60" s="448"/>
      <c r="AK60" s="448"/>
      <c r="AL60" s="448"/>
      <c r="AM60" s="448"/>
      <c r="AN60" s="448"/>
      <c r="AO60" s="448"/>
      <c r="AP60" s="448"/>
      <c r="AQ60" s="448"/>
      <c r="AR60" s="448"/>
      <c r="AS60" s="448"/>
      <c r="AT60" s="448"/>
      <c r="AU60" s="448"/>
      <c r="AV60" s="448"/>
      <c r="AW60" s="448"/>
      <c r="AX60" s="448"/>
      <c r="AY60" s="448"/>
      <c r="AZ60" s="448"/>
    </row>
    <row r="61" spans="1:52" x14ac:dyDescent="0.2">
      <c r="A61" s="212"/>
      <c r="B61" s="212"/>
      <c r="C61" s="212"/>
      <c r="D61" s="212"/>
      <c r="E61" s="212"/>
      <c r="F61" s="212"/>
      <c r="G61" s="212"/>
      <c r="H61" s="212"/>
      <c r="I61" s="212"/>
      <c r="J61" s="212"/>
      <c r="K61" s="212"/>
      <c r="L61" s="212"/>
      <c r="M61" s="212"/>
      <c r="N61" s="212"/>
      <c r="O61" s="212"/>
      <c r="P61" s="212"/>
      <c r="Q61" s="212"/>
      <c r="R61" s="212"/>
      <c r="S61" s="212"/>
      <c r="T61" s="212"/>
      <c r="U61" s="212"/>
      <c r="V61" s="212"/>
      <c r="W61" s="212"/>
      <c r="X61" s="212"/>
      <c r="Y61" s="212"/>
      <c r="Z61" s="212"/>
      <c r="AA61" s="212"/>
      <c r="AB61" s="448"/>
      <c r="AC61" s="448"/>
      <c r="AD61" s="448"/>
      <c r="AE61" s="448"/>
      <c r="AF61" s="448"/>
      <c r="AG61" s="448"/>
      <c r="AH61" s="448"/>
      <c r="AI61" s="448"/>
      <c r="AJ61" s="448"/>
      <c r="AK61" s="448"/>
      <c r="AL61" s="448"/>
      <c r="AM61" s="448"/>
      <c r="AN61" s="448"/>
      <c r="AO61" s="448"/>
      <c r="AP61" s="448"/>
      <c r="AQ61" s="448"/>
      <c r="AR61" s="448"/>
      <c r="AS61" s="448"/>
      <c r="AT61" s="448"/>
      <c r="AU61" s="448"/>
      <c r="AV61" s="448"/>
      <c r="AW61" s="448"/>
      <c r="AX61" s="448"/>
      <c r="AY61" s="448"/>
      <c r="AZ61" s="448"/>
    </row>
    <row r="62" spans="1:52" x14ac:dyDescent="0.2">
      <c r="A62" s="212"/>
      <c r="B62" s="212"/>
      <c r="C62" s="212"/>
      <c r="D62" s="212"/>
      <c r="E62" s="212"/>
      <c r="F62" s="212"/>
      <c r="G62" s="212"/>
      <c r="H62" s="212"/>
      <c r="I62" s="212"/>
      <c r="J62" s="212"/>
      <c r="K62" s="212"/>
      <c r="L62" s="212"/>
      <c r="M62" s="212"/>
      <c r="N62" s="212"/>
      <c r="O62" s="212"/>
      <c r="P62" s="212"/>
      <c r="Q62" s="212"/>
      <c r="R62" s="212"/>
      <c r="S62" s="212"/>
      <c r="T62" s="212"/>
      <c r="U62" s="212"/>
      <c r="V62" s="212"/>
      <c r="W62" s="212"/>
      <c r="X62" s="212"/>
      <c r="Y62" s="212"/>
      <c r="Z62" s="212"/>
      <c r="AA62" s="212"/>
      <c r="AB62" s="448"/>
      <c r="AC62" s="448"/>
      <c r="AD62" s="448"/>
      <c r="AE62" s="448"/>
      <c r="AF62" s="448"/>
      <c r="AG62" s="448"/>
      <c r="AH62" s="448"/>
      <c r="AI62" s="448"/>
      <c r="AJ62" s="448"/>
      <c r="AK62" s="448"/>
      <c r="AL62" s="448"/>
      <c r="AM62" s="448"/>
      <c r="AN62" s="448"/>
      <c r="AO62" s="448"/>
      <c r="AP62" s="448"/>
      <c r="AQ62" s="448"/>
      <c r="AR62" s="448"/>
      <c r="AS62" s="448"/>
      <c r="AT62" s="448"/>
      <c r="AU62" s="448"/>
      <c r="AV62" s="448"/>
      <c r="AW62" s="448"/>
      <c r="AX62" s="448"/>
      <c r="AY62" s="448"/>
      <c r="AZ62" s="448"/>
    </row>
    <row r="63" spans="1:52" x14ac:dyDescent="0.2">
      <c r="A63" s="212"/>
      <c r="B63" s="212"/>
      <c r="C63" s="212"/>
      <c r="D63" s="212"/>
      <c r="E63" s="212"/>
      <c r="F63" s="212"/>
      <c r="G63" s="212"/>
      <c r="H63" s="212"/>
      <c r="I63" s="212"/>
      <c r="J63" s="212"/>
      <c r="K63" s="212"/>
      <c r="L63" s="212"/>
      <c r="M63" s="212"/>
      <c r="N63" s="212"/>
      <c r="O63" s="212"/>
      <c r="P63" s="212"/>
      <c r="Q63" s="212"/>
      <c r="R63" s="212"/>
      <c r="S63" s="212"/>
      <c r="T63" s="212"/>
      <c r="U63" s="212"/>
      <c r="V63" s="212"/>
      <c r="W63" s="212"/>
      <c r="X63" s="212"/>
      <c r="Y63" s="212"/>
      <c r="Z63" s="212"/>
      <c r="AA63" s="212"/>
      <c r="AB63" s="448"/>
      <c r="AC63" s="448"/>
      <c r="AD63" s="448"/>
      <c r="AE63" s="448"/>
      <c r="AF63" s="448"/>
      <c r="AG63" s="448"/>
      <c r="AH63" s="448"/>
      <c r="AI63" s="448"/>
      <c r="AJ63" s="448"/>
      <c r="AK63" s="448"/>
      <c r="AL63" s="448"/>
      <c r="AM63" s="448"/>
      <c r="AN63" s="448"/>
      <c r="AO63" s="448"/>
      <c r="AP63" s="448"/>
      <c r="AQ63" s="448"/>
      <c r="AR63" s="448"/>
      <c r="AS63" s="448"/>
      <c r="AT63" s="448"/>
      <c r="AU63" s="448"/>
      <c r="AV63" s="448"/>
      <c r="AW63" s="448"/>
      <c r="AX63" s="448"/>
      <c r="AY63" s="448"/>
      <c r="AZ63" s="448"/>
    </row>
    <row r="64" spans="1:52" x14ac:dyDescent="0.2">
      <c r="A64" s="212"/>
      <c r="B64" s="212"/>
      <c r="C64" s="212"/>
      <c r="D64" s="212"/>
      <c r="E64" s="212"/>
      <c r="F64" s="212"/>
      <c r="G64" s="212"/>
      <c r="H64" s="212"/>
      <c r="I64" s="212"/>
      <c r="J64" s="212"/>
      <c r="K64" s="212"/>
      <c r="L64" s="212"/>
      <c r="M64" s="212"/>
      <c r="N64" s="212"/>
      <c r="O64" s="212"/>
      <c r="P64" s="212"/>
      <c r="Q64" s="212"/>
      <c r="R64" s="212"/>
      <c r="S64" s="212"/>
      <c r="T64" s="212"/>
      <c r="U64" s="212"/>
      <c r="V64" s="212"/>
      <c r="W64" s="212"/>
      <c r="X64" s="212"/>
      <c r="Y64" s="212"/>
      <c r="Z64" s="212"/>
      <c r="AA64" s="212"/>
      <c r="AB64" s="448"/>
      <c r="AC64" s="448"/>
      <c r="AD64" s="448"/>
      <c r="AE64" s="448"/>
      <c r="AF64" s="448"/>
      <c r="AG64" s="448"/>
      <c r="AH64" s="448"/>
      <c r="AI64" s="448"/>
      <c r="AJ64" s="448"/>
      <c r="AK64" s="448"/>
      <c r="AL64" s="448"/>
      <c r="AM64" s="448"/>
      <c r="AN64" s="448"/>
      <c r="AO64" s="448"/>
      <c r="AP64" s="448"/>
      <c r="AQ64" s="448"/>
      <c r="AR64" s="448"/>
      <c r="AS64" s="448"/>
      <c r="AT64" s="448"/>
      <c r="AU64" s="448"/>
      <c r="AV64" s="448"/>
      <c r="AW64" s="448"/>
      <c r="AX64" s="448"/>
      <c r="AY64" s="448"/>
      <c r="AZ64" s="448"/>
    </row>
    <row r="65" spans="1:52" x14ac:dyDescent="0.2">
      <c r="A65" s="212"/>
      <c r="B65" s="212"/>
      <c r="C65" s="212"/>
      <c r="D65" s="212"/>
      <c r="E65" s="212"/>
      <c r="F65" s="212"/>
      <c r="G65" s="212"/>
      <c r="H65" s="212"/>
      <c r="I65" s="212"/>
      <c r="J65" s="212"/>
      <c r="K65" s="212"/>
      <c r="L65" s="212"/>
      <c r="M65" s="212"/>
      <c r="N65" s="212"/>
      <c r="O65" s="212"/>
      <c r="P65" s="212"/>
      <c r="Q65" s="212"/>
      <c r="R65" s="212"/>
      <c r="S65" s="212"/>
      <c r="T65" s="212"/>
      <c r="U65" s="212"/>
      <c r="V65" s="212"/>
      <c r="W65" s="212"/>
      <c r="X65" s="212"/>
      <c r="Y65" s="212"/>
      <c r="Z65" s="212"/>
      <c r="AA65" s="212"/>
      <c r="AB65" s="448"/>
      <c r="AC65" s="448"/>
      <c r="AD65" s="448"/>
      <c r="AE65" s="448"/>
      <c r="AF65" s="448"/>
      <c r="AG65" s="448"/>
      <c r="AH65" s="448"/>
      <c r="AI65" s="448"/>
      <c r="AJ65" s="448"/>
      <c r="AK65" s="448"/>
      <c r="AL65" s="448"/>
      <c r="AM65" s="448"/>
      <c r="AN65" s="448"/>
      <c r="AO65" s="448"/>
      <c r="AP65" s="448"/>
      <c r="AQ65" s="448"/>
      <c r="AR65" s="448"/>
      <c r="AS65" s="448"/>
      <c r="AT65" s="448"/>
      <c r="AU65" s="448"/>
      <c r="AV65" s="448"/>
      <c r="AW65" s="448"/>
      <c r="AX65" s="448"/>
      <c r="AY65" s="448"/>
      <c r="AZ65" s="448"/>
    </row>
    <row r="66" spans="1:52" x14ac:dyDescent="0.2">
      <c r="A66" s="212"/>
      <c r="B66" s="212"/>
      <c r="C66" s="212"/>
      <c r="D66" s="212"/>
      <c r="E66" s="212"/>
      <c r="F66" s="212"/>
      <c r="G66" s="212"/>
      <c r="H66" s="212"/>
      <c r="I66" s="212"/>
      <c r="J66" s="212"/>
      <c r="K66" s="212"/>
      <c r="L66" s="212"/>
      <c r="M66" s="212"/>
      <c r="N66" s="212"/>
      <c r="O66" s="212"/>
      <c r="P66" s="212"/>
      <c r="Q66" s="212"/>
      <c r="R66" s="212"/>
      <c r="S66" s="212"/>
      <c r="T66" s="212"/>
      <c r="U66" s="212"/>
      <c r="V66" s="212"/>
      <c r="W66" s="212"/>
      <c r="X66" s="212"/>
      <c r="Y66" s="212"/>
      <c r="Z66" s="212"/>
      <c r="AA66" s="212"/>
      <c r="AB66" s="448"/>
      <c r="AC66" s="448"/>
      <c r="AD66" s="448"/>
      <c r="AE66" s="448"/>
      <c r="AF66" s="448"/>
      <c r="AG66" s="448"/>
      <c r="AH66" s="448"/>
      <c r="AI66" s="448"/>
      <c r="AJ66" s="448"/>
      <c r="AK66" s="448"/>
      <c r="AL66" s="448"/>
      <c r="AM66" s="448"/>
      <c r="AN66" s="448"/>
      <c r="AO66" s="448"/>
      <c r="AP66" s="448"/>
      <c r="AQ66" s="448"/>
      <c r="AR66" s="448"/>
      <c r="AS66" s="448"/>
      <c r="AT66" s="448"/>
      <c r="AU66" s="448"/>
      <c r="AV66" s="448"/>
      <c r="AW66" s="448"/>
      <c r="AX66" s="448"/>
      <c r="AY66" s="448"/>
      <c r="AZ66" s="448"/>
    </row>
    <row r="67" spans="1:52" x14ac:dyDescent="0.2">
      <c r="A67" s="212"/>
      <c r="B67" s="212"/>
      <c r="C67" s="212"/>
      <c r="D67" s="212"/>
      <c r="E67" s="212"/>
      <c r="F67" s="212"/>
      <c r="G67" s="212"/>
      <c r="H67" s="212"/>
      <c r="I67" s="212"/>
      <c r="J67" s="212"/>
      <c r="K67" s="212"/>
      <c r="L67" s="212"/>
      <c r="M67" s="212"/>
      <c r="N67" s="212"/>
      <c r="O67" s="212"/>
      <c r="P67" s="212"/>
      <c r="Q67" s="212"/>
      <c r="R67" s="212"/>
      <c r="S67" s="212"/>
      <c r="T67" s="212"/>
      <c r="U67" s="212"/>
      <c r="V67" s="212"/>
      <c r="W67" s="212"/>
      <c r="X67" s="212"/>
      <c r="Y67" s="212"/>
      <c r="Z67" s="212"/>
      <c r="AA67" s="212"/>
      <c r="AB67" s="448"/>
      <c r="AC67" s="448"/>
      <c r="AD67" s="448"/>
      <c r="AE67" s="448"/>
      <c r="AF67" s="448"/>
      <c r="AG67" s="448"/>
      <c r="AH67" s="448"/>
      <c r="AI67" s="448"/>
      <c r="AJ67" s="448"/>
      <c r="AK67" s="448"/>
      <c r="AL67" s="448"/>
      <c r="AM67" s="448"/>
      <c r="AN67" s="448"/>
      <c r="AO67" s="448"/>
      <c r="AP67" s="448"/>
      <c r="AQ67" s="448"/>
      <c r="AR67" s="448"/>
      <c r="AS67" s="448"/>
      <c r="AT67" s="448"/>
      <c r="AU67" s="448"/>
      <c r="AV67" s="448"/>
      <c r="AW67" s="448"/>
      <c r="AX67" s="448"/>
      <c r="AY67" s="448"/>
      <c r="AZ67" s="448"/>
    </row>
    <row r="68" spans="1:52" x14ac:dyDescent="0.2">
      <c r="A68" s="212"/>
      <c r="B68" s="212"/>
      <c r="C68" s="212"/>
      <c r="D68" s="212"/>
      <c r="E68" s="212"/>
      <c r="F68" s="212"/>
      <c r="G68" s="212"/>
      <c r="H68" s="212"/>
      <c r="I68" s="212"/>
      <c r="J68" s="212"/>
      <c r="K68" s="212"/>
      <c r="L68" s="212"/>
      <c r="M68" s="212"/>
      <c r="N68" s="212"/>
      <c r="O68" s="212"/>
      <c r="P68" s="212"/>
      <c r="Q68" s="212"/>
      <c r="R68" s="212"/>
      <c r="S68" s="212"/>
      <c r="T68" s="212"/>
      <c r="U68" s="212"/>
      <c r="V68" s="212"/>
      <c r="W68" s="212"/>
      <c r="X68" s="212"/>
      <c r="Y68" s="212"/>
      <c r="Z68" s="212"/>
      <c r="AA68" s="212"/>
      <c r="AB68" s="448"/>
      <c r="AC68" s="448"/>
      <c r="AD68" s="448"/>
      <c r="AE68" s="448"/>
      <c r="AF68" s="448"/>
      <c r="AG68" s="448"/>
      <c r="AH68" s="448"/>
      <c r="AI68" s="448"/>
      <c r="AJ68" s="448"/>
      <c r="AK68" s="448"/>
      <c r="AL68" s="448"/>
      <c r="AM68" s="448"/>
      <c r="AN68" s="448"/>
      <c r="AO68" s="448"/>
      <c r="AP68" s="448"/>
      <c r="AQ68" s="448"/>
      <c r="AR68" s="448"/>
      <c r="AS68" s="448"/>
      <c r="AT68" s="448"/>
      <c r="AU68" s="448"/>
      <c r="AV68" s="448"/>
      <c r="AW68" s="448"/>
      <c r="AX68" s="448"/>
      <c r="AY68" s="448"/>
      <c r="AZ68" s="448"/>
    </row>
    <row r="69" spans="1:52" x14ac:dyDescent="0.2">
      <c r="A69" s="212"/>
      <c r="B69" s="212"/>
      <c r="C69" s="212"/>
      <c r="D69" s="212"/>
      <c r="E69" s="212"/>
      <c r="F69" s="212"/>
      <c r="G69" s="212"/>
      <c r="H69" s="212"/>
      <c r="I69" s="212"/>
      <c r="J69" s="212"/>
      <c r="K69" s="212"/>
      <c r="L69" s="212"/>
      <c r="M69" s="212"/>
      <c r="N69" s="212"/>
      <c r="O69" s="212"/>
      <c r="P69" s="212"/>
      <c r="Q69" s="212"/>
      <c r="R69" s="212"/>
      <c r="S69" s="212"/>
      <c r="T69" s="212"/>
      <c r="U69" s="212"/>
      <c r="V69" s="212"/>
      <c r="W69" s="212"/>
      <c r="X69" s="212"/>
      <c r="Y69" s="212"/>
      <c r="Z69" s="212"/>
      <c r="AA69" s="212"/>
      <c r="AB69" s="448"/>
      <c r="AC69" s="448"/>
      <c r="AD69" s="448"/>
      <c r="AE69" s="448"/>
      <c r="AF69" s="448"/>
      <c r="AG69" s="448"/>
      <c r="AH69" s="448"/>
      <c r="AI69" s="448"/>
      <c r="AJ69" s="448"/>
      <c r="AK69" s="448"/>
      <c r="AL69" s="448"/>
      <c r="AM69" s="448"/>
      <c r="AN69" s="448"/>
      <c r="AO69" s="448"/>
      <c r="AP69" s="448"/>
      <c r="AQ69" s="448"/>
      <c r="AR69" s="448"/>
      <c r="AS69" s="448"/>
      <c r="AT69" s="448"/>
      <c r="AU69" s="448"/>
      <c r="AV69" s="448"/>
      <c r="AW69" s="448"/>
      <c r="AX69" s="448"/>
      <c r="AY69" s="448"/>
      <c r="AZ69" s="448"/>
    </row>
    <row r="70" spans="1:52" x14ac:dyDescent="0.2">
      <c r="A70" s="212"/>
      <c r="B70" s="212"/>
      <c r="C70" s="212"/>
      <c r="D70" s="212"/>
      <c r="E70" s="212"/>
      <c r="F70" s="212"/>
      <c r="G70" s="212"/>
      <c r="H70" s="212"/>
      <c r="I70" s="212"/>
      <c r="J70" s="212"/>
      <c r="K70" s="212"/>
      <c r="L70" s="212"/>
      <c r="M70" s="212"/>
      <c r="N70" s="212"/>
      <c r="O70" s="212"/>
      <c r="P70" s="212"/>
      <c r="Q70" s="212"/>
      <c r="R70" s="212"/>
      <c r="S70" s="212"/>
      <c r="T70" s="212"/>
      <c r="U70" s="212"/>
      <c r="V70" s="212"/>
      <c r="W70" s="212"/>
      <c r="X70" s="212"/>
      <c r="Y70" s="212"/>
      <c r="Z70" s="212"/>
      <c r="AA70" s="212"/>
      <c r="AB70" s="448"/>
      <c r="AC70" s="448"/>
      <c r="AD70" s="448"/>
      <c r="AE70" s="448"/>
      <c r="AF70" s="448"/>
      <c r="AG70" s="448"/>
      <c r="AH70" s="448"/>
      <c r="AI70" s="448"/>
      <c r="AJ70" s="448"/>
      <c r="AK70" s="448"/>
      <c r="AL70" s="448"/>
      <c r="AM70" s="448"/>
      <c r="AN70" s="448"/>
      <c r="AO70" s="448"/>
      <c r="AP70" s="448"/>
      <c r="AQ70" s="448"/>
      <c r="AR70" s="448"/>
      <c r="AS70" s="448"/>
      <c r="AT70" s="448"/>
      <c r="AU70" s="448"/>
      <c r="AV70" s="448"/>
      <c r="AW70" s="448"/>
      <c r="AX70" s="448"/>
      <c r="AY70" s="448"/>
      <c r="AZ70" s="448"/>
    </row>
    <row r="71" spans="1:52" x14ac:dyDescent="0.2">
      <c r="A71" s="212"/>
      <c r="B71" s="212"/>
      <c r="C71" s="212"/>
      <c r="D71" s="212"/>
      <c r="E71" s="212"/>
      <c r="F71" s="212"/>
      <c r="G71" s="212"/>
      <c r="H71" s="212"/>
      <c r="I71" s="212"/>
      <c r="J71" s="212"/>
      <c r="K71" s="212"/>
      <c r="L71" s="212"/>
      <c r="M71" s="212"/>
      <c r="N71" s="212"/>
      <c r="O71" s="212"/>
      <c r="P71" s="212"/>
      <c r="Q71" s="212"/>
      <c r="R71" s="212"/>
      <c r="S71" s="212"/>
      <c r="T71" s="212"/>
      <c r="U71" s="212"/>
      <c r="V71" s="212"/>
      <c r="W71" s="212"/>
      <c r="X71" s="212"/>
      <c r="Y71" s="212"/>
      <c r="Z71" s="212"/>
      <c r="AA71" s="212"/>
      <c r="AB71" s="448"/>
      <c r="AC71" s="448"/>
      <c r="AD71" s="448"/>
      <c r="AE71" s="448"/>
      <c r="AF71" s="448"/>
      <c r="AG71" s="448"/>
      <c r="AH71" s="448"/>
      <c r="AI71" s="448"/>
      <c r="AJ71" s="448"/>
      <c r="AK71" s="448"/>
      <c r="AL71" s="448"/>
      <c r="AM71" s="448"/>
      <c r="AN71" s="448"/>
      <c r="AO71" s="448"/>
      <c r="AP71" s="448"/>
      <c r="AQ71" s="448"/>
      <c r="AR71" s="448"/>
      <c r="AS71" s="448"/>
      <c r="AT71" s="448"/>
      <c r="AU71" s="448"/>
      <c r="AV71" s="448"/>
      <c r="AW71" s="448"/>
      <c r="AX71" s="448"/>
      <c r="AY71" s="448"/>
      <c r="AZ71" s="448"/>
    </row>
    <row r="72" spans="1:52" x14ac:dyDescent="0.2">
      <c r="A72" s="212"/>
      <c r="B72" s="212"/>
      <c r="C72" s="212"/>
      <c r="D72" s="212"/>
      <c r="E72" s="212"/>
      <c r="F72" s="212"/>
      <c r="G72" s="212"/>
      <c r="H72" s="212"/>
      <c r="I72" s="212"/>
      <c r="J72" s="212"/>
      <c r="K72" s="212"/>
      <c r="L72" s="212"/>
      <c r="M72" s="212"/>
      <c r="N72" s="212"/>
      <c r="O72" s="212"/>
      <c r="P72" s="212"/>
      <c r="Q72" s="212"/>
      <c r="R72" s="212"/>
      <c r="S72" s="212"/>
      <c r="T72" s="212"/>
      <c r="U72" s="212"/>
      <c r="V72" s="212"/>
      <c r="W72" s="212"/>
      <c r="X72" s="212"/>
      <c r="Y72" s="212"/>
      <c r="Z72" s="212"/>
      <c r="AA72" s="212"/>
      <c r="AB72" s="448"/>
      <c r="AC72" s="448"/>
      <c r="AD72" s="448"/>
      <c r="AE72" s="448"/>
      <c r="AF72" s="448"/>
      <c r="AG72" s="448"/>
      <c r="AH72" s="448"/>
      <c r="AI72" s="448"/>
      <c r="AJ72" s="448"/>
      <c r="AK72" s="448"/>
      <c r="AL72" s="448"/>
      <c r="AM72" s="448"/>
      <c r="AN72" s="448"/>
      <c r="AO72" s="448"/>
      <c r="AP72" s="448"/>
      <c r="AQ72" s="448"/>
      <c r="AR72" s="448"/>
      <c r="AS72" s="448"/>
      <c r="AT72" s="448"/>
      <c r="AU72" s="448"/>
      <c r="AV72" s="448"/>
      <c r="AW72" s="448"/>
      <c r="AX72" s="448"/>
      <c r="AY72" s="448"/>
      <c r="AZ72" s="448"/>
    </row>
    <row r="73" spans="1:52" x14ac:dyDescent="0.2">
      <c r="A73" s="212"/>
      <c r="B73" s="212"/>
      <c r="C73" s="212"/>
      <c r="D73" s="212"/>
      <c r="E73" s="212"/>
      <c r="F73" s="212"/>
      <c r="G73" s="212"/>
      <c r="H73" s="212"/>
      <c r="I73" s="212"/>
      <c r="J73" s="212"/>
      <c r="K73" s="212"/>
      <c r="L73" s="212"/>
      <c r="M73" s="212"/>
      <c r="N73" s="212"/>
      <c r="O73" s="212"/>
      <c r="P73" s="212"/>
      <c r="Q73" s="212"/>
      <c r="R73" s="212"/>
      <c r="S73" s="212"/>
      <c r="T73" s="212"/>
      <c r="U73" s="212"/>
      <c r="V73" s="212"/>
      <c r="W73" s="212"/>
      <c r="X73" s="212"/>
      <c r="Y73" s="212"/>
      <c r="Z73" s="212"/>
      <c r="AA73" s="212"/>
      <c r="AB73" s="448"/>
      <c r="AC73" s="448"/>
      <c r="AD73" s="448"/>
      <c r="AE73" s="448"/>
      <c r="AF73" s="448"/>
      <c r="AG73" s="448"/>
      <c r="AH73" s="448"/>
      <c r="AI73" s="448"/>
      <c r="AJ73" s="448"/>
      <c r="AK73" s="448"/>
      <c r="AL73" s="448"/>
      <c r="AM73" s="448"/>
      <c r="AN73" s="448"/>
      <c r="AO73" s="448"/>
      <c r="AP73" s="448"/>
      <c r="AQ73" s="448"/>
      <c r="AR73" s="448"/>
      <c r="AS73" s="448"/>
      <c r="AT73" s="448"/>
      <c r="AU73" s="448"/>
      <c r="AV73" s="448"/>
      <c r="AW73" s="448"/>
      <c r="AX73" s="448"/>
      <c r="AY73" s="448"/>
      <c r="AZ73" s="448"/>
    </row>
    <row r="74" spans="1:52" x14ac:dyDescent="0.2">
      <c r="A74" s="212"/>
      <c r="B74" s="212"/>
      <c r="C74" s="212"/>
      <c r="D74" s="212"/>
      <c r="E74" s="212"/>
      <c r="F74" s="212"/>
      <c r="G74" s="212"/>
      <c r="H74" s="212"/>
      <c r="I74" s="212"/>
      <c r="J74" s="212"/>
      <c r="K74" s="212"/>
      <c r="L74" s="212"/>
      <c r="M74" s="212"/>
      <c r="N74" s="212"/>
      <c r="O74" s="212"/>
      <c r="P74" s="212"/>
      <c r="Q74" s="212"/>
      <c r="R74" s="212"/>
      <c r="S74" s="212"/>
      <c r="T74" s="212"/>
      <c r="U74" s="212"/>
      <c r="V74" s="212"/>
      <c r="W74" s="212"/>
      <c r="X74" s="212"/>
      <c r="Y74" s="212"/>
      <c r="Z74" s="212"/>
      <c r="AA74" s="212"/>
      <c r="AB74" s="448"/>
      <c r="AC74" s="448"/>
      <c r="AD74" s="448"/>
      <c r="AE74" s="448"/>
      <c r="AF74" s="448"/>
      <c r="AG74" s="448"/>
      <c r="AH74" s="448"/>
      <c r="AI74" s="448"/>
      <c r="AJ74" s="448"/>
      <c r="AK74" s="448"/>
      <c r="AL74" s="448"/>
      <c r="AM74" s="448"/>
      <c r="AN74" s="448"/>
      <c r="AO74" s="448"/>
      <c r="AP74" s="448"/>
      <c r="AQ74" s="448"/>
      <c r="AR74" s="448"/>
      <c r="AS74" s="448"/>
      <c r="AT74" s="448"/>
      <c r="AU74" s="448"/>
      <c r="AV74" s="448"/>
      <c r="AW74" s="448"/>
      <c r="AX74" s="448"/>
      <c r="AY74" s="448"/>
      <c r="AZ74" s="448"/>
    </row>
    <row r="75" spans="1:52" x14ac:dyDescent="0.2">
      <c r="A75" s="212"/>
      <c r="B75" s="212"/>
      <c r="C75" s="212"/>
      <c r="D75" s="212"/>
      <c r="E75" s="212"/>
      <c r="F75" s="212"/>
      <c r="G75" s="212"/>
      <c r="H75" s="212"/>
      <c r="I75" s="212"/>
      <c r="J75" s="212"/>
      <c r="K75" s="212"/>
      <c r="L75" s="212"/>
      <c r="M75" s="212"/>
      <c r="N75" s="212"/>
      <c r="O75" s="212"/>
      <c r="P75" s="212"/>
      <c r="Q75" s="212"/>
      <c r="R75" s="212"/>
      <c r="S75" s="212"/>
      <c r="T75" s="212"/>
      <c r="U75" s="212"/>
      <c r="V75" s="212"/>
      <c r="W75" s="212"/>
      <c r="X75" s="212"/>
      <c r="Y75" s="212"/>
      <c r="Z75" s="212"/>
      <c r="AA75" s="212"/>
      <c r="AB75" s="448"/>
      <c r="AC75" s="448"/>
      <c r="AD75" s="448"/>
      <c r="AE75" s="448"/>
      <c r="AF75" s="448"/>
      <c r="AG75" s="448"/>
      <c r="AH75" s="448"/>
      <c r="AI75" s="448"/>
      <c r="AJ75" s="448"/>
      <c r="AK75" s="448"/>
      <c r="AL75" s="448"/>
      <c r="AM75" s="448"/>
      <c r="AN75" s="448"/>
      <c r="AO75" s="448"/>
      <c r="AP75" s="448"/>
      <c r="AQ75" s="448"/>
      <c r="AR75" s="448"/>
      <c r="AS75" s="448"/>
      <c r="AT75" s="448"/>
      <c r="AU75" s="448"/>
      <c r="AV75" s="448"/>
      <c r="AW75" s="448"/>
      <c r="AX75" s="448"/>
      <c r="AY75" s="448"/>
      <c r="AZ75" s="448"/>
    </row>
    <row r="76" spans="1:52" x14ac:dyDescent="0.2">
      <c r="A76" s="448"/>
      <c r="B76" s="448"/>
      <c r="C76" s="448"/>
      <c r="D76" s="448"/>
      <c r="E76" s="448"/>
      <c r="F76" s="448"/>
      <c r="G76" s="448"/>
      <c r="H76" s="448"/>
      <c r="I76" s="448"/>
      <c r="J76" s="448"/>
      <c r="K76" s="448"/>
      <c r="L76" s="448"/>
      <c r="M76" s="448"/>
      <c r="N76" s="448"/>
      <c r="O76" s="448"/>
      <c r="P76" s="448"/>
      <c r="Q76" s="448"/>
      <c r="R76" s="448"/>
      <c r="S76" s="448"/>
      <c r="T76" s="448"/>
      <c r="U76" s="448"/>
      <c r="V76" s="448"/>
      <c r="W76" s="448"/>
      <c r="X76" s="448"/>
      <c r="Y76" s="448"/>
      <c r="Z76" s="448"/>
      <c r="AA76" s="448"/>
      <c r="AB76" s="448"/>
      <c r="AC76" s="448"/>
      <c r="AD76" s="448"/>
      <c r="AE76" s="448"/>
      <c r="AF76" s="448"/>
      <c r="AG76" s="448"/>
      <c r="AH76" s="448"/>
      <c r="AI76" s="448"/>
      <c r="AJ76" s="448"/>
      <c r="AK76" s="448"/>
      <c r="AL76" s="448"/>
      <c r="AM76" s="448"/>
      <c r="AN76" s="448"/>
      <c r="AO76" s="448"/>
      <c r="AP76" s="448"/>
      <c r="AQ76" s="448"/>
      <c r="AR76" s="448"/>
      <c r="AS76" s="448"/>
      <c r="AT76" s="448"/>
      <c r="AU76" s="448"/>
      <c r="AV76" s="448"/>
      <c r="AW76" s="448"/>
      <c r="AX76" s="448"/>
      <c r="AY76" s="448"/>
      <c r="AZ76" s="448"/>
    </row>
    <row r="77" spans="1:52" x14ac:dyDescent="0.2">
      <c r="A77" s="448"/>
      <c r="B77" s="448"/>
      <c r="C77" s="448"/>
      <c r="D77" s="448"/>
      <c r="E77" s="448"/>
      <c r="F77" s="448"/>
      <c r="G77" s="448"/>
      <c r="H77" s="448"/>
      <c r="I77" s="448"/>
      <c r="J77" s="448"/>
      <c r="K77" s="448"/>
      <c r="L77" s="448"/>
      <c r="M77" s="448"/>
      <c r="N77" s="448"/>
      <c r="O77" s="448"/>
      <c r="P77" s="448"/>
      <c r="Q77" s="448"/>
      <c r="R77" s="448"/>
      <c r="S77" s="448"/>
      <c r="T77" s="448"/>
      <c r="U77" s="448"/>
      <c r="V77" s="448"/>
      <c r="W77" s="448"/>
      <c r="X77" s="448"/>
      <c r="Y77" s="448"/>
      <c r="Z77" s="448"/>
      <c r="AA77" s="448"/>
      <c r="AB77" s="448"/>
      <c r="AC77" s="448"/>
      <c r="AD77" s="448"/>
      <c r="AE77" s="448"/>
      <c r="AF77" s="448"/>
      <c r="AG77" s="448"/>
      <c r="AH77" s="448"/>
      <c r="AI77" s="448"/>
      <c r="AJ77" s="448"/>
      <c r="AK77" s="448"/>
      <c r="AL77" s="448"/>
      <c r="AM77" s="448"/>
      <c r="AN77" s="448"/>
      <c r="AO77" s="448"/>
      <c r="AP77" s="448"/>
      <c r="AQ77" s="448"/>
      <c r="AR77" s="448"/>
      <c r="AS77" s="448"/>
      <c r="AT77" s="448"/>
      <c r="AU77" s="448"/>
      <c r="AV77" s="448"/>
      <c r="AW77" s="448"/>
      <c r="AX77" s="448"/>
      <c r="AY77" s="448"/>
      <c r="AZ77" s="448"/>
    </row>
    <row r="78" spans="1:52" x14ac:dyDescent="0.2">
      <c r="A78" s="448"/>
      <c r="B78" s="448"/>
      <c r="C78" s="448"/>
      <c r="D78" s="448"/>
      <c r="E78" s="448"/>
      <c r="F78" s="448"/>
      <c r="G78" s="448"/>
      <c r="H78" s="448"/>
      <c r="I78" s="448"/>
      <c r="J78" s="448"/>
      <c r="K78" s="448"/>
      <c r="L78" s="448"/>
      <c r="M78" s="448"/>
      <c r="N78" s="448"/>
      <c r="O78" s="448"/>
      <c r="P78" s="448"/>
      <c r="Q78" s="448"/>
      <c r="R78" s="448"/>
      <c r="S78" s="448"/>
      <c r="T78" s="448"/>
      <c r="U78" s="448"/>
      <c r="V78" s="448"/>
      <c r="W78" s="448"/>
      <c r="X78" s="448"/>
      <c r="Y78" s="448"/>
      <c r="Z78" s="448"/>
      <c r="AA78" s="448"/>
      <c r="AB78" s="448"/>
      <c r="AC78" s="448"/>
      <c r="AD78" s="448"/>
      <c r="AE78" s="448"/>
      <c r="AF78" s="448"/>
      <c r="AG78" s="448"/>
      <c r="AH78" s="448"/>
      <c r="AI78" s="448"/>
      <c r="AJ78" s="448"/>
      <c r="AK78" s="448"/>
      <c r="AL78" s="448"/>
      <c r="AM78" s="448"/>
      <c r="AN78" s="448"/>
      <c r="AO78" s="448"/>
      <c r="AP78" s="448"/>
      <c r="AQ78" s="448"/>
      <c r="AR78" s="448"/>
      <c r="AS78" s="448"/>
      <c r="AT78" s="448"/>
      <c r="AU78" s="448"/>
      <c r="AV78" s="448"/>
      <c r="AW78" s="448"/>
      <c r="AX78" s="448"/>
      <c r="AY78" s="448"/>
      <c r="AZ78" s="448"/>
    </row>
    <row r="79" spans="1:52" x14ac:dyDescent="0.2">
      <c r="A79" s="448"/>
      <c r="B79" s="448"/>
      <c r="C79" s="448"/>
      <c r="D79" s="448"/>
      <c r="E79" s="448"/>
      <c r="F79" s="448"/>
      <c r="G79" s="448"/>
      <c r="H79" s="448"/>
      <c r="I79" s="448"/>
      <c r="J79" s="448"/>
      <c r="K79" s="448"/>
      <c r="L79" s="448"/>
      <c r="M79" s="448"/>
      <c r="N79" s="448"/>
      <c r="O79" s="448"/>
      <c r="P79" s="448"/>
      <c r="Q79" s="448"/>
      <c r="R79" s="448"/>
      <c r="S79" s="448"/>
      <c r="T79" s="448"/>
      <c r="U79" s="448"/>
      <c r="V79" s="448"/>
      <c r="W79" s="448"/>
      <c r="X79" s="448"/>
      <c r="Y79" s="448"/>
      <c r="Z79" s="448"/>
      <c r="AA79" s="448"/>
      <c r="AB79" s="448"/>
      <c r="AC79" s="448"/>
      <c r="AD79" s="448"/>
      <c r="AE79" s="448"/>
      <c r="AF79" s="448"/>
      <c r="AG79" s="448"/>
      <c r="AH79" s="448"/>
      <c r="AI79" s="448"/>
      <c r="AJ79" s="448"/>
      <c r="AK79" s="448"/>
      <c r="AL79" s="448"/>
      <c r="AM79" s="448"/>
      <c r="AN79" s="448"/>
      <c r="AO79" s="448"/>
      <c r="AP79" s="448"/>
      <c r="AQ79" s="448"/>
      <c r="AR79" s="448"/>
      <c r="AS79" s="448"/>
      <c r="AT79" s="448"/>
      <c r="AU79" s="448"/>
      <c r="AV79" s="448"/>
      <c r="AW79" s="448"/>
      <c r="AX79" s="448"/>
      <c r="AY79" s="448"/>
      <c r="AZ79" s="448"/>
    </row>
    <row r="80" spans="1:52" x14ac:dyDescent="0.2">
      <c r="A80" s="448"/>
      <c r="B80" s="448"/>
      <c r="C80" s="448"/>
      <c r="D80" s="448"/>
      <c r="E80" s="448"/>
      <c r="F80" s="448"/>
      <c r="G80" s="448"/>
      <c r="H80" s="448"/>
      <c r="I80" s="448"/>
      <c r="J80" s="448"/>
      <c r="K80" s="448"/>
      <c r="L80" s="448"/>
      <c r="M80" s="448"/>
      <c r="N80" s="448"/>
      <c r="O80" s="448"/>
      <c r="P80" s="448"/>
      <c r="Q80" s="448"/>
      <c r="R80" s="448"/>
      <c r="S80" s="448"/>
      <c r="T80" s="448"/>
      <c r="U80" s="448"/>
      <c r="V80" s="448"/>
      <c r="W80" s="448"/>
      <c r="X80" s="448"/>
      <c r="Y80" s="448"/>
      <c r="Z80" s="448"/>
      <c r="AA80" s="448"/>
      <c r="AB80" s="448"/>
      <c r="AC80" s="448"/>
      <c r="AD80" s="448"/>
      <c r="AE80" s="448"/>
      <c r="AF80" s="448"/>
      <c r="AG80" s="448"/>
      <c r="AH80" s="448"/>
      <c r="AI80" s="448"/>
      <c r="AJ80" s="448"/>
      <c r="AK80" s="448"/>
      <c r="AL80" s="448"/>
      <c r="AM80" s="448"/>
      <c r="AN80" s="448"/>
      <c r="AO80" s="448"/>
      <c r="AP80" s="448"/>
      <c r="AQ80" s="448"/>
      <c r="AR80" s="448"/>
      <c r="AS80" s="448"/>
      <c r="AT80" s="448"/>
      <c r="AU80" s="448"/>
      <c r="AV80" s="448"/>
      <c r="AW80" s="448"/>
      <c r="AX80" s="448"/>
      <c r="AY80" s="448"/>
      <c r="AZ80" s="448"/>
    </row>
    <row r="81" spans="1:52" x14ac:dyDescent="0.2">
      <c r="A81" s="448"/>
      <c r="B81" s="448"/>
      <c r="C81" s="448"/>
      <c r="D81" s="448"/>
      <c r="E81" s="448"/>
      <c r="F81" s="448"/>
      <c r="G81" s="448"/>
      <c r="H81" s="448"/>
      <c r="I81" s="448"/>
      <c r="J81" s="448"/>
      <c r="K81" s="448"/>
      <c r="L81" s="448"/>
      <c r="M81" s="448"/>
      <c r="N81" s="448"/>
      <c r="O81" s="448"/>
      <c r="P81" s="448"/>
      <c r="Q81" s="448"/>
      <c r="R81" s="448"/>
      <c r="S81" s="448"/>
      <c r="T81" s="448"/>
      <c r="U81" s="448"/>
      <c r="V81" s="448"/>
      <c r="W81" s="448"/>
      <c r="X81" s="448"/>
      <c r="Y81" s="448"/>
      <c r="Z81" s="448"/>
      <c r="AA81" s="448"/>
      <c r="AB81" s="448"/>
      <c r="AC81" s="448"/>
      <c r="AD81" s="448"/>
      <c r="AE81" s="448"/>
      <c r="AF81" s="448"/>
      <c r="AG81" s="448"/>
      <c r="AH81" s="448"/>
      <c r="AI81" s="448"/>
      <c r="AJ81" s="448"/>
      <c r="AK81" s="448"/>
      <c r="AL81" s="448"/>
      <c r="AM81" s="448"/>
      <c r="AN81" s="448"/>
      <c r="AO81" s="448"/>
      <c r="AP81" s="448"/>
      <c r="AQ81" s="448"/>
      <c r="AR81" s="448"/>
      <c r="AS81" s="448"/>
      <c r="AT81" s="448"/>
      <c r="AU81" s="448"/>
      <c r="AV81" s="448"/>
      <c r="AW81" s="448"/>
      <c r="AX81" s="448"/>
      <c r="AY81" s="448"/>
      <c r="AZ81" s="448"/>
    </row>
    <row r="82" spans="1:52" x14ac:dyDescent="0.2">
      <c r="A82" s="448"/>
      <c r="B82" s="448"/>
      <c r="C82" s="448"/>
      <c r="D82" s="448"/>
      <c r="E82" s="448"/>
      <c r="F82" s="448"/>
      <c r="G82" s="448"/>
      <c r="H82" s="448"/>
      <c r="I82" s="448"/>
      <c r="J82" s="448"/>
      <c r="K82" s="448"/>
      <c r="L82" s="448"/>
      <c r="M82" s="448"/>
      <c r="N82" s="448"/>
      <c r="O82" s="448"/>
      <c r="P82" s="448"/>
      <c r="Q82" s="448"/>
      <c r="R82" s="448"/>
      <c r="S82" s="448"/>
      <c r="T82" s="448"/>
      <c r="U82" s="448"/>
      <c r="V82" s="448"/>
      <c r="W82" s="448"/>
      <c r="X82" s="448"/>
      <c r="Y82" s="448"/>
      <c r="Z82" s="448"/>
      <c r="AA82" s="448"/>
      <c r="AB82" s="448"/>
      <c r="AC82" s="448"/>
      <c r="AD82" s="448"/>
      <c r="AE82" s="448"/>
      <c r="AF82" s="448"/>
      <c r="AG82" s="448"/>
      <c r="AH82" s="448"/>
      <c r="AI82" s="448"/>
      <c r="AJ82" s="448"/>
      <c r="AK82" s="448"/>
      <c r="AL82" s="448"/>
      <c r="AM82" s="448"/>
      <c r="AN82" s="448"/>
      <c r="AO82" s="448"/>
      <c r="AP82" s="448"/>
      <c r="AQ82" s="448"/>
      <c r="AR82" s="448"/>
      <c r="AS82" s="448"/>
      <c r="AT82" s="448"/>
      <c r="AU82" s="448"/>
      <c r="AV82" s="448"/>
      <c r="AW82" s="448"/>
      <c r="AX82" s="448"/>
      <c r="AY82" s="448"/>
      <c r="AZ82" s="448"/>
    </row>
    <row r="83" spans="1:52" x14ac:dyDescent="0.2">
      <c r="A83" s="448"/>
      <c r="B83" s="448"/>
      <c r="C83" s="448"/>
      <c r="D83" s="448"/>
      <c r="E83" s="448"/>
      <c r="F83" s="448"/>
      <c r="G83" s="448"/>
      <c r="H83" s="448"/>
      <c r="I83" s="448"/>
      <c r="J83" s="448"/>
      <c r="K83" s="448"/>
      <c r="L83" s="448"/>
      <c r="M83" s="448"/>
      <c r="N83" s="448"/>
      <c r="O83" s="448"/>
      <c r="P83" s="448"/>
      <c r="Q83" s="448"/>
      <c r="R83" s="448"/>
      <c r="S83" s="448"/>
      <c r="T83" s="448"/>
      <c r="U83" s="448"/>
      <c r="V83" s="448"/>
      <c r="W83" s="448"/>
      <c r="X83" s="448"/>
      <c r="Y83" s="448"/>
      <c r="Z83" s="448"/>
      <c r="AA83" s="448"/>
      <c r="AB83" s="448"/>
      <c r="AC83" s="448"/>
      <c r="AD83" s="448"/>
      <c r="AE83" s="448"/>
      <c r="AF83" s="448"/>
      <c r="AG83" s="448"/>
      <c r="AH83" s="448"/>
      <c r="AI83" s="448"/>
      <c r="AJ83" s="448"/>
      <c r="AK83" s="448"/>
      <c r="AL83" s="448"/>
      <c r="AM83" s="448"/>
      <c r="AN83" s="448"/>
      <c r="AO83" s="448"/>
      <c r="AP83" s="448"/>
      <c r="AQ83" s="448"/>
      <c r="AR83" s="448"/>
      <c r="AS83" s="448"/>
      <c r="AT83" s="448"/>
      <c r="AU83" s="448"/>
      <c r="AV83" s="448"/>
      <c r="AW83" s="448"/>
      <c r="AX83" s="448"/>
      <c r="AY83" s="448"/>
      <c r="AZ83" s="448"/>
    </row>
    <row r="84" spans="1:52" x14ac:dyDescent="0.2">
      <c r="A84" s="448"/>
      <c r="B84" s="448"/>
      <c r="C84" s="448"/>
      <c r="D84" s="448"/>
      <c r="E84" s="448"/>
      <c r="F84" s="448"/>
      <c r="G84" s="448"/>
      <c r="H84" s="448"/>
      <c r="I84" s="448"/>
      <c r="J84" s="448"/>
      <c r="K84" s="448"/>
      <c r="L84" s="448"/>
      <c r="M84" s="448"/>
      <c r="N84" s="448"/>
      <c r="O84" s="448"/>
      <c r="P84" s="448"/>
      <c r="Q84" s="448"/>
      <c r="R84" s="448"/>
      <c r="S84" s="448"/>
      <c r="T84" s="448"/>
      <c r="U84" s="448"/>
      <c r="V84" s="448"/>
      <c r="W84" s="448"/>
      <c r="X84" s="448"/>
      <c r="Y84" s="448"/>
      <c r="Z84" s="448"/>
      <c r="AA84" s="448"/>
      <c r="AB84" s="448"/>
      <c r="AC84" s="448"/>
      <c r="AD84" s="448"/>
      <c r="AE84" s="448"/>
      <c r="AF84" s="448"/>
      <c r="AG84" s="448"/>
      <c r="AH84" s="448"/>
      <c r="AI84" s="448"/>
      <c r="AJ84" s="448"/>
      <c r="AK84" s="448"/>
      <c r="AL84" s="448"/>
      <c r="AM84" s="448"/>
      <c r="AN84" s="448"/>
      <c r="AO84" s="448"/>
      <c r="AP84" s="448"/>
      <c r="AQ84" s="448"/>
      <c r="AR84" s="448"/>
      <c r="AS84" s="448"/>
      <c r="AT84" s="448"/>
      <c r="AU84" s="448"/>
      <c r="AV84" s="448"/>
      <c r="AW84" s="448"/>
      <c r="AX84" s="448"/>
      <c r="AY84" s="448"/>
      <c r="AZ84" s="448"/>
    </row>
    <row r="85" spans="1:52" x14ac:dyDescent="0.2">
      <c r="A85" s="448"/>
      <c r="B85" s="448"/>
      <c r="C85" s="448"/>
      <c r="D85" s="448"/>
      <c r="E85" s="448"/>
      <c r="F85" s="448"/>
      <c r="G85" s="448"/>
      <c r="H85" s="448"/>
      <c r="I85" s="448"/>
      <c r="J85" s="448"/>
      <c r="K85" s="448"/>
      <c r="L85" s="448"/>
      <c r="M85" s="448"/>
      <c r="N85" s="448"/>
      <c r="O85" s="448"/>
      <c r="P85" s="448"/>
      <c r="Q85" s="448"/>
      <c r="R85" s="448"/>
      <c r="S85" s="448"/>
      <c r="T85" s="448"/>
      <c r="U85" s="448"/>
      <c r="V85" s="448"/>
      <c r="W85" s="448"/>
      <c r="X85" s="448"/>
      <c r="Y85" s="448"/>
      <c r="Z85" s="448"/>
      <c r="AA85" s="448"/>
      <c r="AB85" s="448"/>
      <c r="AC85" s="448"/>
      <c r="AD85" s="448"/>
      <c r="AE85" s="448"/>
      <c r="AF85" s="448"/>
      <c r="AG85" s="448"/>
      <c r="AH85" s="448"/>
      <c r="AI85" s="448"/>
      <c r="AJ85" s="448"/>
      <c r="AK85" s="448"/>
      <c r="AL85" s="448"/>
      <c r="AM85" s="448"/>
      <c r="AN85" s="448"/>
      <c r="AO85" s="448"/>
      <c r="AP85" s="448"/>
      <c r="AQ85" s="448"/>
      <c r="AR85" s="448"/>
      <c r="AS85" s="448"/>
      <c r="AT85" s="448"/>
      <c r="AU85" s="448"/>
      <c r="AV85" s="448"/>
      <c r="AW85" s="448"/>
      <c r="AX85" s="448"/>
      <c r="AY85" s="448"/>
      <c r="AZ85" s="448"/>
    </row>
    <row r="86" spans="1:52" x14ac:dyDescent="0.2">
      <c r="A86" s="448"/>
      <c r="B86" s="448"/>
      <c r="C86" s="448"/>
      <c r="D86" s="448"/>
      <c r="E86" s="448"/>
      <c r="F86" s="448"/>
      <c r="G86" s="448"/>
      <c r="H86" s="448"/>
      <c r="I86" s="448"/>
      <c r="J86" s="448"/>
      <c r="K86" s="448"/>
      <c r="L86" s="448"/>
      <c r="M86" s="448"/>
      <c r="N86" s="448"/>
      <c r="O86" s="448"/>
      <c r="P86" s="448"/>
      <c r="Q86" s="448"/>
      <c r="R86" s="448"/>
      <c r="S86" s="448"/>
      <c r="T86" s="448"/>
      <c r="U86" s="448"/>
      <c r="V86" s="448"/>
      <c r="W86" s="448"/>
      <c r="X86" s="448"/>
      <c r="Y86" s="448"/>
      <c r="Z86" s="448"/>
      <c r="AA86" s="448"/>
      <c r="AB86" s="448"/>
      <c r="AC86" s="448"/>
      <c r="AD86" s="448"/>
      <c r="AE86" s="448"/>
      <c r="AF86" s="448"/>
      <c r="AG86" s="448"/>
      <c r="AH86" s="448"/>
      <c r="AI86" s="448"/>
      <c r="AJ86" s="448"/>
      <c r="AK86" s="448"/>
      <c r="AL86" s="448"/>
      <c r="AM86" s="448"/>
      <c r="AN86" s="448"/>
      <c r="AO86" s="448"/>
      <c r="AP86" s="448"/>
      <c r="AQ86" s="448"/>
      <c r="AR86" s="448"/>
      <c r="AS86" s="448"/>
      <c r="AT86" s="448"/>
      <c r="AU86" s="448"/>
      <c r="AV86" s="448"/>
      <c r="AW86" s="448"/>
      <c r="AX86" s="448"/>
      <c r="AY86" s="448"/>
      <c r="AZ86" s="448"/>
    </row>
    <row r="87" spans="1:52" x14ac:dyDescent="0.2">
      <c r="A87" s="448"/>
      <c r="B87" s="448"/>
      <c r="C87" s="448"/>
      <c r="D87" s="448"/>
      <c r="E87" s="448"/>
      <c r="F87" s="448"/>
      <c r="G87" s="448"/>
      <c r="H87" s="448"/>
      <c r="I87" s="448"/>
      <c r="J87" s="448"/>
      <c r="K87" s="448"/>
      <c r="L87" s="448"/>
      <c r="M87" s="448"/>
      <c r="N87" s="448"/>
      <c r="O87" s="448"/>
      <c r="P87" s="448"/>
      <c r="Q87" s="448"/>
      <c r="R87" s="448"/>
      <c r="S87" s="448"/>
      <c r="T87" s="448"/>
      <c r="U87" s="448"/>
      <c r="V87" s="448"/>
      <c r="W87" s="448"/>
      <c r="X87" s="448"/>
      <c r="Y87" s="448"/>
      <c r="Z87" s="448"/>
      <c r="AA87" s="448"/>
      <c r="AB87" s="448"/>
      <c r="AC87" s="448"/>
      <c r="AD87" s="448"/>
      <c r="AE87" s="448"/>
      <c r="AF87" s="448"/>
      <c r="AG87" s="448"/>
      <c r="AH87" s="448"/>
      <c r="AI87" s="448"/>
      <c r="AJ87" s="448"/>
      <c r="AK87" s="448"/>
      <c r="AL87" s="448"/>
      <c r="AM87" s="448"/>
      <c r="AN87" s="448"/>
      <c r="AO87" s="448"/>
      <c r="AP87" s="448"/>
      <c r="AQ87" s="448"/>
      <c r="AR87" s="448"/>
      <c r="AS87" s="448"/>
      <c r="AT87" s="448"/>
      <c r="AU87" s="448"/>
      <c r="AV87" s="448"/>
      <c r="AW87" s="448"/>
      <c r="AX87" s="448"/>
      <c r="AY87" s="448"/>
      <c r="AZ87" s="448"/>
    </row>
    <row r="88" spans="1:52" x14ac:dyDescent="0.2">
      <c r="A88" s="448"/>
      <c r="B88" s="448"/>
      <c r="C88" s="448"/>
      <c r="D88" s="448"/>
      <c r="E88" s="448"/>
      <c r="F88" s="448"/>
      <c r="G88" s="448"/>
      <c r="H88" s="448"/>
      <c r="I88" s="448"/>
      <c r="J88" s="448"/>
      <c r="K88" s="448"/>
      <c r="L88" s="448"/>
      <c r="M88" s="448"/>
      <c r="N88" s="448"/>
      <c r="O88" s="448"/>
      <c r="P88" s="448"/>
      <c r="Q88" s="448"/>
      <c r="R88" s="448"/>
      <c r="S88" s="448"/>
      <c r="T88" s="448"/>
      <c r="U88" s="448"/>
      <c r="V88" s="448"/>
      <c r="W88" s="448"/>
      <c r="X88" s="448"/>
      <c r="Y88" s="448"/>
      <c r="Z88" s="448"/>
      <c r="AA88" s="448"/>
      <c r="AB88" s="448"/>
      <c r="AC88" s="448"/>
      <c r="AD88" s="448"/>
      <c r="AE88" s="448"/>
      <c r="AF88" s="448"/>
      <c r="AG88" s="448"/>
      <c r="AH88" s="448"/>
      <c r="AI88" s="448"/>
      <c r="AJ88" s="448"/>
      <c r="AK88" s="448"/>
      <c r="AL88" s="448"/>
      <c r="AM88" s="448"/>
      <c r="AN88" s="448"/>
      <c r="AO88" s="448"/>
      <c r="AP88" s="448"/>
      <c r="AQ88" s="448"/>
      <c r="AR88" s="448"/>
      <c r="AS88" s="448"/>
      <c r="AT88" s="448"/>
      <c r="AU88" s="448"/>
      <c r="AV88" s="448"/>
      <c r="AW88" s="448"/>
      <c r="AX88" s="448"/>
      <c r="AY88" s="448"/>
      <c r="AZ88" s="448"/>
    </row>
    <row r="89" spans="1:52" x14ac:dyDescent="0.2">
      <c r="A89" s="448"/>
      <c r="B89" s="448"/>
      <c r="C89" s="448"/>
      <c r="D89" s="448"/>
      <c r="E89" s="448"/>
      <c r="F89" s="448"/>
      <c r="G89" s="448"/>
      <c r="H89" s="448"/>
      <c r="I89" s="448"/>
      <c r="J89" s="448"/>
      <c r="K89" s="448"/>
      <c r="L89" s="448"/>
      <c r="M89" s="448"/>
      <c r="N89" s="448"/>
      <c r="O89" s="448"/>
      <c r="P89" s="448"/>
      <c r="Q89" s="448"/>
      <c r="R89" s="448"/>
      <c r="S89" s="448"/>
      <c r="T89" s="448"/>
      <c r="U89" s="448"/>
      <c r="V89" s="448"/>
      <c r="W89" s="448"/>
      <c r="X89" s="448"/>
      <c r="Y89" s="448"/>
      <c r="Z89" s="448"/>
      <c r="AA89" s="448"/>
      <c r="AB89" s="448"/>
      <c r="AC89" s="448"/>
      <c r="AD89" s="448"/>
      <c r="AE89" s="448"/>
      <c r="AF89" s="448"/>
      <c r="AG89" s="448"/>
      <c r="AH89" s="448"/>
      <c r="AI89" s="448"/>
      <c r="AJ89" s="448"/>
      <c r="AK89" s="448"/>
      <c r="AL89" s="448"/>
      <c r="AM89" s="448"/>
      <c r="AN89" s="448"/>
      <c r="AO89" s="448"/>
      <c r="AP89" s="448"/>
      <c r="AQ89" s="448"/>
      <c r="AR89" s="448"/>
      <c r="AS89" s="448"/>
      <c r="AT89" s="448"/>
      <c r="AU89" s="448"/>
      <c r="AV89" s="448"/>
      <c r="AW89" s="448"/>
      <c r="AX89" s="448"/>
      <c r="AY89" s="448"/>
      <c r="AZ89" s="448"/>
    </row>
    <row r="90" spans="1:52" x14ac:dyDescent="0.2">
      <c r="A90" s="448"/>
      <c r="B90" s="448"/>
      <c r="C90" s="448"/>
      <c r="D90" s="448"/>
      <c r="E90" s="448"/>
      <c r="F90" s="448"/>
      <c r="G90" s="448"/>
      <c r="H90" s="448"/>
      <c r="I90" s="448"/>
      <c r="J90" s="448"/>
      <c r="K90" s="448"/>
      <c r="L90" s="448"/>
      <c r="M90" s="448"/>
      <c r="N90" s="448"/>
      <c r="O90" s="448"/>
      <c r="P90" s="448"/>
      <c r="Q90" s="448"/>
      <c r="R90" s="448"/>
      <c r="S90" s="448"/>
      <c r="T90" s="448"/>
      <c r="U90" s="448"/>
      <c r="V90" s="448"/>
      <c r="W90" s="448"/>
      <c r="X90" s="448"/>
      <c r="Y90" s="448"/>
      <c r="Z90" s="448"/>
      <c r="AA90" s="448"/>
      <c r="AB90" s="448"/>
      <c r="AC90" s="448"/>
      <c r="AD90" s="448"/>
      <c r="AE90" s="448"/>
      <c r="AF90" s="448"/>
      <c r="AG90" s="448"/>
      <c r="AH90" s="448"/>
      <c r="AI90" s="448"/>
      <c r="AJ90" s="448"/>
      <c r="AK90" s="448"/>
      <c r="AL90" s="448"/>
      <c r="AM90" s="448"/>
      <c r="AN90" s="448"/>
      <c r="AO90" s="448"/>
      <c r="AP90" s="448"/>
      <c r="AQ90" s="448"/>
      <c r="AR90" s="448"/>
      <c r="AS90" s="448"/>
      <c r="AT90" s="448"/>
      <c r="AU90" s="448"/>
      <c r="AV90" s="448"/>
      <c r="AW90" s="448"/>
      <c r="AX90" s="448"/>
      <c r="AY90" s="448"/>
      <c r="AZ90" s="448"/>
    </row>
    <row r="91" spans="1:52" x14ac:dyDescent="0.2">
      <c r="A91" s="448"/>
      <c r="B91" s="448"/>
      <c r="C91" s="448"/>
      <c r="D91" s="448"/>
      <c r="E91" s="448"/>
      <c r="F91" s="448"/>
      <c r="G91" s="448"/>
      <c r="H91" s="448"/>
      <c r="I91" s="448"/>
      <c r="J91" s="448"/>
      <c r="K91" s="448"/>
      <c r="L91" s="448"/>
      <c r="M91" s="448"/>
      <c r="N91" s="448"/>
      <c r="O91" s="448"/>
      <c r="P91" s="448"/>
      <c r="Q91" s="448"/>
      <c r="R91" s="448"/>
      <c r="S91" s="448"/>
      <c r="T91" s="448"/>
      <c r="U91" s="448"/>
      <c r="V91" s="448"/>
      <c r="W91" s="448"/>
      <c r="X91" s="448"/>
      <c r="Y91" s="448"/>
      <c r="Z91" s="448"/>
      <c r="AA91" s="448"/>
      <c r="AB91" s="448"/>
      <c r="AC91" s="448"/>
      <c r="AD91" s="448"/>
      <c r="AE91" s="448"/>
      <c r="AF91" s="448"/>
      <c r="AG91" s="448"/>
      <c r="AH91" s="448"/>
      <c r="AI91" s="448"/>
      <c r="AJ91" s="448"/>
      <c r="AK91" s="448"/>
      <c r="AL91" s="448"/>
      <c r="AM91" s="448"/>
      <c r="AN91" s="448"/>
      <c r="AO91" s="448"/>
      <c r="AP91" s="448"/>
      <c r="AQ91" s="448"/>
      <c r="AR91" s="448"/>
      <c r="AS91" s="448"/>
      <c r="AT91" s="448"/>
      <c r="AU91" s="448"/>
      <c r="AV91" s="448"/>
      <c r="AW91" s="448"/>
      <c r="AX91" s="448"/>
      <c r="AY91" s="448"/>
      <c r="AZ91" s="448"/>
    </row>
    <row r="92" spans="1:52" x14ac:dyDescent="0.2">
      <c r="A92" s="448"/>
      <c r="B92" s="448"/>
      <c r="C92" s="448"/>
      <c r="D92" s="448"/>
      <c r="E92" s="448"/>
      <c r="F92" s="448"/>
      <c r="G92" s="448"/>
      <c r="H92" s="448"/>
      <c r="I92" s="448"/>
      <c r="J92" s="448"/>
      <c r="K92" s="448"/>
      <c r="L92" s="448"/>
      <c r="M92" s="448"/>
      <c r="N92" s="448"/>
      <c r="O92" s="448"/>
      <c r="P92" s="448"/>
      <c r="Q92" s="448"/>
      <c r="R92" s="448"/>
      <c r="S92" s="448"/>
      <c r="T92" s="448"/>
      <c r="U92" s="448"/>
      <c r="V92" s="448"/>
      <c r="W92" s="448"/>
      <c r="X92" s="448"/>
      <c r="Y92" s="448"/>
      <c r="Z92" s="448"/>
      <c r="AA92" s="448"/>
      <c r="AB92" s="448"/>
      <c r="AC92" s="448"/>
      <c r="AD92" s="448"/>
      <c r="AE92" s="448"/>
      <c r="AF92" s="448"/>
      <c r="AG92" s="448"/>
      <c r="AH92" s="448"/>
      <c r="AI92" s="448"/>
      <c r="AJ92" s="448"/>
      <c r="AK92" s="448"/>
      <c r="AL92" s="448"/>
      <c r="AM92" s="448"/>
      <c r="AN92" s="448"/>
      <c r="AO92" s="448"/>
      <c r="AP92" s="448"/>
      <c r="AQ92" s="448"/>
      <c r="AR92" s="448"/>
      <c r="AS92" s="448"/>
      <c r="AT92" s="448"/>
      <c r="AU92" s="448"/>
      <c r="AV92" s="448"/>
      <c r="AW92" s="448"/>
      <c r="AX92" s="448"/>
      <c r="AY92" s="448"/>
      <c r="AZ92" s="448"/>
    </row>
    <row r="93" spans="1:52" x14ac:dyDescent="0.2">
      <c r="A93" s="448"/>
      <c r="B93" s="448"/>
      <c r="C93" s="448"/>
      <c r="D93" s="448"/>
      <c r="E93" s="448"/>
      <c r="F93" s="448"/>
      <c r="G93" s="448"/>
      <c r="H93" s="448"/>
      <c r="I93" s="448"/>
      <c r="J93" s="448"/>
      <c r="K93" s="448"/>
      <c r="L93" s="448"/>
      <c r="M93" s="448"/>
      <c r="N93" s="448"/>
      <c r="O93" s="448"/>
      <c r="P93" s="448"/>
      <c r="Q93" s="448"/>
      <c r="R93" s="448"/>
      <c r="S93" s="448"/>
      <c r="T93" s="448"/>
      <c r="U93" s="448"/>
      <c r="V93" s="448"/>
      <c r="W93" s="448"/>
      <c r="X93" s="448"/>
      <c r="Y93" s="448"/>
      <c r="Z93" s="448"/>
      <c r="AA93" s="448"/>
      <c r="AB93" s="448"/>
      <c r="AC93" s="448"/>
      <c r="AD93" s="448"/>
      <c r="AE93" s="448"/>
      <c r="AF93" s="448"/>
      <c r="AG93" s="448"/>
      <c r="AH93" s="448"/>
      <c r="AI93" s="448"/>
      <c r="AJ93" s="448"/>
      <c r="AK93" s="448"/>
      <c r="AL93" s="448"/>
      <c r="AM93" s="448"/>
      <c r="AN93" s="448"/>
      <c r="AO93" s="448"/>
      <c r="AP93" s="448"/>
      <c r="AQ93" s="448"/>
      <c r="AR93" s="448"/>
      <c r="AS93" s="448"/>
      <c r="AT93" s="448"/>
      <c r="AU93" s="448"/>
      <c r="AV93" s="448"/>
      <c r="AW93" s="448"/>
      <c r="AX93" s="448"/>
      <c r="AY93" s="448"/>
      <c r="AZ93" s="448"/>
    </row>
    <row r="94" spans="1:52" x14ac:dyDescent="0.2">
      <c r="A94" s="448"/>
      <c r="B94" s="448"/>
      <c r="C94" s="448"/>
      <c r="D94" s="448"/>
      <c r="E94" s="448"/>
      <c r="F94" s="448"/>
      <c r="G94" s="448"/>
      <c r="H94" s="448"/>
      <c r="I94" s="448"/>
      <c r="J94" s="448"/>
      <c r="K94" s="448"/>
      <c r="L94" s="448"/>
      <c r="M94" s="448"/>
      <c r="N94" s="448"/>
      <c r="O94" s="448"/>
      <c r="P94" s="448"/>
      <c r="Q94" s="448"/>
      <c r="R94" s="448"/>
      <c r="S94" s="448"/>
      <c r="T94" s="448"/>
      <c r="U94" s="448"/>
      <c r="V94" s="448"/>
      <c r="W94" s="448"/>
      <c r="X94" s="448"/>
      <c r="Y94" s="448"/>
      <c r="Z94" s="448"/>
      <c r="AA94" s="448"/>
      <c r="AB94" s="448"/>
      <c r="AC94" s="448"/>
      <c r="AD94" s="448"/>
      <c r="AE94" s="448"/>
      <c r="AF94" s="448"/>
      <c r="AG94" s="448"/>
      <c r="AH94" s="448"/>
      <c r="AI94" s="448"/>
      <c r="AJ94" s="448"/>
      <c r="AK94" s="448"/>
      <c r="AL94" s="448"/>
      <c r="AM94" s="448"/>
      <c r="AN94" s="448"/>
      <c r="AO94" s="448"/>
      <c r="AP94" s="448"/>
      <c r="AQ94" s="448"/>
      <c r="AR94" s="448"/>
      <c r="AS94" s="448"/>
      <c r="AT94" s="448"/>
      <c r="AU94" s="448"/>
      <c r="AV94" s="448"/>
      <c r="AW94" s="448"/>
      <c r="AX94" s="448"/>
      <c r="AY94" s="448"/>
      <c r="AZ94" s="448"/>
    </row>
    <row r="95" spans="1:52" x14ac:dyDescent="0.2">
      <c r="A95" s="448"/>
      <c r="B95" s="448"/>
      <c r="C95" s="448"/>
      <c r="D95" s="448"/>
      <c r="E95" s="448"/>
      <c r="F95" s="448"/>
      <c r="G95" s="448"/>
      <c r="H95" s="448"/>
      <c r="I95" s="448"/>
      <c r="J95" s="448"/>
      <c r="K95" s="448"/>
      <c r="L95" s="448"/>
      <c r="M95" s="448"/>
      <c r="N95" s="448"/>
      <c r="O95" s="448"/>
      <c r="P95" s="448"/>
      <c r="Q95" s="448"/>
      <c r="R95" s="448"/>
      <c r="S95" s="448"/>
      <c r="T95" s="448"/>
      <c r="U95" s="448"/>
      <c r="V95" s="448"/>
      <c r="W95" s="448"/>
      <c r="X95" s="448"/>
      <c r="Y95" s="448"/>
      <c r="Z95" s="448"/>
      <c r="AA95" s="448"/>
      <c r="AB95" s="448"/>
      <c r="AC95" s="448"/>
      <c r="AD95" s="448"/>
      <c r="AE95" s="448"/>
      <c r="AF95" s="448"/>
      <c r="AG95" s="448"/>
      <c r="AH95" s="448"/>
      <c r="AI95" s="448"/>
      <c r="AJ95" s="448"/>
      <c r="AK95" s="448"/>
      <c r="AL95" s="448"/>
      <c r="AM95" s="448"/>
      <c r="AN95" s="448"/>
      <c r="AO95" s="448"/>
      <c r="AP95" s="448"/>
      <c r="AQ95" s="448"/>
      <c r="AR95" s="448"/>
      <c r="AS95" s="448"/>
      <c r="AT95" s="448"/>
      <c r="AU95" s="448"/>
      <c r="AV95" s="448"/>
      <c r="AW95" s="448"/>
      <c r="AX95" s="448"/>
      <c r="AY95" s="448"/>
      <c r="AZ95" s="448"/>
    </row>
    <row r="96" spans="1:52" x14ac:dyDescent="0.2">
      <c r="A96" s="448"/>
      <c r="B96" s="448"/>
      <c r="C96" s="448"/>
      <c r="D96" s="448"/>
      <c r="E96" s="448"/>
      <c r="F96" s="448"/>
      <c r="G96" s="448"/>
      <c r="H96" s="448"/>
      <c r="I96" s="448"/>
      <c r="J96" s="448"/>
      <c r="K96" s="448"/>
      <c r="L96" s="448"/>
      <c r="M96" s="448"/>
      <c r="N96" s="448"/>
      <c r="O96" s="448"/>
      <c r="P96" s="448"/>
      <c r="Q96" s="448"/>
      <c r="R96" s="448"/>
      <c r="S96" s="448"/>
      <c r="T96" s="448"/>
      <c r="U96" s="448"/>
      <c r="V96" s="448"/>
      <c r="W96" s="448"/>
      <c r="X96" s="448"/>
      <c r="Y96" s="448"/>
      <c r="Z96" s="448"/>
      <c r="AA96" s="448"/>
      <c r="AB96" s="448"/>
      <c r="AC96" s="448"/>
      <c r="AD96" s="448"/>
      <c r="AE96" s="448"/>
      <c r="AF96" s="448"/>
      <c r="AG96" s="448"/>
      <c r="AH96" s="448"/>
      <c r="AI96" s="448"/>
      <c r="AJ96" s="448"/>
      <c r="AK96" s="448"/>
      <c r="AL96" s="448"/>
      <c r="AM96" s="448"/>
      <c r="AN96" s="448"/>
      <c r="AO96" s="448"/>
      <c r="AP96" s="448"/>
      <c r="AQ96" s="448"/>
      <c r="AR96" s="448"/>
      <c r="AS96" s="448"/>
      <c r="AT96" s="448"/>
      <c r="AU96" s="448"/>
      <c r="AV96" s="448"/>
      <c r="AW96" s="448"/>
      <c r="AX96" s="448"/>
      <c r="AY96" s="448"/>
      <c r="AZ96" s="448"/>
    </row>
    <row r="97" spans="1:52" x14ac:dyDescent="0.2">
      <c r="A97" s="448"/>
      <c r="B97" s="448"/>
      <c r="C97" s="448"/>
      <c r="D97" s="448"/>
      <c r="E97" s="448"/>
      <c r="F97" s="448"/>
      <c r="G97" s="448"/>
      <c r="H97" s="448"/>
      <c r="I97" s="448"/>
      <c r="J97" s="448"/>
      <c r="K97" s="448"/>
      <c r="L97" s="448"/>
      <c r="M97" s="448"/>
      <c r="N97" s="448"/>
      <c r="O97" s="448"/>
      <c r="P97" s="448"/>
      <c r="Q97" s="448"/>
      <c r="R97" s="448"/>
      <c r="S97" s="448"/>
      <c r="T97" s="448"/>
      <c r="U97" s="448"/>
      <c r="V97" s="448"/>
      <c r="W97" s="448"/>
      <c r="X97" s="448"/>
      <c r="Y97" s="448"/>
      <c r="Z97" s="448"/>
      <c r="AA97" s="448"/>
      <c r="AB97" s="448"/>
      <c r="AC97" s="448"/>
      <c r="AD97" s="448"/>
      <c r="AE97" s="448"/>
      <c r="AF97" s="448"/>
      <c r="AG97" s="448"/>
      <c r="AH97" s="448"/>
      <c r="AI97" s="448"/>
      <c r="AJ97" s="448"/>
      <c r="AK97" s="448"/>
      <c r="AL97" s="448"/>
      <c r="AM97" s="448"/>
      <c r="AN97" s="448"/>
      <c r="AO97" s="448"/>
      <c r="AP97" s="448"/>
      <c r="AQ97" s="448"/>
      <c r="AR97" s="448"/>
      <c r="AS97" s="448"/>
      <c r="AT97" s="448"/>
      <c r="AU97" s="448"/>
      <c r="AV97" s="448"/>
      <c r="AW97" s="448"/>
      <c r="AX97" s="448"/>
      <c r="AY97" s="448"/>
      <c r="AZ97" s="448"/>
    </row>
    <row r="98" spans="1:52" x14ac:dyDescent="0.2">
      <c r="A98" s="448"/>
      <c r="B98" s="448"/>
      <c r="C98" s="448"/>
      <c r="D98" s="448"/>
      <c r="E98" s="448"/>
      <c r="F98" s="448"/>
      <c r="G98" s="448"/>
      <c r="H98" s="448"/>
      <c r="I98" s="448"/>
      <c r="J98" s="448"/>
      <c r="K98" s="448"/>
      <c r="L98" s="448"/>
      <c r="M98" s="448"/>
      <c r="N98" s="448"/>
      <c r="O98" s="448"/>
      <c r="P98" s="448"/>
      <c r="Q98" s="448"/>
      <c r="R98" s="448"/>
      <c r="S98" s="448"/>
      <c r="T98" s="448"/>
      <c r="U98" s="448"/>
      <c r="V98" s="448"/>
      <c r="W98" s="448"/>
      <c r="X98" s="448"/>
      <c r="Y98" s="448"/>
      <c r="Z98" s="448"/>
      <c r="AA98" s="448"/>
      <c r="AB98" s="448"/>
      <c r="AC98" s="448"/>
      <c r="AD98" s="448"/>
      <c r="AE98" s="448"/>
      <c r="AF98" s="448"/>
      <c r="AG98" s="448"/>
      <c r="AH98" s="448"/>
      <c r="AI98" s="448"/>
      <c r="AJ98" s="448"/>
      <c r="AK98" s="448"/>
      <c r="AL98" s="448"/>
      <c r="AM98" s="448"/>
      <c r="AN98" s="448"/>
      <c r="AO98" s="448"/>
      <c r="AP98" s="448"/>
      <c r="AQ98" s="448"/>
      <c r="AR98" s="448"/>
      <c r="AS98" s="448"/>
      <c r="AT98" s="448"/>
      <c r="AU98" s="448"/>
      <c r="AV98" s="448"/>
      <c r="AW98" s="448"/>
      <c r="AX98" s="448"/>
      <c r="AY98" s="448"/>
      <c r="AZ98" s="448"/>
    </row>
    <row r="99" spans="1:52" x14ac:dyDescent="0.2">
      <c r="A99" s="448"/>
      <c r="B99" s="448"/>
      <c r="C99" s="448"/>
      <c r="D99" s="448"/>
      <c r="E99" s="448"/>
      <c r="F99" s="448"/>
      <c r="G99" s="448"/>
      <c r="H99" s="448"/>
      <c r="I99" s="448"/>
      <c r="J99" s="448"/>
      <c r="K99" s="448"/>
      <c r="L99" s="448"/>
      <c r="M99" s="448"/>
      <c r="N99" s="448"/>
      <c r="O99" s="448"/>
      <c r="P99" s="448"/>
      <c r="Q99" s="448"/>
      <c r="R99" s="448"/>
      <c r="S99" s="448"/>
      <c r="T99" s="448"/>
      <c r="U99" s="448"/>
      <c r="V99" s="448"/>
      <c r="W99" s="448"/>
      <c r="X99" s="448"/>
      <c r="Y99" s="448"/>
      <c r="Z99" s="448"/>
      <c r="AA99" s="448"/>
      <c r="AB99" s="448"/>
      <c r="AC99" s="448"/>
      <c r="AD99" s="448"/>
      <c r="AE99" s="448"/>
      <c r="AF99" s="448"/>
      <c r="AG99" s="448"/>
      <c r="AH99" s="448"/>
      <c r="AI99" s="448"/>
      <c r="AJ99" s="448"/>
      <c r="AK99" s="448"/>
      <c r="AL99" s="448"/>
      <c r="AM99" s="448"/>
      <c r="AN99" s="448"/>
      <c r="AO99" s="448"/>
      <c r="AP99" s="448"/>
      <c r="AQ99" s="448"/>
      <c r="AR99" s="448"/>
      <c r="AS99" s="448"/>
      <c r="AT99" s="448"/>
      <c r="AU99" s="448"/>
      <c r="AV99" s="448"/>
      <c r="AW99" s="448"/>
      <c r="AX99" s="448"/>
      <c r="AY99" s="448"/>
      <c r="AZ99" s="448"/>
    </row>
    <row r="100" spans="1:52" x14ac:dyDescent="0.2">
      <c r="A100" s="448"/>
      <c r="B100" s="448"/>
      <c r="C100" s="448"/>
      <c r="D100" s="448"/>
      <c r="E100" s="448"/>
      <c r="F100" s="448"/>
      <c r="G100" s="448"/>
      <c r="H100" s="448"/>
      <c r="I100" s="448"/>
      <c r="J100" s="448"/>
      <c r="K100" s="448"/>
      <c r="L100" s="448"/>
      <c r="M100" s="448"/>
      <c r="N100" s="448"/>
      <c r="O100" s="448"/>
      <c r="P100" s="448"/>
      <c r="Q100" s="448"/>
      <c r="R100" s="448"/>
      <c r="S100" s="448"/>
      <c r="T100" s="448"/>
      <c r="U100" s="448"/>
      <c r="V100" s="448"/>
      <c r="W100" s="448"/>
      <c r="X100" s="448"/>
      <c r="Y100" s="448"/>
      <c r="Z100" s="448"/>
      <c r="AA100" s="448"/>
      <c r="AB100" s="448"/>
      <c r="AC100" s="448"/>
      <c r="AD100" s="448"/>
      <c r="AE100" s="448"/>
      <c r="AF100" s="448"/>
      <c r="AG100" s="448"/>
      <c r="AH100" s="448"/>
      <c r="AI100" s="448"/>
      <c r="AJ100" s="448"/>
      <c r="AK100" s="448"/>
      <c r="AL100" s="448"/>
      <c r="AM100" s="448"/>
      <c r="AN100" s="448"/>
      <c r="AO100" s="448"/>
      <c r="AP100" s="448"/>
      <c r="AQ100" s="448"/>
      <c r="AR100" s="448"/>
      <c r="AS100" s="448"/>
      <c r="AT100" s="448"/>
      <c r="AU100" s="448"/>
      <c r="AV100" s="448"/>
      <c r="AW100" s="448"/>
      <c r="AX100" s="448"/>
      <c r="AY100" s="448"/>
      <c r="AZ100" s="448"/>
    </row>
    <row r="101" spans="1:52" x14ac:dyDescent="0.2">
      <c r="A101" s="448"/>
      <c r="B101" s="448"/>
      <c r="C101" s="448"/>
      <c r="D101" s="448"/>
      <c r="E101" s="448"/>
      <c r="F101" s="448"/>
      <c r="G101" s="448"/>
      <c r="H101" s="448"/>
      <c r="I101" s="448"/>
      <c r="J101" s="448"/>
      <c r="K101" s="448"/>
      <c r="L101" s="448"/>
      <c r="M101" s="448"/>
      <c r="N101" s="448"/>
      <c r="O101" s="448"/>
      <c r="P101" s="448"/>
      <c r="Q101" s="448"/>
      <c r="R101" s="448"/>
      <c r="S101" s="448"/>
      <c r="T101" s="448"/>
      <c r="U101" s="448"/>
      <c r="V101" s="448"/>
      <c r="W101" s="448"/>
      <c r="X101" s="448"/>
      <c r="Y101" s="448"/>
      <c r="Z101" s="448"/>
      <c r="AA101" s="448"/>
      <c r="AB101" s="448"/>
      <c r="AC101" s="448"/>
      <c r="AD101" s="448"/>
      <c r="AE101" s="448"/>
      <c r="AF101" s="448"/>
      <c r="AG101" s="448"/>
      <c r="AH101" s="448"/>
      <c r="AI101" s="448"/>
      <c r="AJ101" s="448"/>
      <c r="AK101" s="448"/>
      <c r="AL101" s="448"/>
      <c r="AM101" s="448"/>
      <c r="AN101" s="448"/>
      <c r="AO101" s="448"/>
      <c r="AP101" s="448"/>
      <c r="AQ101" s="448"/>
      <c r="AR101" s="448"/>
      <c r="AS101" s="448"/>
      <c r="AT101" s="448"/>
      <c r="AU101" s="448"/>
      <c r="AV101" s="448"/>
      <c r="AW101" s="448"/>
      <c r="AX101" s="448"/>
      <c r="AY101" s="448"/>
      <c r="AZ101" s="448"/>
    </row>
    <row r="102" spans="1:52" x14ac:dyDescent="0.2">
      <c r="A102" s="448"/>
      <c r="B102" s="448"/>
      <c r="C102" s="448"/>
      <c r="D102" s="448"/>
      <c r="E102" s="448"/>
      <c r="F102" s="448"/>
      <c r="G102" s="448"/>
      <c r="H102" s="448"/>
      <c r="I102" s="448"/>
      <c r="J102" s="448"/>
      <c r="K102" s="448"/>
      <c r="L102" s="448"/>
      <c r="M102" s="448"/>
      <c r="N102" s="448"/>
      <c r="O102" s="448"/>
      <c r="P102" s="448"/>
      <c r="Q102" s="448"/>
      <c r="R102" s="448"/>
      <c r="S102" s="448"/>
      <c r="T102" s="448"/>
      <c r="U102" s="448"/>
      <c r="V102" s="448"/>
      <c r="W102" s="448"/>
      <c r="X102" s="448"/>
      <c r="Y102" s="448"/>
      <c r="Z102" s="448"/>
      <c r="AA102" s="448"/>
      <c r="AB102" s="448"/>
      <c r="AC102" s="448"/>
      <c r="AD102" s="448"/>
      <c r="AE102" s="448"/>
      <c r="AF102" s="448"/>
      <c r="AG102" s="448"/>
      <c r="AH102" s="448"/>
      <c r="AI102" s="448"/>
      <c r="AJ102" s="448"/>
      <c r="AK102" s="448"/>
      <c r="AL102" s="448"/>
      <c r="AM102" s="448"/>
      <c r="AN102" s="448"/>
      <c r="AO102" s="448"/>
      <c r="AP102" s="448"/>
      <c r="AQ102" s="448"/>
      <c r="AR102" s="448"/>
      <c r="AS102" s="448"/>
      <c r="AT102" s="448"/>
      <c r="AU102" s="448"/>
      <c r="AV102" s="448"/>
      <c r="AW102" s="448"/>
      <c r="AX102" s="448"/>
      <c r="AY102" s="448"/>
      <c r="AZ102" s="448"/>
    </row>
    <row r="103" spans="1:52" x14ac:dyDescent="0.2">
      <c r="A103" s="448"/>
      <c r="B103" s="448"/>
      <c r="C103" s="448"/>
      <c r="D103" s="448"/>
      <c r="E103" s="448"/>
      <c r="F103" s="448"/>
      <c r="G103" s="448"/>
      <c r="H103" s="448"/>
      <c r="I103" s="448"/>
      <c r="J103" s="448"/>
      <c r="K103" s="448"/>
      <c r="L103" s="448"/>
      <c r="M103" s="448"/>
      <c r="N103" s="448"/>
      <c r="O103" s="448"/>
      <c r="P103" s="448"/>
      <c r="Q103" s="448"/>
      <c r="R103" s="448"/>
      <c r="S103" s="448"/>
      <c r="T103" s="448"/>
      <c r="U103" s="448"/>
      <c r="V103" s="448"/>
      <c r="W103" s="448"/>
      <c r="X103" s="448"/>
      <c r="Y103" s="448"/>
      <c r="Z103" s="448"/>
      <c r="AA103" s="448"/>
      <c r="AB103" s="448"/>
      <c r="AC103" s="448"/>
      <c r="AD103" s="448"/>
      <c r="AE103" s="448"/>
      <c r="AF103" s="448"/>
      <c r="AG103" s="448"/>
      <c r="AH103" s="448"/>
      <c r="AI103" s="448"/>
      <c r="AJ103" s="448"/>
      <c r="AK103" s="448"/>
      <c r="AL103" s="448"/>
      <c r="AM103" s="448"/>
      <c r="AN103" s="448"/>
      <c r="AO103" s="448"/>
      <c r="AP103" s="448"/>
      <c r="AQ103" s="448"/>
      <c r="AR103" s="448"/>
      <c r="AS103" s="448"/>
      <c r="AT103" s="448"/>
      <c r="AU103" s="448"/>
      <c r="AV103" s="448"/>
      <c r="AW103" s="448"/>
      <c r="AX103" s="448"/>
      <c r="AY103" s="448"/>
      <c r="AZ103" s="448"/>
    </row>
    <row r="104" spans="1:52" x14ac:dyDescent="0.2">
      <c r="A104" s="448"/>
      <c r="B104" s="448"/>
      <c r="C104" s="448"/>
      <c r="D104" s="448"/>
      <c r="E104" s="448"/>
      <c r="F104" s="448"/>
      <c r="G104" s="448"/>
      <c r="H104" s="448"/>
      <c r="I104" s="448"/>
      <c r="J104" s="448"/>
      <c r="K104" s="448"/>
      <c r="L104" s="448"/>
      <c r="M104" s="448"/>
      <c r="N104" s="448"/>
      <c r="O104" s="448"/>
      <c r="P104" s="448"/>
      <c r="Q104" s="448"/>
      <c r="R104" s="448"/>
      <c r="S104" s="448"/>
      <c r="T104" s="448"/>
      <c r="U104" s="448"/>
      <c r="V104" s="448"/>
      <c r="W104" s="448"/>
      <c r="X104" s="448"/>
      <c r="Y104" s="448"/>
      <c r="Z104" s="448"/>
      <c r="AA104" s="448"/>
      <c r="AB104" s="448"/>
      <c r="AC104" s="448"/>
      <c r="AD104" s="448"/>
      <c r="AE104" s="448"/>
      <c r="AF104" s="448"/>
      <c r="AG104" s="448"/>
      <c r="AH104" s="448"/>
      <c r="AI104" s="448"/>
      <c r="AJ104" s="448"/>
      <c r="AK104" s="448"/>
      <c r="AL104" s="448"/>
      <c r="AM104" s="448"/>
      <c r="AN104" s="448"/>
      <c r="AO104" s="448"/>
      <c r="AP104" s="448"/>
      <c r="AQ104" s="448"/>
      <c r="AR104" s="448"/>
      <c r="AS104" s="448"/>
      <c r="AT104" s="448"/>
      <c r="AU104" s="448"/>
      <c r="AV104" s="448"/>
      <c r="AW104" s="448"/>
      <c r="AX104" s="448"/>
      <c r="AY104" s="448"/>
      <c r="AZ104" s="448"/>
    </row>
    <row r="105" spans="1:52" x14ac:dyDescent="0.2">
      <c r="A105" s="448"/>
      <c r="B105" s="448"/>
      <c r="C105" s="448"/>
      <c r="D105" s="448"/>
      <c r="E105" s="448"/>
      <c r="F105" s="448"/>
      <c r="G105" s="448"/>
      <c r="H105" s="448"/>
      <c r="I105" s="448"/>
      <c r="J105" s="448"/>
      <c r="K105" s="448"/>
      <c r="L105" s="448"/>
      <c r="M105" s="448"/>
      <c r="N105" s="448"/>
      <c r="O105" s="448"/>
      <c r="P105" s="448"/>
      <c r="Q105" s="448"/>
      <c r="R105" s="448"/>
      <c r="S105" s="448"/>
      <c r="T105" s="448"/>
      <c r="U105" s="448"/>
      <c r="V105" s="448"/>
      <c r="W105" s="448"/>
      <c r="X105" s="448"/>
      <c r="Y105" s="448"/>
      <c r="Z105" s="448"/>
      <c r="AA105" s="448"/>
      <c r="AB105" s="448"/>
      <c r="AC105" s="448"/>
      <c r="AD105" s="448"/>
      <c r="AE105" s="448"/>
      <c r="AF105" s="448"/>
      <c r="AG105" s="448"/>
      <c r="AH105" s="448"/>
      <c r="AI105" s="448"/>
      <c r="AJ105" s="448"/>
      <c r="AK105" s="448"/>
      <c r="AL105" s="448"/>
      <c r="AM105" s="448"/>
      <c r="AN105" s="448"/>
      <c r="AO105" s="448"/>
      <c r="AP105" s="448"/>
      <c r="AQ105" s="448"/>
      <c r="AR105" s="448"/>
      <c r="AS105" s="448"/>
      <c r="AT105" s="448"/>
      <c r="AU105" s="448"/>
      <c r="AV105" s="448"/>
      <c r="AW105" s="448"/>
      <c r="AX105" s="448"/>
      <c r="AY105" s="448"/>
      <c r="AZ105" s="448"/>
    </row>
    <row r="106" spans="1:52" x14ac:dyDescent="0.2">
      <c r="A106" s="448"/>
      <c r="B106" s="448"/>
      <c r="C106" s="448"/>
      <c r="D106" s="448"/>
      <c r="E106" s="448"/>
      <c r="F106" s="448"/>
      <c r="G106" s="448"/>
      <c r="H106" s="448"/>
      <c r="I106" s="448"/>
      <c r="J106" s="448"/>
      <c r="K106" s="448"/>
      <c r="L106" s="448"/>
      <c r="M106" s="448"/>
      <c r="N106" s="448"/>
      <c r="O106" s="448"/>
      <c r="P106" s="448"/>
      <c r="Q106" s="448"/>
      <c r="R106" s="448"/>
      <c r="S106" s="448"/>
      <c r="T106" s="448"/>
      <c r="U106" s="448"/>
      <c r="V106" s="448"/>
      <c r="W106" s="448"/>
      <c r="X106" s="448"/>
      <c r="Y106" s="448"/>
      <c r="Z106" s="448"/>
      <c r="AA106" s="448"/>
      <c r="AB106" s="448"/>
      <c r="AC106" s="448"/>
      <c r="AD106" s="448"/>
      <c r="AE106" s="448"/>
      <c r="AF106" s="448"/>
      <c r="AG106" s="448"/>
      <c r="AH106" s="448"/>
      <c r="AI106" s="448"/>
      <c r="AJ106" s="448"/>
      <c r="AK106" s="448"/>
      <c r="AL106" s="448"/>
      <c r="AM106" s="448"/>
      <c r="AN106" s="448"/>
      <c r="AO106" s="448"/>
      <c r="AP106" s="448"/>
      <c r="AQ106" s="448"/>
      <c r="AR106" s="448"/>
      <c r="AS106" s="448"/>
      <c r="AT106" s="448"/>
      <c r="AU106" s="448"/>
      <c r="AV106" s="448"/>
      <c r="AW106" s="448"/>
      <c r="AX106" s="448"/>
      <c r="AY106" s="448"/>
      <c r="AZ106" s="448"/>
    </row>
    <row r="107" spans="1:52" x14ac:dyDescent="0.2">
      <c r="A107" s="448"/>
      <c r="B107" s="448"/>
      <c r="C107" s="448"/>
      <c r="D107" s="448"/>
      <c r="E107" s="448"/>
      <c r="F107" s="448"/>
      <c r="G107" s="448"/>
      <c r="H107" s="448"/>
      <c r="I107" s="448"/>
      <c r="J107" s="448"/>
      <c r="K107" s="448"/>
      <c r="L107" s="448"/>
      <c r="M107" s="448"/>
      <c r="N107" s="448"/>
      <c r="O107" s="448"/>
      <c r="P107" s="448"/>
      <c r="Q107" s="448"/>
      <c r="R107" s="448"/>
      <c r="S107" s="448"/>
      <c r="T107" s="448"/>
      <c r="U107" s="448"/>
      <c r="V107" s="448"/>
      <c r="W107" s="448"/>
      <c r="X107" s="448"/>
      <c r="Y107" s="448"/>
      <c r="Z107" s="448"/>
      <c r="AA107" s="448"/>
      <c r="AB107" s="448"/>
      <c r="AC107" s="448"/>
      <c r="AD107" s="448"/>
      <c r="AE107" s="448"/>
      <c r="AF107" s="448"/>
      <c r="AG107" s="448"/>
      <c r="AH107" s="448"/>
      <c r="AI107" s="448"/>
      <c r="AJ107" s="448"/>
      <c r="AK107" s="448"/>
      <c r="AL107" s="448"/>
      <c r="AM107" s="448"/>
      <c r="AN107" s="448"/>
      <c r="AO107" s="448"/>
      <c r="AP107" s="448"/>
      <c r="AQ107" s="448"/>
      <c r="AR107" s="448"/>
      <c r="AS107" s="448"/>
      <c r="AT107" s="448"/>
      <c r="AU107" s="448"/>
      <c r="AV107" s="448"/>
      <c r="AW107" s="448"/>
      <c r="AX107" s="448"/>
      <c r="AY107" s="448"/>
      <c r="AZ107" s="448"/>
    </row>
    <row r="108" spans="1:52" x14ac:dyDescent="0.2">
      <c r="A108" s="448"/>
      <c r="B108" s="448"/>
      <c r="C108" s="448"/>
      <c r="D108" s="448"/>
      <c r="E108" s="448"/>
      <c r="F108" s="448"/>
      <c r="G108" s="448"/>
      <c r="H108" s="448"/>
      <c r="I108" s="448"/>
      <c r="J108" s="448"/>
      <c r="K108" s="448"/>
      <c r="L108" s="448"/>
      <c r="M108" s="448"/>
      <c r="N108" s="448"/>
      <c r="O108" s="448"/>
      <c r="P108" s="448"/>
      <c r="Q108" s="448"/>
      <c r="R108" s="448"/>
      <c r="S108" s="448"/>
      <c r="T108" s="448"/>
      <c r="U108" s="448"/>
      <c r="V108" s="448"/>
      <c r="W108" s="448"/>
      <c r="X108" s="448"/>
      <c r="Y108" s="448"/>
      <c r="Z108" s="448"/>
      <c r="AA108" s="448"/>
      <c r="AB108" s="448"/>
      <c r="AC108" s="448"/>
      <c r="AD108" s="448"/>
      <c r="AE108" s="448"/>
      <c r="AF108" s="448"/>
      <c r="AG108" s="448"/>
      <c r="AH108" s="448"/>
      <c r="AI108" s="448"/>
      <c r="AJ108" s="448"/>
      <c r="AK108" s="448"/>
      <c r="AL108" s="448"/>
      <c r="AM108" s="448"/>
      <c r="AN108" s="448"/>
      <c r="AO108" s="448"/>
      <c r="AP108" s="448"/>
      <c r="AQ108" s="448"/>
      <c r="AR108" s="448"/>
      <c r="AS108" s="448"/>
      <c r="AT108" s="448"/>
      <c r="AU108" s="448"/>
      <c r="AV108" s="448"/>
      <c r="AW108" s="448"/>
      <c r="AX108" s="448"/>
      <c r="AY108" s="448"/>
      <c r="AZ108" s="448"/>
    </row>
    <row r="109" spans="1:52" x14ac:dyDescent="0.2">
      <c r="A109" s="448"/>
      <c r="B109" s="448"/>
      <c r="C109" s="448"/>
      <c r="D109" s="448"/>
      <c r="E109" s="448"/>
      <c r="F109" s="448"/>
      <c r="G109" s="448"/>
      <c r="H109" s="448"/>
      <c r="I109" s="448"/>
      <c r="J109" s="448"/>
      <c r="K109" s="448"/>
      <c r="L109" s="448"/>
      <c r="M109" s="448"/>
      <c r="N109" s="448"/>
      <c r="O109" s="448"/>
      <c r="P109" s="448"/>
      <c r="Q109" s="448"/>
      <c r="R109" s="448"/>
      <c r="S109" s="448"/>
      <c r="T109" s="448"/>
      <c r="U109" s="448"/>
      <c r="V109" s="448"/>
      <c r="W109" s="448"/>
      <c r="X109" s="448"/>
      <c r="Y109" s="448"/>
      <c r="Z109" s="448"/>
      <c r="AA109" s="448"/>
      <c r="AB109" s="448"/>
      <c r="AC109" s="448"/>
      <c r="AD109" s="448"/>
      <c r="AE109" s="448"/>
      <c r="AF109" s="448"/>
      <c r="AG109" s="448"/>
      <c r="AH109" s="448"/>
      <c r="AI109" s="448"/>
      <c r="AJ109" s="448"/>
      <c r="AK109" s="448"/>
      <c r="AL109" s="448"/>
      <c r="AM109" s="448"/>
      <c r="AN109" s="448"/>
      <c r="AO109" s="448"/>
      <c r="AP109" s="448"/>
      <c r="AQ109" s="448"/>
      <c r="AR109" s="448"/>
      <c r="AS109" s="448"/>
      <c r="AT109" s="448"/>
      <c r="AU109" s="448"/>
      <c r="AV109" s="448"/>
      <c r="AW109" s="448"/>
      <c r="AX109" s="448"/>
      <c r="AY109" s="448"/>
      <c r="AZ109" s="448"/>
    </row>
    <row r="110" spans="1:52" x14ac:dyDescent="0.2">
      <c r="A110" s="448"/>
      <c r="B110" s="448"/>
      <c r="C110" s="448"/>
      <c r="D110" s="448"/>
      <c r="E110" s="448"/>
      <c r="F110" s="448"/>
      <c r="G110" s="448"/>
      <c r="H110" s="448"/>
      <c r="I110" s="448"/>
      <c r="J110" s="448"/>
      <c r="K110" s="448"/>
      <c r="L110" s="448"/>
      <c r="M110" s="448"/>
      <c r="N110" s="448"/>
      <c r="O110" s="448"/>
      <c r="P110" s="448"/>
      <c r="Q110" s="448"/>
      <c r="R110" s="448"/>
      <c r="S110" s="448"/>
      <c r="T110" s="448"/>
      <c r="U110" s="448"/>
      <c r="V110" s="448"/>
      <c r="W110" s="448"/>
      <c r="X110" s="448"/>
      <c r="Y110" s="448"/>
      <c r="Z110" s="448"/>
      <c r="AA110" s="448"/>
      <c r="AB110" s="448"/>
      <c r="AC110" s="448"/>
      <c r="AD110" s="448"/>
      <c r="AE110" s="448"/>
      <c r="AF110" s="448"/>
      <c r="AG110" s="448"/>
      <c r="AH110" s="448"/>
      <c r="AI110" s="448"/>
      <c r="AJ110" s="448"/>
      <c r="AK110" s="448"/>
      <c r="AL110" s="448"/>
      <c r="AM110" s="448"/>
      <c r="AN110" s="448"/>
      <c r="AO110" s="448"/>
      <c r="AP110" s="448"/>
      <c r="AQ110" s="448"/>
      <c r="AR110" s="448"/>
      <c r="AS110" s="448"/>
      <c r="AT110" s="448"/>
      <c r="AU110" s="448"/>
      <c r="AV110" s="448"/>
      <c r="AW110" s="448"/>
      <c r="AX110" s="448"/>
      <c r="AY110" s="448"/>
      <c r="AZ110" s="448"/>
    </row>
    <row r="111" spans="1:52" x14ac:dyDescent="0.2">
      <c r="A111" s="448"/>
      <c r="B111" s="448"/>
      <c r="C111" s="448"/>
      <c r="D111" s="448"/>
      <c r="E111" s="448"/>
      <c r="F111" s="448"/>
      <c r="G111" s="448"/>
      <c r="H111" s="448"/>
      <c r="I111" s="448"/>
      <c r="J111" s="448"/>
      <c r="K111" s="448"/>
      <c r="L111" s="448"/>
      <c r="M111" s="448"/>
      <c r="N111" s="448"/>
      <c r="O111" s="448"/>
      <c r="P111" s="448"/>
      <c r="Q111" s="448"/>
      <c r="R111" s="448"/>
      <c r="S111" s="448"/>
      <c r="T111" s="448"/>
      <c r="U111" s="448"/>
      <c r="V111" s="448"/>
      <c r="W111" s="448"/>
      <c r="X111" s="448"/>
      <c r="Y111" s="448"/>
      <c r="Z111" s="448"/>
      <c r="AA111" s="448"/>
      <c r="AB111" s="448"/>
      <c r="AC111" s="448"/>
      <c r="AD111" s="448"/>
      <c r="AE111" s="448"/>
      <c r="AF111" s="448"/>
      <c r="AG111" s="448"/>
      <c r="AH111" s="448"/>
      <c r="AI111" s="448"/>
      <c r="AJ111" s="448"/>
      <c r="AK111" s="448"/>
      <c r="AL111" s="448"/>
      <c r="AM111" s="448"/>
      <c r="AN111" s="448"/>
      <c r="AO111" s="448"/>
      <c r="AP111" s="448"/>
      <c r="AQ111" s="448"/>
      <c r="AR111" s="448"/>
      <c r="AS111" s="448"/>
      <c r="AT111" s="448"/>
      <c r="AU111" s="448"/>
      <c r="AV111" s="448"/>
      <c r="AW111" s="448"/>
      <c r="AX111" s="448"/>
      <c r="AY111" s="448"/>
      <c r="AZ111" s="448"/>
    </row>
    <row r="112" spans="1:52" x14ac:dyDescent="0.2">
      <c r="A112" s="448"/>
      <c r="B112" s="448"/>
      <c r="C112" s="448"/>
      <c r="D112" s="448"/>
      <c r="E112" s="448"/>
      <c r="F112" s="448"/>
      <c r="G112" s="448"/>
      <c r="H112" s="448"/>
      <c r="I112" s="448"/>
      <c r="J112" s="448"/>
      <c r="K112" s="448"/>
      <c r="L112" s="448"/>
      <c r="M112" s="448"/>
      <c r="N112" s="448"/>
      <c r="O112" s="448"/>
      <c r="P112" s="448"/>
      <c r="Q112" s="448"/>
      <c r="R112" s="448"/>
      <c r="S112" s="448"/>
      <c r="T112" s="448"/>
      <c r="U112" s="448"/>
      <c r="V112" s="448"/>
      <c r="W112" s="448"/>
      <c r="X112" s="448"/>
      <c r="Y112" s="448"/>
      <c r="Z112" s="448"/>
      <c r="AA112" s="448"/>
      <c r="AB112" s="448"/>
      <c r="AC112" s="448"/>
      <c r="AD112" s="448"/>
      <c r="AE112" s="448"/>
      <c r="AF112" s="448"/>
      <c r="AG112" s="448"/>
      <c r="AH112" s="448"/>
      <c r="AI112" s="448"/>
      <c r="AJ112" s="448"/>
      <c r="AK112" s="448"/>
      <c r="AL112" s="448"/>
      <c r="AM112" s="448"/>
      <c r="AN112" s="448"/>
      <c r="AO112" s="448"/>
      <c r="AP112" s="448"/>
      <c r="AQ112" s="448"/>
      <c r="AR112" s="448"/>
      <c r="AS112" s="448"/>
      <c r="AT112" s="448"/>
      <c r="AU112" s="448"/>
      <c r="AV112" s="448"/>
      <c r="AW112" s="448"/>
      <c r="AX112" s="448"/>
      <c r="AY112" s="448"/>
      <c r="AZ112" s="448"/>
    </row>
    <row r="113" spans="1:52" x14ac:dyDescent="0.2">
      <c r="A113" s="448"/>
      <c r="B113" s="448"/>
      <c r="C113" s="448"/>
      <c r="D113" s="448"/>
      <c r="E113" s="448"/>
      <c r="F113" s="448"/>
      <c r="G113" s="448"/>
      <c r="H113" s="448"/>
      <c r="I113" s="448"/>
      <c r="J113" s="448"/>
      <c r="K113" s="448"/>
      <c r="L113" s="448"/>
      <c r="M113" s="448"/>
      <c r="N113" s="448"/>
      <c r="O113" s="448"/>
      <c r="P113" s="448"/>
      <c r="Q113" s="448"/>
      <c r="R113" s="448"/>
      <c r="S113" s="448"/>
      <c r="T113" s="448"/>
      <c r="U113" s="448"/>
      <c r="V113" s="448"/>
      <c r="W113" s="448"/>
      <c r="X113" s="448"/>
      <c r="Y113" s="448"/>
      <c r="Z113" s="448"/>
      <c r="AA113" s="448"/>
      <c r="AB113" s="448"/>
      <c r="AC113" s="448"/>
      <c r="AD113" s="448"/>
      <c r="AE113" s="448"/>
      <c r="AF113" s="448"/>
      <c r="AG113" s="448"/>
      <c r="AH113" s="448"/>
      <c r="AI113" s="448"/>
      <c r="AJ113" s="448"/>
      <c r="AK113" s="448"/>
      <c r="AL113" s="448"/>
      <c r="AM113" s="448"/>
      <c r="AN113" s="448"/>
      <c r="AO113" s="448"/>
      <c r="AP113" s="448"/>
      <c r="AQ113" s="448"/>
      <c r="AR113" s="448"/>
      <c r="AS113" s="448"/>
      <c r="AT113" s="448"/>
      <c r="AU113" s="448"/>
      <c r="AV113" s="448"/>
      <c r="AW113" s="448"/>
      <c r="AX113" s="448"/>
      <c r="AY113" s="448"/>
      <c r="AZ113" s="448"/>
    </row>
    <row r="114" spans="1:52" x14ac:dyDescent="0.2">
      <c r="A114" s="448"/>
      <c r="B114" s="448"/>
      <c r="C114" s="448"/>
      <c r="D114" s="448"/>
      <c r="E114" s="448"/>
      <c r="F114" s="448"/>
      <c r="G114" s="448"/>
      <c r="H114" s="448"/>
      <c r="I114" s="448"/>
      <c r="J114" s="448"/>
      <c r="K114" s="448"/>
      <c r="L114" s="448"/>
      <c r="M114" s="448"/>
      <c r="N114" s="448"/>
      <c r="O114" s="448"/>
      <c r="P114" s="448"/>
      <c r="Q114" s="448"/>
      <c r="R114" s="448"/>
      <c r="S114" s="448"/>
      <c r="T114" s="448"/>
      <c r="U114" s="448"/>
      <c r="V114" s="448"/>
      <c r="W114" s="448"/>
      <c r="X114" s="448"/>
      <c r="Y114" s="448"/>
      <c r="Z114" s="448"/>
      <c r="AA114" s="448"/>
      <c r="AB114" s="448"/>
      <c r="AC114" s="448"/>
      <c r="AD114" s="448"/>
      <c r="AE114" s="448"/>
      <c r="AF114" s="448"/>
      <c r="AG114" s="448"/>
      <c r="AH114" s="448"/>
      <c r="AI114" s="448"/>
      <c r="AJ114" s="448"/>
      <c r="AK114" s="448"/>
      <c r="AL114" s="448"/>
      <c r="AM114" s="448"/>
      <c r="AN114" s="448"/>
      <c r="AO114" s="448"/>
      <c r="AP114" s="448"/>
      <c r="AQ114" s="448"/>
      <c r="AR114" s="448"/>
      <c r="AS114" s="448"/>
      <c r="AT114" s="448"/>
      <c r="AU114" s="448"/>
      <c r="AV114" s="448"/>
      <c r="AW114" s="448"/>
      <c r="AX114" s="448"/>
      <c r="AY114" s="448"/>
      <c r="AZ114" s="448"/>
    </row>
    <row r="115" spans="1:52" x14ac:dyDescent="0.2">
      <c r="A115" s="448"/>
      <c r="B115" s="448"/>
      <c r="C115" s="448"/>
      <c r="D115" s="448"/>
      <c r="E115" s="448"/>
      <c r="F115" s="448"/>
      <c r="G115" s="448"/>
      <c r="H115" s="448"/>
      <c r="I115" s="448"/>
      <c r="J115" s="448"/>
      <c r="K115" s="448"/>
      <c r="L115" s="448"/>
      <c r="M115" s="448"/>
      <c r="N115" s="448"/>
      <c r="O115" s="448"/>
      <c r="P115" s="448"/>
      <c r="Q115" s="448"/>
      <c r="R115" s="448"/>
      <c r="S115" s="448"/>
      <c r="T115" s="448"/>
      <c r="U115" s="448"/>
      <c r="V115" s="448"/>
      <c r="W115" s="448"/>
      <c r="X115" s="448"/>
      <c r="Y115" s="448"/>
      <c r="Z115" s="448"/>
      <c r="AA115" s="448"/>
      <c r="AB115" s="448"/>
      <c r="AC115" s="448"/>
      <c r="AD115" s="448"/>
      <c r="AE115" s="448"/>
      <c r="AF115" s="448"/>
      <c r="AG115" s="448"/>
      <c r="AH115" s="448"/>
      <c r="AI115" s="448"/>
      <c r="AJ115" s="448"/>
      <c r="AK115" s="448"/>
      <c r="AL115" s="448"/>
      <c r="AM115" s="448"/>
      <c r="AN115" s="448"/>
      <c r="AO115" s="448"/>
      <c r="AP115" s="448"/>
      <c r="AQ115" s="448"/>
      <c r="AR115" s="448"/>
      <c r="AS115" s="448"/>
      <c r="AT115" s="448"/>
      <c r="AU115" s="448"/>
      <c r="AV115" s="448"/>
      <c r="AW115" s="448"/>
      <c r="AX115" s="448"/>
      <c r="AY115" s="448"/>
      <c r="AZ115" s="448"/>
    </row>
    <row r="116" spans="1:52" x14ac:dyDescent="0.2">
      <c r="A116" s="448"/>
      <c r="B116" s="448"/>
      <c r="C116" s="448"/>
      <c r="D116" s="448"/>
      <c r="E116" s="448"/>
      <c r="F116" s="448"/>
      <c r="G116" s="448"/>
      <c r="H116" s="448"/>
      <c r="I116" s="448"/>
      <c r="J116" s="448"/>
      <c r="K116" s="448"/>
      <c r="L116" s="448"/>
      <c r="M116" s="448"/>
      <c r="N116" s="448"/>
      <c r="O116" s="448"/>
      <c r="P116" s="448"/>
      <c r="Q116" s="448"/>
      <c r="R116" s="448"/>
      <c r="S116" s="448"/>
      <c r="T116" s="448"/>
      <c r="U116" s="448"/>
      <c r="V116" s="448"/>
      <c r="W116" s="448"/>
      <c r="X116" s="448"/>
      <c r="Y116" s="448"/>
      <c r="Z116" s="448"/>
      <c r="AA116" s="448"/>
      <c r="AB116" s="448"/>
      <c r="AC116" s="448"/>
      <c r="AD116" s="448"/>
      <c r="AE116" s="448"/>
      <c r="AF116" s="448"/>
      <c r="AG116" s="448"/>
      <c r="AH116" s="448"/>
      <c r="AI116" s="448"/>
      <c r="AJ116" s="448"/>
      <c r="AK116" s="448"/>
      <c r="AL116" s="448"/>
      <c r="AM116" s="448"/>
      <c r="AN116" s="448"/>
      <c r="AO116" s="448"/>
      <c r="AP116" s="448"/>
      <c r="AQ116" s="448"/>
      <c r="AR116" s="448"/>
      <c r="AS116" s="448"/>
      <c r="AT116" s="448"/>
      <c r="AU116" s="448"/>
      <c r="AV116" s="448"/>
      <c r="AW116" s="448"/>
      <c r="AX116" s="448"/>
      <c r="AY116" s="448"/>
      <c r="AZ116" s="448"/>
    </row>
    <row r="117" spans="1:52" x14ac:dyDescent="0.2">
      <c r="A117" s="448"/>
      <c r="B117" s="448"/>
      <c r="C117" s="448"/>
      <c r="D117" s="448"/>
      <c r="E117" s="448"/>
      <c r="F117" s="448"/>
      <c r="G117" s="448"/>
      <c r="H117" s="448"/>
      <c r="I117" s="448"/>
      <c r="J117" s="448"/>
      <c r="K117" s="448"/>
      <c r="L117" s="448"/>
      <c r="M117" s="448"/>
      <c r="N117" s="448"/>
      <c r="O117" s="448"/>
      <c r="P117" s="448"/>
      <c r="Q117" s="448"/>
      <c r="R117" s="448"/>
      <c r="S117" s="448"/>
      <c r="T117" s="448"/>
      <c r="U117" s="448"/>
      <c r="V117" s="448"/>
      <c r="W117" s="448"/>
      <c r="X117" s="448"/>
      <c r="Y117" s="448"/>
      <c r="Z117" s="448"/>
      <c r="AA117" s="448"/>
      <c r="AB117" s="448"/>
      <c r="AC117" s="448"/>
      <c r="AD117" s="448"/>
      <c r="AE117" s="448"/>
      <c r="AF117" s="448"/>
      <c r="AG117" s="448"/>
      <c r="AH117" s="448"/>
      <c r="AI117" s="448"/>
      <c r="AJ117" s="448"/>
      <c r="AK117" s="448"/>
      <c r="AL117" s="448"/>
      <c r="AM117" s="448"/>
      <c r="AN117" s="448"/>
      <c r="AO117" s="448"/>
      <c r="AP117" s="448"/>
      <c r="AQ117" s="448"/>
      <c r="AR117" s="448"/>
      <c r="AS117" s="448"/>
      <c r="AT117" s="448"/>
      <c r="AU117" s="448"/>
      <c r="AV117" s="448"/>
      <c r="AW117" s="448"/>
      <c r="AX117" s="448"/>
      <c r="AY117" s="448"/>
      <c r="AZ117" s="448"/>
    </row>
    <row r="118" spans="1:52" x14ac:dyDescent="0.2">
      <c r="A118" s="448"/>
      <c r="B118" s="448"/>
      <c r="C118" s="448"/>
      <c r="D118" s="448"/>
      <c r="E118" s="448"/>
      <c r="F118" s="448"/>
      <c r="G118" s="448"/>
      <c r="H118" s="448"/>
      <c r="I118" s="448"/>
      <c r="J118" s="448"/>
      <c r="K118" s="448"/>
      <c r="L118" s="448"/>
      <c r="M118" s="448"/>
      <c r="N118" s="448"/>
      <c r="O118" s="448"/>
      <c r="P118" s="448"/>
      <c r="Q118" s="448"/>
      <c r="R118" s="448"/>
      <c r="S118" s="448"/>
      <c r="T118" s="448"/>
      <c r="U118" s="448"/>
      <c r="V118" s="448"/>
      <c r="W118" s="448"/>
      <c r="X118" s="448"/>
      <c r="Y118" s="448"/>
      <c r="Z118" s="448"/>
      <c r="AA118" s="448"/>
      <c r="AB118" s="448"/>
      <c r="AC118" s="448"/>
      <c r="AD118" s="448"/>
      <c r="AE118" s="448"/>
      <c r="AF118" s="448"/>
      <c r="AG118" s="448"/>
      <c r="AH118" s="448"/>
      <c r="AI118" s="448"/>
      <c r="AJ118" s="448"/>
      <c r="AK118" s="448"/>
      <c r="AL118" s="448"/>
      <c r="AM118" s="448"/>
      <c r="AN118" s="448"/>
      <c r="AO118" s="448"/>
      <c r="AP118" s="448"/>
      <c r="AQ118" s="448"/>
      <c r="AR118" s="448"/>
      <c r="AS118" s="448"/>
      <c r="AT118" s="448"/>
      <c r="AU118" s="448"/>
      <c r="AV118" s="448"/>
      <c r="AW118" s="448"/>
      <c r="AX118" s="448"/>
      <c r="AY118" s="448"/>
      <c r="AZ118" s="448"/>
    </row>
    <row r="119" spans="1:52" x14ac:dyDescent="0.2">
      <c r="A119" s="448"/>
      <c r="B119" s="448"/>
      <c r="C119" s="448"/>
      <c r="D119" s="448"/>
      <c r="E119" s="448"/>
      <c r="F119" s="448"/>
      <c r="G119" s="448"/>
      <c r="H119" s="448"/>
      <c r="I119" s="448"/>
      <c r="J119" s="448"/>
      <c r="K119" s="448"/>
      <c r="L119" s="448"/>
      <c r="M119" s="448"/>
      <c r="N119" s="448"/>
      <c r="O119" s="448"/>
      <c r="P119" s="448"/>
      <c r="Q119" s="448"/>
      <c r="R119" s="448"/>
      <c r="S119" s="448"/>
      <c r="T119" s="448"/>
      <c r="U119" s="448"/>
      <c r="V119" s="448"/>
      <c r="W119" s="448"/>
      <c r="X119" s="448"/>
      <c r="Y119" s="448"/>
      <c r="Z119" s="448"/>
      <c r="AA119" s="448"/>
      <c r="AB119" s="448"/>
      <c r="AC119" s="448"/>
      <c r="AD119" s="448"/>
      <c r="AE119" s="448"/>
      <c r="AF119" s="448"/>
      <c r="AG119" s="448"/>
      <c r="AH119" s="448"/>
      <c r="AI119" s="448"/>
      <c r="AJ119" s="448"/>
      <c r="AK119" s="448"/>
      <c r="AL119" s="448"/>
      <c r="AM119" s="448"/>
      <c r="AN119" s="448"/>
      <c r="AO119" s="448"/>
      <c r="AP119" s="448"/>
      <c r="AQ119" s="448"/>
      <c r="AR119" s="448"/>
      <c r="AS119" s="448"/>
      <c r="AT119" s="448"/>
      <c r="AU119" s="448"/>
      <c r="AV119" s="448"/>
      <c r="AW119" s="448"/>
      <c r="AX119" s="448"/>
      <c r="AY119" s="448"/>
      <c r="AZ119" s="448"/>
    </row>
    <row r="120" spans="1:52" x14ac:dyDescent="0.2">
      <c r="A120" s="448"/>
      <c r="B120" s="448"/>
      <c r="C120" s="448"/>
      <c r="D120" s="448"/>
      <c r="E120" s="448"/>
      <c r="F120" s="448"/>
      <c r="G120" s="448"/>
      <c r="H120" s="448"/>
      <c r="I120" s="448"/>
      <c r="J120" s="448"/>
      <c r="K120" s="448"/>
      <c r="L120" s="448"/>
      <c r="M120" s="448"/>
      <c r="N120" s="448"/>
      <c r="O120" s="448"/>
      <c r="P120" s="448"/>
      <c r="Q120" s="448"/>
      <c r="R120" s="448"/>
      <c r="S120" s="448"/>
      <c r="T120" s="448"/>
      <c r="U120" s="448"/>
      <c r="V120" s="448"/>
      <c r="W120" s="448"/>
      <c r="X120" s="448"/>
      <c r="Y120" s="448"/>
      <c r="Z120" s="448"/>
      <c r="AA120" s="448"/>
      <c r="AB120" s="448"/>
      <c r="AC120" s="448"/>
      <c r="AD120" s="448"/>
      <c r="AE120" s="448"/>
      <c r="AF120" s="448"/>
      <c r="AG120" s="448"/>
      <c r="AH120" s="448"/>
      <c r="AI120" s="448"/>
      <c r="AJ120" s="448"/>
      <c r="AK120" s="448"/>
      <c r="AL120" s="448"/>
      <c r="AM120" s="448"/>
      <c r="AN120" s="448"/>
      <c r="AO120" s="448"/>
      <c r="AP120" s="448"/>
      <c r="AQ120" s="448"/>
      <c r="AR120" s="448"/>
      <c r="AS120" s="448"/>
      <c r="AT120" s="448"/>
      <c r="AU120" s="448"/>
      <c r="AV120" s="448"/>
      <c r="AW120" s="448"/>
      <c r="AX120" s="448"/>
      <c r="AY120" s="448"/>
      <c r="AZ120" s="448"/>
    </row>
    <row r="121" spans="1:52" x14ac:dyDescent="0.2">
      <c r="A121" s="448"/>
      <c r="B121" s="448"/>
      <c r="C121" s="448"/>
      <c r="D121" s="448"/>
      <c r="E121" s="448"/>
      <c r="F121" s="448"/>
      <c r="G121" s="448"/>
      <c r="H121" s="448"/>
      <c r="I121" s="448"/>
      <c r="J121" s="448"/>
      <c r="K121" s="448"/>
      <c r="L121" s="448"/>
      <c r="M121" s="448"/>
      <c r="N121" s="448"/>
      <c r="O121" s="448"/>
      <c r="P121" s="448"/>
      <c r="Q121" s="448"/>
      <c r="R121" s="448"/>
      <c r="S121" s="448"/>
      <c r="T121" s="448"/>
      <c r="U121" s="448"/>
      <c r="V121" s="448"/>
      <c r="W121" s="448"/>
      <c r="X121" s="448"/>
      <c r="Y121" s="448"/>
      <c r="Z121" s="448"/>
      <c r="AA121" s="448"/>
      <c r="AB121" s="448"/>
      <c r="AC121" s="448"/>
      <c r="AD121" s="448"/>
      <c r="AE121" s="448"/>
      <c r="AF121" s="448"/>
      <c r="AG121" s="448"/>
      <c r="AH121" s="448"/>
      <c r="AI121" s="448"/>
      <c r="AJ121" s="448"/>
      <c r="AK121" s="448"/>
      <c r="AL121" s="448"/>
      <c r="AM121" s="448"/>
      <c r="AN121" s="448"/>
      <c r="AO121" s="448"/>
      <c r="AP121" s="448"/>
      <c r="AQ121" s="448"/>
      <c r="AR121" s="448"/>
      <c r="AS121" s="448"/>
      <c r="AT121" s="448"/>
      <c r="AU121" s="448"/>
      <c r="AV121" s="448"/>
      <c r="AW121" s="448"/>
      <c r="AX121" s="448"/>
      <c r="AY121" s="448"/>
      <c r="AZ121" s="448"/>
    </row>
    <row r="122" spans="1:52" x14ac:dyDescent="0.2">
      <c r="A122" s="448"/>
      <c r="B122" s="448"/>
      <c r="C122" s="448"/>
      <c r="D122" s="448"/>
      <c r="E122" s="448"/>
      <c r="F122" s="448"/>
      <c r="G122" s="448"/>
      <c r="H122" s="448"/>
      <c r="I122" s="448"/>
      <c r="J122" s="448"/>
      <c r="K122" s="448"/>
      <c r="L122" s="448"/>
      <c r="M122" s="448"/>
      <c r="N122" s="448"/>
      <c r="O122" s="448"/>
      <c r="P122" s="448"/>
      <c r="Q122" s="448"/>
      <c r="R122" s="448"/>
      <c r="S122" s="448"/>
      <c r="T122" s="448"/>
      <c r="U122" s="448"/>
      <c r="V122" s="448"/>
      <c r="W122" s="448"/>
      <c r="X122" s="448"/>
      <c r="Y122" s="448"/>
      <c r="Z122" s="448"/>
      <c r="AA122" s="448"/>
      <c r="AB122" s="448"/>
      <c r="AC122" s="448"/>
      <c r="AD122" s="448"/>
      <c r="AE122" s="448"/>
      <c r="AF122" s="448"/>
      <c r="AG122" s="448"/>
      <c r="AH122" s="448"/>
      <c r="AI122" s="448"/>
      <c r="AJ122" s="448"/>
      <c r="AK122" s="448"/>
      <c r="AL122" s="448"/>
      <c r="AM122" s="448"/>
      <c r="AN122" s="448"/>
      <c r="AO122" s="448"/>
      <c r="AP122" s="448"/>
      <c r="AQ122" s="448"/>
      <c r="AR122" s="448"/>
      <c r="AS122" s="448"/>
      <c r="AT122" s="448"/>
      <c r="AU122" s="448"/>
      <c r="AV122" s="448"/>
      <c r="AW122" s="448"/>
      <c r="AX122" s="448"/>
      <c r="AY122" s="448"/>
      <c r="AZ122" s="448"/>
    </row>
    <row r="123" spans="1:52" x14ac:dyDescent="0.2">
      <c r="A123" s="448"/>
      <c r="B123" s="448"/>
      <c r="C123" s="448"/>
      <c r="D123" s="448"/>
      <c r="E123" s="448"/>
      <c r="F123" s="448"/>
      <c r="G123" s="448"/>
      <c r="H123" s="448"/>
      <c r="I123" s="448"/>
      <c r="J123" s="448"/>
      <c r="K123" s="448"/>
      <c r="L123" s="448"/>
      <c r="M123" s="448"/>
      <c r="N123" s="448"/>
      <c r="O123" s="448"/>
      <c r="P123" s="448"/>
      <c r="Q123" s="448"/>
      <c r="R123" s="448"/>
      <c r="S123" s="448"/>
      <c r="T123" s="448"/>
      <c r="U123" s="448"/>
      <c r="V123" s="448"/>
      <c r="W123" s="448"/>
      <c r="X123" s="448"/>
      <c r="Y123" s="448"/>
      <c r="Z123" s="448"/>
      <c r="AA123" s="448"/>
      <c r="AB123" s="448"/>
      <c r="AC123" s="448"/>
      <c r="AD123" s="448"/>
      <c r="AE123" s="448"/>
      <c r="AF123" s="448"/>
      <c r="AG123" s="448"/>
      <c r="AH123" s="448"/>
      <c r="AI123" s="448"/>
      <c r="AJ123" s="448"/>
      <c r="AK123" s="448"/>
      <c r="AL123" s="448"/>
      <c r="AM123" s="448"/>
      <c r="AN123" s="448"/>
      <c r="AO123" s="448"/>
      <c r="AP123" s="448"/>
      <c r="AQ123" s="448"/>
      <c r="AR123" s="448"/>
      <c r="AS123" s="448"/>
      <c r="AT123" s="448"/>
      <c r="AU123" s="448"/>
      <c r="AV123" s="448"/>
      <c r="AW123" s="448"/>
      <c r="AX123" s="448"/>
      <c r="AY123" s="448"/>
      <c r="AZ123" s="448"/>
    </row>
    <row r="124" spans="1:52" x14ac:dyDescent="0.2">
      <c r="A124" s="448"/>
      <c r="B124" s="448"/>
      <c r="C124" s="448"/>
      <c r="D124" s="448"/>
      <c r="E124" s="448"/>
      <c r="F124" s="448"/>
      <c r="G124" s="448"/>
      <c r="H124" s="448"/>
      <c r="I124" s="448"/>
      <c r="J124" s="448"/>
      <c r="K124" s="448"/>
      <c r="L124" s="448"/>
      <c r="M124" s="448"/>
      <c r="N124" s="448"/>
      <c r="O124" s="448"/>
      <c r="P124" s="448"/>
      <c r="Q124" s="448"/>
      <c r="R124" s="448"/>
      <c r="S124" s="448"/>
      <c r="T124" s="448"/>
      <c r="U124" s="448"/>
      <c r="V124" s="448"/>
      <c r="W124" s="448"/>
      <c r="X124" s="448"/>
      <c r="Y124" s="448"/>
      <c r="Z124" s="448"/>
      <c r="AA124" s="448"/>
      <c r="AB124" s="448"/>
      <c r="AC124" s="448"/>
      <c r="AD124" s="448"/>
      <c r="AE124" s="448"/>
      <c r="AF124" s="448"/>
      <c r="AG124" s="448"/>
      <c r="AH124" s="448"/>
      <c r="AI124" s="448"/>
      <c r="AJ124" s="448"/>
      <c r="AK124" s="448"/>
      <c r="AL124" s="448"/>
      <c r="AM124" s="448"/>
      <c r="AN124" s="448"/>
      <c r="AO124" s="448"/>
      <c r="AP124" s="448"/>
      <c r="AQ124" s="448"/>
      <c r="AR124" s="448"/>
      <c r="AS124" s="448"/>
      <c r="AT124" s="448"/>
      <c r="AU124" s="448"/>
      <c r="AV124" s="448"/>
      <c r="AW124" s="448"/>
      <c r="AX124" s="448"/>
      <c r="AY124" s="448"/>
      <c r="AZ124" s="448"/>
    </row>
    <row r="125" spans="1:52" x14ac:dyDescent="0.2">
      <c r="A125" s="448"/>
      <c r="B125" s="448"/>
      <c r="C125" s="448"/>
      <c r="D125" s="448"/>
      <c r="E125" s="448"/>
      <c r="F125" s="448"/>
      <c r="G125" s="448"/>
      <c r="H125" s="448"/>
      <c r="I125" s="448"/>
      <c r="J125" s="448"/>
      <c r="K125" s="448"/>
      <c r="L125" s="448"/>
      <c r="M125" s="448"/>
      <c r="N125" s="448"/>
      <c r="O125" s="448"/>
      <c r="P125" s="448"/>
      <c r="Q125" s="448"/>
      <c r="R125" s="448"/>
      <c r="S125" s="448"/>
      <c r="T125" s="448"/>
      <c r="U125" s="448"/>
      <c r="V125" s="448"/>
      <c r="W125" s="448"/>
      <c r="X125" s="448"/>
      <c r="Y125" s="448"/>
      <c r="Z125" s="448"/>
      <c r="AA125" s="448"/>
      <c r="AB125" s="448"/>
      <c r="AC125" s="448"/>
      <c r="AD125" s="448"/>
      <c r="AE125" s="448"/>
      <c r="AF125" s="448"/>
      <c r="AG125" s="448"/>
      <c r="AH125" s="448"/>
      <c r="AI125" s="448"/>
      <c r="AJ125" s="448"/>
      <c r="AK125" s="448"/>
      <c r="AL125" s="448"/>
      <c r="AM125" s="448"/>
      <c r="AN125" s="448"/>
      <c r="AO125" s="448"/>
      <c r="AP125" s="448"/>
      <c r="AQ125" s="448"/>
      <c r="AR125" s="448"/>
      <c r="AS125" s="448"/>
      <c r="AT125" s="448"/>
      <c r="AU125" s="448"/>
      <c r="AV125" s="448"/>
      <c r="AW125" s="448"/>
      <c r="AX125" s="448"/>
      <c r="AY125" s="448"/>
      <c r="AZ125" s="448"/>
    </row>
    <row r="126" spans="1:52" x14ac:dyDescent="0.2">
      <c r="A126" s="448"/>
      <c r="B126" s="448"/>
      <c r="C126" s="448"/>
      <c r="D126" s="448"/>
      <c r="E126" s="448"/>
      <c r="F126" s="448"/>
      <c r="G126" s="448"/>
      <c r="H126" s="448"/>
      <c r="I126" s="448"/>
      <c r="J126" s="448"/>
      <c r="K126" s="448"/>
      <c r="L126" s="448"/>
      <c r="M126" s="448"/>
      <c r="N126" s="448"/>
      <c r="O126" s="448"/>
      <c r="P126" s="448"/>
      <c r="Q126" s="448"/>
      <c r="R126" s="448"/>
      <c r="S126" s="448"/>
      <c r="T126" s="448"/>
      <c r="U126" s="448"/>
      <c r="V126" s="448"/>
      <c r="W126" s="448"/>
      <c r="X126" s="448"/>
      <c r="Y126" s="448"/>
      <c r="Z126" s="448"/>
      <c r="AA126" s="448"/>
      <c r="AB126" s="448"/>
      <c r="AC126" s="448"/>
      <c r="AD126" s="448"/>
      <c r="AE126" s="448"/>
      <c r="AF126" s="448"/>
      <c r="AG126" s="448"/>
      <c r="AH126" s="448"/>
      <c r="AI126" s="448"/>
      <c r="AJ126" s="448"/>
      <c r="AK126" s="448"/>
      <c r="AL126" s="448"/>
      <c r="AM126" s="448"/>
      <c r="AN126" s="448"/>
      <c r="AO126" s="448"/>
      <c r="AP126" s="448"/>
      <c r="AQ126" s="448"/>
      <c r="AR126" s="448"/>
      <c r="AS126" s="448"/>
      <c r="AT126" s="448"/>
      <c r="AU126" s="448"/>
      <c r="AV126" s="448"/>
      <c r="AW126" s="448"/>
      <c r="AX126" s="448"/>
      <c r="AY126" s="448"/>
      <c r="AZ126" s="448"/>
    </row>
    <row r="127" spans="1:52" x14ac:dyDescent="0.2">
      <c r="A127" s="448"/>
      <c r="B127" s="448"/>
      <c r="C127" s="448"/>
      <c r="D127" s="448"/>
      <c r="E127" s="448"/>
      <c r="F127" s="448"/>
      <c r="G127" s="448"/>
      <c r="H127" s="448"/>
      <c r="I127" s="448"/>
      <c r="J127" s="448"/>
      <c r="K127" s="448"/>
      <c r="L127" s="448"/>
      <c r="M127" s="448"/>
      <c r="N127" s="448"/>
      <c r="O127" s="448"/>
      <c r="P127" s="448"/>
      <c r="Q127" s="448"/>
      <c r="R127" s="448"/>
      <c r="S127" s="448"/>
      <c r="T127" s="448"/>
      <c r="U127" s="448"/>
      <c r="V127" s="448"/>
      <c r="W127" s="448"/>
      <c r="X127" s="448"/>
      <c r="Y127" s="448"/>
      <c r="Z127" s="448"/>
      <c r="AA127" s="448"/>
      <c r="AB127" s="448"/>
      <c r="AC127" s="448"/>
      <c r="AD127" s="448"/>
      <c r="AE127" s="448"/>
      <c r="AF127" s="448"/>
      <c r="AG127" s="448"/>
      <c r="AH127" s="448"/>
      <c r="AI127" s="448"/>
      <c r="AJ127" s="448"/>
      <c r="AK127" s="448"/>
      <c r="AL127" s="448"/>
      <c r="AM127" s="448"/>
      <c r="AN127" s="448"/>
      <c r="AO127" s="448"/>
      <c r="AP127" s="448"/>
      <c r="AQ127" s="448"/>
      <c r="AR127" s="448"/>
      <c r="AS127" s="448"/>
      <c r="AT127" s="448"/>
      <c r="AU127" s="448"/>
      <c r="AV127" s="448"/>
      <c r="AW127" s="448"/>
      <c r="AX127" s="448"/>
      <c r="AY127" s="448"/>
      <c r="AZ127" s="448"/>
    </row>
    <row r="128" spans="1:52" x14ac:dyDescent="0.2">
      <c r="A128" s="448"/>
      <c r="B128" s="448"/>
      <c r="C128" s="448"/>
      <c r="D128" s="448"/>
      <c r="E128" s="448"/>
      <c r="F128" s="448"/>
      <c r="G128" s="448"/>
      <c r="H128" s="448"/>
      <c r="I128" s="448"/>
      <c r="J128" s="448"/>
      <c r="K128" s="448"/>
      <c r="L128" s="448"/>
      <c r="M128" s="448"/>
      <c r="N128" s="448"/>
      <c r="O128" s="448"/>
      <c r="P128" s="448"/>
      <c r="Q128" s="448"/>
      <c r="R128" s="448"/>
      <c r="S128" s="448"/>
      <c r="T128" s="448"/>
      <c r="U128" s="448"/>
      <c r="V128" s="448"/>
      <c r="W128" s="448"/>
      <c r="X128" s="448"/>
      <c r="Y128" s="448"/>
      <c r="Z128" s="448"/>
      <c r="AA128" s="448"/>
      <c r="AB128" s="448"/>
      <c r="AC128" s="448"/>
      <c r="AD128" s="448"/>
      <c r="AE128" s="448"/>
      <c r="AF128" s="448"/>
      <c r="AG128" s="448"/>
      <c r="AH128" s="448"/>
      <c r="AI128" s="448"/>
      <c r="AJ128" s="448"/>
      <c r="AK128" s="448"/>
      <c r="AL128" s="448"/>
      <c r="AM128" s="448"/>
      <c r="AN128" s="448"/>
      <c r="AO128" s="448"/>
      <c r="AP128" s="448"/>
      <c r="AQ128" s="448"/>
      <c r="AR128" s="448"/>
      <c r="AS128" s="448"/>
      <c r="AT128" s="448"/>
      <c r="AU128" s="448"/>
      <c r="AV128" s="448"/>
      <c r="AW128" s="448"/>
      <c r="AX128" s="448"/>
      <c r="AY128" s="448"/>
      <c r="AZ128" s="448"/>
    </row>
    <row r="129" spans="1:52" x14ac:dyDescent="0.2">
      <c r="A129" s="448"/>
      <c r="B129" s="448"/>
      <c r="C129" s="448"/>
      <c r="D129" s="448"/>
      <c r="E129" s="448"/>
      <c r="F129" s="448"/>
      <c r="G129" s="448"/>
      <c r="H129" s="448"/>
      <c r="I129" s="448"/>
      <c r="J129" s="448"/>
      <c r="K129" s="448"/>
      <c r="L129" s="448"/>
      <c r="M129" s="448"/>
      <c r="N129" s="448"/>
      <c r="O129" s="448"/>
      <c r="P129" s="448"/>
      <c r="Q129" s="448"/>
      <c r="R129" s="448"/>
      <c r="S129" s="448"/>
      <c r="T129" s="448"/>
      <c r="U129" s="448"/>
      <c r="V129" s="448"/>
      <c r="W129" s="448"/>
      <c r="X129" s="448"/>
      <c r="Y129" s="448"/>
      <c r="Z129" s="448"/>
      <c r="AA129" s="448"/>
      <c r="AB129" s="448"/>
      <c r="AC129" s="448"/>
      <c r="AD129" s="448"/>
      <c r="AE129" s="448"/>
      <c r="AF129" s="448"/>
      <c r="AG129" s="448"/>
      <c r="AH129" s="448"/>
      <c r="AI129" s="448"/>
      <c r="AJ129" s="448"/>
      <c r="AK129" s="448"/>
      <c r="AL129" s="448"/>
      <c r="AM129" s="448"/>
      <c r="AN129" s="448"/>
      <c r="AO129" s="448"/>
      <c r="AP129" s="448"/>
      <c r="AQ129" s="448"/>
      <c r="AR129" s="448"/>
      <c r="AS129" s="448"/>
      <c r="AT129" s="448"/>
      <c r="AU129" s="448"/>
      <c r="AV129" s="448"/>
      <c r="AW129" s="448"/>
      <c r="AX129" s="448"/>
      <c r="AY129" s="448"/>
      <c r="AZ129" s="448"/>
    </row>
    <row r="130" spans="1:52" x14ac:dyDescent="0.2">
      <c r="A130" s="448"/>
      <c r="B130" s="448"/>
      <c r="C130" s="448"/>
      <c r="D130" s="448"/>
      <c r="E130" s="448"/>
      <c r="F130" s="448"/>
      <c r="G130" s="448"/>
      <c r="H130" s="448"/>
      <c r="I130" s="448"/>
      <c r="J130" s="448"/>
      <c r="K130" s="448"/>
      <c r="L130" s="448"/>
      <c r="M130" s="448"/>
      <c r="N130" s="448"/>
      <c r="O130" s="448"/>
      <c r="P130" s="448"/>
      <c r="Q130" s="448"/>
      <c r="R130" s="448"/>
      <c r="S130" s="448"/>
      <c r="T130" s="448"/>
      <c r="U130" s="448"/>
      <c r="V130" s="448"/>
      <c r="W130" s="448"/>
      <c r="X130" s="448"/>
      <c r="Y130" s="448"/>
      <c r="Z130" s="448"/>
      <c r="AA130" s="448"/>
      <c r="AB130" s="448"/>
      <c r="AC130" s="448"/>
      <c r="AD130" s="448"/>
      <c r="AE130" s="448"/>
      <c r="AF130" s="448"/>
      <c r="AG130" s="448"/>
      <c r="AH130" s="448"/>
      <c r="AI130" s="448"/>
      <c r="AJ130" s="448"/>
      <c r="AK130" s="448"/>
      <c r="AL130" s="448"/>
      <c r="AM130" s="448"/>
      <c r="AN130" s="448"/>
      <c r="AO130" s="448"/>
      <c r="AP130" s="448"/>
      <c r="AQ130" s="448"/>
      <c r="AR130" s="448"/>
      <c r="AS130" s="448"/>
      <c r="AT130" s="448"/>
      <c r="AU130" s="448"/>
      <c r="AV130" s="448"/>
      <c r="AW130" s="448"/>
      <c r="AX130" s="448"/>
      <c r="AY130" s="448"/>
      <c r="AZ130" s="448"/>
    </row>
    <row r="131" spans="1:52" x14ac:dyDescent="0.2">
      <c r="A131" s="448"/>
      <c r="B131" s="448"/>
      <c r="C131" s="448"/>
      <c r="D131" s="448"/>
      <c r="E131" s="448"/>
      <c r="F131" s="448"/>
      <c r="G131" s="448"/>
      <c r="H131" s="448"/>
      <c r="I131" s="448"/>
      <c r="J131" s="448"/>
      <c r="K131" s="448"/>
      <c r="L131" s="448"/>
      <c r="M131" s="448"/>
      <c r="N131" s="448"/>
      <c r="O131" s="448"/>
      <c r="P131" s="448"/>
      <c r="Q131" s="448"/>
      <c r="R131" s="448"/>
      <c r="S131" s="448"/>
      <c r="T131" s="448"/>
      <c r="U131" s="448"/>
      <c r="V131" s="448"/>
      <c r="W131" s="448"/>
      <c r="X131" s="448"/>
      <c r="Y131" s="448"/>
      <c r="Z131" s="448"/>
      <c r="AA131" s="448"/>
      <c r="AB131" s="448"/>
      <c r="AC131" s="448"/>
      <c r="AD131" s="448"/>
      <c r="AE131" s="448"/>
      <c r="AF131" s="448"/>
      <c r="AG131" s="448"/>
      <c r="AH131" s="448"/>
      <c r="AI131" s="448"/>
      <c r="AJ131" s="448"/>
      <c r="AK131" s="448"/>
      <c r="AL131" s="448"/>
      <c r="AM131" s="448"/>
      <c r="AN131" s="448"/>
      <c r="AO131" s="448"/>
      <c r="AP131" s="448"/>
      <c r="AQ131" s="448"/>
      <c r="AR131" s="448"/>
      <c r="AS131" s="448"/>
      <c r="AT131" s="448"/>
      <c r="AU131" s="448"/>
      <c r="AV131" s="448"/>
      <c r="AW131" s="448"/>
      <c r="AX131" s="448"/>
      <c r="AY131" s="448"/>
      <c r="AZ131" s="448"/>
    </row>
    <row r="132" spans="1:52" x14ac:dyDescent="0.2">
      <c r="A132" s="448"/>
      <c r="B132" s="448"/>
      <c r="C132" s="448"/>
      <c r="D132" s="448"/>
      <c r="E132" s="448"/>
      <c r="F132" s="448"/>
      <c r="G132" s="448"/>
      <c r="H132" s="448"/>
      <c r="I132" s="448"/>
      <c r="J132" s="448"/>
      <c r="K132" s="448"/>
      <c r="L132" s="448"/>
      <c r="M132" s="448"/>
      <c r="N132" s="448"/>
      <c r="O132" s="448"/>
      <c r="P132" s="448"/>
      <c r="Q132" s="448"/>
      <c r="R132" s="448"/>
      <c r="S132" s="448"/>
      <c r="T132" s="448"/>
      <c r="U132" s="448"/>
      <c r="V132" s="448"/>
      <c r="W132" s="448"/>
      <c r="X132" s="448"/>
      <c r="Y132" s="448"/>
      <c r="Z132" s="448"/>
      <c r="AA132" s="448"/>
      <c r="AB132" s="448"/>
      <c r="AC132" s="448"/>
      <c r="AD132" s="448"/>
      <c r="AE132" s="448"/>
      <c r="AF132" s="448"/>
      <c r="AG132" s="448"/>
      <c r="AH132" s="448"/>
      <c r="AI132" s="448"/>
      <c r="AJ132" s="448"/>
      <c r="AK132" s="448"/>
      <c r="AL132" s="448"/>
      <c r="AM132" s="448"/>
      <c r="AN132" s="448"/>
      <c r="AO132" s="448"/>
      <c r="AP132" s="448"/>
      <c r="AQ132" s="448"/>
      <c r="AR132" s="448"/>
      <c r="AS132" s="448"/>
      <c r="AT132" s="448"/>
      <c r="AU132" s="448"/>
      <c r="AV132" s="448"/>
      <c r="AW132" s="448"/>
      <c r="AX132" s="448"/>
      <c r="AY132" s="448"/>
      <c r="AZ132" s="448"/>
    </row>
    <row r="133" spans="1:52" x14ac:dyDescent="0.2">
      <c r="A133" s="448"/>
      <c r="B133" s="448"/>
      <c r="C133" s="448"/>
      <c r="D133" s="448"/>
      <c r="E133" s="448"/>
      <c r="F133" s="448"/>
      <c r="G133" s="448"/>
      <c r="H133" s="448"/>
      <c r="I133" s="448"/>
      <c r="J133" s="448"/>
      <c r="K133" s="448"/>
      <c r="L133" s="448"/>
      <c r="M133" s="448"/>
      <c r="N133" s="448"/>
      <c r="O133" s="448"/>
      <c r="P133" s="448"/>
      <c r="Q133" s="448"/>
      <c r="R133" s="448"/>
      <c r="S133" s="448"/>
      <c r="T133" s="448"/>
      <c r="U133" s="448"/>
      <c r="V133" s="448"/>
      <c r="W133" s="448"/>
      <c r="X133" s="448"/>
      <c r="Y133" s="448"/>
      <c r="Z133" s="448"/>
      <c r="AA133" s="448"/>
      <c r="AB133" s="448"/>
      <c r="AC133" s="448"/>
      <c r="AD133" s="448"/>
      <c r="AE133" s="448"/>
      <c r="AF133" s="448"/>
      <c r="AG133" s="448"/>
      <c r="AH133" s="448"/>
      <c r="AI133" s="448"/>
      <c r="AJ133" s="448"/>
      <c r="AK133" s="448"/>
      <c r="AL133" s="448"/>
      <c r="AM133" s="448"/>
      <c r="AN133" s="448"/>
      <c r="AO133" s="448"/>
      <c r="AP133" s="448"/>
      <c r="AQ133" s="448"/>
      <c r="AR133" s="448"/>
      <c r="AS133" s="448"/>
      <c r="AT133" s="448"/>
      <c r="AU133" s="448"/>
      <c r="AV133" s="448"/>
      <c r="AW133" s="448"/>
      <c r="AX133" s="448"/>
      <c r="AY133" s="448"/>
      <c r="AZ133" s="448"/>
    </row>
    <row r="134" spans="1:52" x14ac:dyDescent="0.2">
      <c r="A134" s="448"/>
      <c r="B134" s="448"/>
      <c r="C134" s="448"/>
      <c r="D134" s="448"/>
      <c r="E134" s="448"/>
      <c r="F134" s="448"/>
      <c r="G134" s="448"/>
      <c r="H134" s="448"/>
      <c r="I134" s="448"/>
      <c r="J134" s="448"/>
      <c r="K134" s="448"/>
      <c r="L134" s="448"/>
      <c r="M134" s="448"/>
      <c r="N134" s="448"/>
      <c r="O134" s="448"/>
      <c r="P134" s="448"/>
      <c r="Q134" s="448"/>
      <c r="R134" s="448"/>
      <c r="S134" s="448"/>
      <c r="T134" s="448"/>
      <c r="U134" s="448"/>
      <c r="V134" s="448"/>
      <c r="W134" s="448"/>
      <c r="X134" s="448"/>
      <c r="Y134" s="448"/>
      <c r="Z134" s="448"/>
      <c r="AA134" s="448"/>
      <c r="AB134" s="448"/>
      <c r="AC134" s="448"/>
      <c r="AD134" s="448"/>
      <c r="AE134" s="448"/>
      <c r="AF134" s="448"/>
      <c r="AG134" s="448"/>
      <c r="AH134" s="448"/>
      <c r="AI134" s="448"/>
      <c r="AJ134" s="448"/>
      <c r="AK134" s="448"/>
      <c r="AL134" s="448"/>
      <c r="AM134" s="448"/>
      <c r="AN134" s="448"/>
      <c r="AO134" s="448"/>
      <c r="AP134" s="448"/>
      <c r="AQ134" s="448"/>
      <c r="AR134" s="448"/>
      <c r="AS134" s="448"/>
      <c r="AT134" s="448"/>
      <c r="AU134" s="448"/>
      <c r="AV134" s="448"/>
      <c r="AW134" s="448"/>
      <c r="AX134" s="448"/>
      <c r="AY134" s="448"/>
      <c r="AZ134" s="448"/>
    </row>
    <row r="135" spans="1:52" x14ac:dyDescent="0.2">
      <c r="A135" s="448"/>
      <c r="B135" s="448"/>
      <c r="C135" s="448"/>
      <c r="D135" s="448"/>
      <c r="E135" s="448"/>
      <c r="F135" s="448"/>
      <c r="G135" s="448"/>
      <c r="H135" s="448"/>
      <c r="I135" s="448"/>
      <c r="J135" s="448"/>
      <c r="K135" s="448"/>
      <c r="L135" s="448"/>
      <c r="M135" s="448"/>
      <c r="N135" s="448"/>
      <c r="O135" s="448"/>
      <c r="P135" s="448"/>
      <c r="Q135" s="448"/>
      <c r="R135" s="448"/>
      <c r="S135" s="448"/>
      <c r="T135" s="448"/>
      <c r="U135" s="448"/>
      <c r="V135" s="448"/>
      <c r="W135" s="448"/>
      <c r="X135" s="448"/>
      <c r="Y135" s="448"/>
      <c r="Z135" s="448"/>
      <c r="AA135" s="448"/>
      <c r="AB135" s="448"/>
      <c r="AC135" s="448"/>
      <c r="AD135" s="448"/>
      <c r="AE135" s="448"/>
      <c r="AF135" s="448"/>
      <c r="AG135" s="448"/>
      <c r="AH135" s="448"/>
      <c r="AI135" s="448"/>
      <c r="AJ135" s="448"/>
      <c r="AK135" s="448"/>
      <c r="AL135" s="448"/>
      <c r="AM135" s="448"/>
      <c r="AN135" s="448"/>
      <c r="AO135" s="448"/>
      <c r="AP135" s="448"/>
      <c r="AQ135" s="448"/>
      <c r="AR135" s="448"/>
      <c r="AS135" s="448"/>
      <c r="AT135" s="448"/>
      <c r="AU135" s="448"/>
      <c r="AV135" s="448"/>
      <c r="AW135" s="448"/>
      <c r="AX135" s="448"/>
      <c r="AY135" s="448"/>
      <c r="AZ135" s="448"/>
    </row>
    <row r="136" spans="1:52" x14ac:dyDescent="0.2">
      <c r="A136" s="448"/>
      <c r="B136" s="448"/>
      <c r="C136" s="448"/>
      <c r="D136" s="448"/>
      <c r="E136" s="448"/>
      <c r="F136" s="448"/>
      <c r="G136" s="448"/>
      <c r="H136" s="448"/>
      <c r="I136" s="448"/>
      <c r="J136" s="448"/>
      <c r="K136" s="448"/>
      <c r="L136" s="448"/>
      <c r="M136" s="448"/>
      <c r="N136" s="448"/>
      <c r="O136" s="448"/>
      <c r="P136" s="448"/>
      <c r="Q136" s="448"/>
      <c r="R136" s="448"/>
      <c r="S136" s="448"/>
      <c r="T136" s="448"/>
      <c r="U136" s="448"/>
      <c r="V136" s="448"/>
      <c r="W136" s="448"/>
      <c r="X136" s="448"/>
      <c r="Y136" s="448"/>
      <c r="Z136" s="448"/>
      <c r="AA136" s="448"/>
      <c r="AB136" s="448"/>
      <c r="AC136" s="448"/>
      <c r="AD136" s="448"/>
      <c r="AE136" s="448"/>
      <c r="AF136" s="448"/>
      <c r="AG136" s="448"/>
      <c r="AH136" s="448"/>
      <c r="AI136" s="448"/>
      <c r="AJ136" s="448"/>
      <c r="AK136" s="448"/>
      <c r="AL136" s="448"/>
      <c r="AM136" s="448"/>
      <c r="AN136" s="448"/>
      <c r="AO136" s="448"/>
      <c r="AP136" s="448"/>
      <c r="AQ136" s="448"/>
      <c r="AR136" s="448"/>
      <c r="AS136" s="448"/>
      <c r="AT136" s="448"/>
      <c r="AU136" s="448"/>
      <c r="AV136" s="448"/>
      <c r="AW136" s="448"/>
      <c r="AX136" s="448"/>
      <c r="AY136" s="448"/>
      <c r="AZ136" s="448"/>
    </row>
    <row r="137" spans="1:52" x14ac:dyDescent="0.2">
      <c r="A137" s="448"/>
      <c r="B137" s="448"/>
      <c r="C137" s="448"/>
      <c r="D137" s="448"/>
      <c r="E137" s="448"/>
      <c r="F137" s="448"/>
      <c r="G137" s="448"/>
      <c r="H137" s="448"/>
      <c r="I137" s="448"/>
      <c r="J137" s="448"/>
      <c r="K137" s="448"/>
      <c r="L137" s="448"/>
      <c r="M137" s="448"/>
      <c r="N137" s="448"/>
      <c r="O137" s="448"/>
      <c r="P137" s="448"/>
      <c r="Q137" s="448"/>
      <c r="R137" s="448"/>
      <c r="S137" s="448"/>
      <c r="T137" s="448"/>
      <c r="U137" s="448"/>
      <c r="V137" s="448"/>
      <c r="W137" s="448"/>
      <c r="X137" s="448"/>
      <c r="Y137" s="448"/>
      <c r="Z137" s="448"/>
      <c r="AA137" s="448"/>
      <c r="AB137" s="448"/>
      <c r="AC137" s="448"/>
      <c r="AD137" s="448"/>
      <c r="AE137" s="448"/>
      <c r="AF137" s="448"/>
      <c r="AG137" s="448"/>
      <c r="AH137" s="448"/>
      <c r="AI137" s="448"/>
      <c r="AJ137" s="448"/>
      <c r="AK137" s="448"/>
      <c r="AL137" s="448"/>
      <c r="AM137" s="448"/>
      <c r="AN137" s="448"/>
      <c r="AO137" s="448"/>
      <c r="AP137" s="448"/>
      <c r="AQ137" s="448"/>
      <c r="AR137" s="448"/>
      <c r="AS137" s="448"/>
      <c r="AT137" s="448"/>
      <c r="AU137" s="448"/>
      <c r="AV137" s="448"/>
      <c r="AW137" s="448"/>
      <c r="AX137" s="448"/>
      <c r="AY137" s="448"/>
      <c r="AZ137" s="448"/>
    </row>
    <row r="138" spans="1:52" x14ac:dyDescent="0.2">
      <c r="A138" s="448"/>
      <c r="B138" s="448"/>
      <c r="C138" s="448"/>
      <c r="D138" s="448"/>
      <c r="E138" s="448"/>
      <c r="F138" s="448"/>
      <c r="G138" s="448"/>
      <c r="H138" s="448"/>
      <c r="I138" s="448"/>
      <c r="J138" s="448"/>
      <c r="K138" s="448"/>
      <c r="L138" s="448"/>
      <c r="M138" s="448"/>
      <c r="N138" s="448"/>
      <c r="O138" s="448"/>
      <c r="P138" s="448"/>
      <c r="Q138" s="448"/>
      <c r="R138" s="448"/>
      <c r="S138" s="448"/>
      <c r="T138" s="448"/>
      <c r="U138" s="448"/>
      <c r="V138" s="448"/>
      <c r="W138" s="448"/>
      <c r="X138" s="448"/>
      <c r="Y138" s="448"/>
      <c r="Z138" s="448"/>
      <c r="AA138" s="448"/>
      <c r="AB138" s="448"/>
      <c r="AC138" s="448"/>
      <c r="AD138" s="448"/>
      <c r="AE138" s="448"/>
      <c r="AF138" s="448"/>
      <c r="AG138" s="448"/>
      <c r="AH138" s="448"/>
      <c r="AI138" s="448"/>
      <c r="AJ138" s="448"/>
      <c r="AK138" s="448"/>
      <c r="AL138" s="448"/>
      <c r="AM138" s="448"/>
      <c r="AN138" s="448"/>
      <c r="AO138" s="448"/>
      <c r="AP138" s="448"/>
      <c r="AQ138" s="448"/>
      <c r="AR138" s="448"/>
      <c r="AS138" s="448"/>
      <c r="AT138" s="448"/>
      <c r="AU138" s="448"/>
      <c r="AV138" s="448"/>
      <c r="AW138" s="448"/>
      <c r="AX138" s="448"/>
      <c r="AY138" s="448"/>
      <c r="AZ138" s="448"/>
    </row>
    <row r="139" spans="1:52" x14ac:dyDescent="0.2">
      <c r="A139" s="448"/>
      <c r="B139" s="448"/>
      <c r="C139" s="448"/>
      <c r="D139" s="448"/>
      <c r="E139" s="448"/>
      <c r="F139" s="448"/>
      <c r="G139" s="448"/>
      <c r="H139" s="448"/>
      <c r="I139" s="448"/>
      <c r="J139" s="448"/>
      <c r="K139" s="448"/>
      <c r="L139" s="448"/>
      <c r="M139" s="448"/>
      <c r="N139" s="448"/>
      <c r="O139" s="448"/>
      <c r="P139" s="448"/>
      <c r="Q139" s="448"/>
      <c r="R139" s="448"/>
      <c r="S139" s="448"/>
      <c r="T139" s="448"/>
      <c r="U139" s="448"/>
      <c r="V139" s="448"/>
      <c r="W139" s="448"/>
      <c r="X139" s="448"/>
      <c r="Y139" s="448"/>
      <c r="Z139" s="448"/>
      <c r="AA139" s="448"/>
      <c r="AB139" s="448"/>
      <c r="AC139" s="448"/>
      <c r="AD139" s="448"/>
      <c r="AE139" s="448"/>
      <c r="AF139" s="448"/>
      <c r="AG139" s="448"/>
      <c r="AH139" s="448"/>
      <c r="AI139" s="448"/>
      <c r="AJ139" s="448"/>
      <c r="AK139" s="448"/>
      <c r="AL139" s="448"/>
      <c r="AM139" s="448"/>
      <c r="AN139" s="448"/>
      <c r="AO139" s="448"/>
      <c r="AP139" s="448"/>
      <c r="AQ139" s="448"/>
      <c r="AR139" s="448"/>
      <c r="AS139" s="448"/>
      <c r="AT139" s="448"/>
      <c r="AU139" s="448"/>
      <c r="AV139" s="448"/>
      <c r="AW139" s="448"/>
      <c r="AX139" s="448"/>
      <c r="AY139" s="448"/>
      <c r="AZ139" s="448"/>
    </row>
    <row r="140" spans="1:52" x14ac:dyDescent="0.2">
      <c r="A140" s="448"/>
      <c r="B140" s="448"/>
      <c r="C140" s="448"/>
      <c r="D140" s="448"/>
      <c r="E140" s="448"/>
      <c r="F140" s="448"/>
      <c r="G140" s="448"/>
      <c r="H140" s="448"/>
      <c r="I140" s="448"/>
      <c r="J140" s="448"/>
      <c r="K140" s="448"/>
      <c r="L140" s="448"/>
      <c r="M140" s="448"/>
      <c r="N140" s="448"/>
      <c r="O140" s="448"/>
      <c r="P140" s="448"/>
      <c r="Q140" s="448"/>
      <c r="R140" s="448"/>
      <c r="S140" s="448"/>
      <c r="T140" s="448"/>
      <c r="U140" s="448"/>
      <c r="V140" s="448"/>
      <c r="W140" s="448"/>
      <c r="X140" s="448"/>
      <c r="Y140" s="448"/>
      <c r="Z140" s="448"/>
      <c r="AA140" s="448"/>
      <c r="AB140" s="448"/>
      <c r="AC140" s="448"/>
      <c r="AD140" s="448"/>
      <c r="AE140" s="448"/>
      <c r="AF140" s="448"/>
      <c r="AG140" s="448"/>
      <c r="AH140" s="448"/>
      <c r="AI140" s="448"/>
      <c r="AJ140" s="448"/>
      <c r="AK140" s="448"/>
      <c r="AL140" s="448"/>
      <c r="AM140" s="448"/>
      <c r="AN140" s="448"/>
      <c r="AO140" s="448"/>
      <c r="AP140" s="448"/>
      <c r="AQ140" s="448"/>
      <c r="AR140" s="448"/>
      <c r="AS140" s="448"/>
      <c r="AT140" s="448"/>
      <c r="AU140" s="448"/>
      <c r="AV140" s="448"/>
      <c r="AW140" s="448"/>
      <c r="AX140" s="448"/>
      <c r="AY140" s="448"/>
      <c r="AZ140" s="448"/>
    </row>
    <row r="141" spans="1:52" x14ac:dyDescent="0.2">
      <c r="A141" s="448"/>
      <c r="B141" s="448"/>
      <c r="C141" s="448"/>
      <c r="D141" s="448"/>
      <c r="E141" s="448"/>
      <c r="F141" s="448"/>
      <c r="G141" s="448"/>
      <c r="H141" s="448"/>
      <c r="I141" s="448"/>
      <c r="J141" s="448"/>
      <c r="K141" s="448"/>
      <c r="L141" s="448"/>
      <c r="M141" s="448"/>
      <c r="N141" s="448"/>
      <c r="O141" s="448"/>
      <c r="P141" s="448"/>
      <c r="Q141" s="448"/>
      <c r="R141" s="448"/>
      <c r="S141" s="448"/>
      <c r="T141" s="448"/>
      <c r="U141" s="448"/>
      <c r="V141" s="448"/>
      <c r="W141" s="448"/>
      <c r="X141" s="448"/>
      <c r="Y141" s="448"/>
      <c r="Z141" s="448"/>
      <c r="AA141" s="448"/>
      <c r="AB141" s="448"/>
      <c r="AC141" s="448"/>
      <c r="AD141" s="448"/>
      <c r="AE141" s="448"/>
      <c r="AF141" s="448"/>
      <c r="AG141" s="448"/>
      <c r="AH141" s="448"/>
      <c r="AI141" s="448"/>
      <c r="AJ141" s="448"/>
      <c r="AK141" s="448"/>
      <c r="AL141" s="448"/>
      <c r="AM141" s="448"/>
      <c r="AN141" s="448"/>
      <c r="AO141" s="448"/>
      <c r="AP141" s="448"/>
      <c r="AQ141" s="448"/>
      <c r="AR141" s="448"/>
      <c r="AS141" s="448"/>
      <c r="AT141" s="448"/>
      <c r="AU141" s="448"/>
      <c r="AV141" s="448"/>
      <c r="AW141" s="448"/>
      <c r="AX141" s="448"/>
      <c r="AY141" s="448"/>
      <c r="AZ141" s="448"/>
    </row>
    <row r="142" spans="1:52" x14ac:dyDescent="0.2">
      <c r="A142" s="448"/>
      <c r="B142" s="448"/>
      <c r="C142" s="448"/>
      <c r="D142" s="448"/>
      <c r="E142" s="448"/>
      <c r="F142" s="448"/>
      <c r="G142" s="448"/>
      <c r="H142" s="448"/>
      <c r="I142" s="448"/>
      <c r="J142" s="448"/>
      <c r="K142" s="448"/>
      <c r="L142" s="448"/>
      <c r="M142" s="448"/>
      <c r="N142" s="448"/>
      <c r="O142" s="448"/>
      <c r="P142" s="448"/>
      <c r="Q142" s="448"/>
      <c r="R142" s="448"/>
      <c r="S142" s="448"/>
      <c r="T142" s="448"/>
      <c r="U142" s="448"/>
      <c r="V142" s="448"/>
      <c r="W142" s="448"/>
      <c r="X142" s="448"/>
      <c r="Y142" s="448"/>
      <c r="Z142" s="448"/>
      <c r="AA142" s="448"/>
      <c r="AB142" s="448"/>
      <c r="AC142" s="448"/>
      <c r="AD142" s="448"/>
      <c r="AE142" s="448"/>
      <c r="AF142" s="448"/>
      <c r="AG142" s="448"/>
      <c r="AH142" s="448"/>
      <c r="AI142" s="448"/>
      <c r="AJ142" s="448"/>
      <c r="AK142" s="448"/>
      <c r="AL142" s="448"/>
      <c r="AM142" s="448"/>
      <c r="AN142" s="448"/>
      <c r="AO142" s="448"/>
      <c r="AP142" s="448"/>
      <c r="AQ142" s="448"/>
      <c r="AR142" s="448"/>
      <c r="AS142" s="448"/>
      <c r="AT142" s="448"/>
      <c r="AU142" s="448"/>
      <c r="AV142" s="448"/>
      <c r="AW142" s="448"/>
      <c r="AX142" s="448"/>
      <c r="AY142" s="448"/>
      <c r="AZ142" s="448"/>
    </row>
    <row r="143" spans="1:52" x14ac:dyDescent="0.2">
      <c r="A143" s="448"/>
      <c r="B143" s="448"/>
      <c r="C143" s="448"/>
      <c r="D143" s="448"/>
      <c r="E143" s="448"/>
      <c r="F143" s="448"/>
      <c r="G143" s="448"/>
      <c r="H143" s="448"/>
      <c r="I143" s="448"/>
      <c r="J143" s="448"/>
      <c r="K143" s="448"/>
      <c r="L143" s="448"/>
      <c r="M143" s="448"/>
      <c r="N143" s="448"/>
      <c r="O143" s="448"/>
      <c r="P143" s="448"/>
      <c r="Q143" s="448"/>
      <c r="R143" s="448"/>
      <c r="S143" s="448"/>
      <c r="T143" s="448"/>
      <c r="U143" s="448"/>
      <c r="V143" s="448"/>
      <c r="W143" s="448"/>
      <c r="X143" s="448"/>
      <c r="Y143" s="448"/>
      <c r="Z143" s="448"/>
      <c r="AA143" s="448"/>
      <c r="AB143" s="448"/>
      <c r="AC143" s="448"/>
      <c r="AD143" s="448"/>
      <c r="AE143" s="448"/>
      <c r="AF143" s="448"/>
      <c r="AG143" s="448"/>
      <c r="AH143" s="448"/>
      <c r="AI143" s="448"/>
      <c r="AJ143" s="448"/>
      <c r="AK143" s="448"/>
      <c r="AL143" s="448"/>
      <c r="AM143" s="448"/>
      <c r="AN143" s="448"/>
      <c r="AO143" s="448"/>
      <c r="AP143" s="448"/>
      <c r="AQ143" s="448"/>
      <c r="AR143" s="448"/>
      <c r="AS143" s="448"/>
      <c r="AT143" s="448"/>
      <c r="AU143" s="448"/>
      <c r="AV143" s="448"/>
      <c r="AW143" s="448"/>
      <c r="AX143" s="448"/>
      <c r="AY143" s="448"/>
      <c r="AZ143" s="448"/>
    </row>
    <row r="144" spans="1:52" x14ac:dyDescent="0.2">
      <c r="A144" s="448"/>
      <c r="B144" s="448"/>
      <c r="C144" s="448"/>
      <c r="D144" s="448"/>
      <c r="E144" s="448"/>
      <c r="F144" s="448"/>
      <c r="G144" s="448"/>
      <c r="H144" s="448"/>
      <c r="I144" s="448"/>
      <c r="J144" s="448"/>
      <c r="K144" s="448"/>
      <c r="L144" s="448"/>
      <c r="M144" s="448"/>
      <c r="N144" s="448"/>
      <c r="O144" s="448"/>
      <c r="P144" s="448"/>
      <c r="Q144" s="448"/>
      <c r="R144" s="448"/>
      <c r="S144" s="448"/>
      <c r="T144" s="448"/>
      <c r="U144" s="448"/>
      <c r="V144" s="448"/>
      <c r="W144" s="448"/>
      <c r="X144" s="448"/>
      <c r="Y144" s="448"/>
      <c r="Z144" s="448"/>
      <c r="AA144" s="448"/>
      <c r="AB144" s="448"/>
      <c r="AC144" s="448"/>
      <c r="AD144" s="448"/>
      <c r="AE144" s="448"/>
      <c r="AF144" s="448"/>
      <c r="AG144" s="448"/>
      <c r="AH144" s="448"/>
      <c r="AI144" s="448"/>
      <c r="AJ144" s="448"/>
      <c r="AK144" s="448"/>
      <c r="AL144" s="448"/>
      <c r="AM144" s="448"/>
      <c r="AN144" s="448"/>
      <c r="AO144" s="448"/>
      <c r="AP144" s="448"/>
      <c r="AQ144" s="448"/>
      <c r="AR144" s="448"/>
      <c r="AS144" s="448"/>
      <c r="AT144" s="448"/>
      <c r="AU144" s="448"/>
      <c r="AV144" s="448"/>
      <c r="AW144" s="448"/>
      <c r="AX144" s="448"/>
      <c r="AY144" s="448"/>
      <c r="AZ144" s="448"/>
    </row>
    <row r="145" spans="1:52" x14ac:dyDescent="0.2">
      <c r="A145" s="448"/>
      <c r="B145" s="448"/>
      <c r="C145" s="448"/>
      <c r="D145" s="448"/>
      <c r="E145" s="448"/>
      <c r="F145" s="448"/>
      <c r="G145" s="448"/>
      <c r="H145" s="448"/>
      <c r="I145" s="448"/>
      <c r="J145" s="448"/>
      <c r="K145" s="448"/>
      <c r="L145" s="448"/>
      <c r="M145" s="448"/>
      <c r="N145" s="448"/>
      <c r="O145" s="448"/>
      <c r="P145" s="448"/>
      <c r="Q145" s="448"/>
      <c r="R145" s="448"/>
      <c r="S145" s="448"/>
      <c r="T145" s="448"/>
      <c r="U145" s="448"/>
      <c r="V145" s="448"/>
      <c r="W145" s="448"/>
      <c r="X145" s="448"/>
      <c r="Y145" s="448"/>
      <c r="Z145" s="448"/>
      <c r="AA145" s="448"/>
      <c r="AB145" s="448"/>
      <c r="AC145" s="448"/>
      <c r="AD145" s="448"/>
      <c r="AE145" s="448"/>
      <c r="AF145" s="448"/>
      <c r="AG145" s="448"/>
      <c r="AH145" s="448"/>
      <c r="AI145" s="448"/>
      <c r="AJ145" s="448"/>
      <c r="AK145" s="448"/>
      <c r="AL145" s="448"/>
      <c r="AM145" s="448"/>
      <c r="AN145" s="448"/>
      <c r="AO145" s="448"/>
      <c r="AP145" s="448"/>
      <c r="AQ145" s="448"/>
      <c r="AR145" s="448"/>
      <c r="AS145" s="448"/>
      <c r="AT145" s="448"/>
      <c r="AU145" s="448"/>
      <c r="AV145" s="448"/>
      <c r="AW145" s="448"/>
      <c r="AX145" s="448"/>
      <c r="AY145" s="448"/>
      <c r="AZ145" s="448"/>
    </row>
    <row r="146" spans="1:52" x14ac:dyDescent="0.2">
      <c r="A146" s="448"/>
      <c r="B146" s="448"/>
      <c r="C146" s="448"/>
      <c r="D146" s="448"/>
      <c r="E146" s="448"/>
      <c r="F146" s="448"/>
      <c r="G146" s="448"/>
      <c r="H146" s="448"/>
      <c r="I146" s="448"/>
      <c r="J146" s="448"/>
      <c r="K146" s="448"/>
      <c r="L146" s="448"/>
      <c r="M146" s="448"/>
      <c r="N146" s="448"/>
      <c r="O146" s="448"/>
      <c r="P146" s="448"/>
      <c r="Q146" s="448"/>
      <c r="R146" s="448"/>
      <c r="S146" s="448"/>
      <c r="T146" s="448"/>
      <c r="U146" s="448"/>
      <c r="V146" s="448"/>
      <c r="W146" s="448"/>
      <c r="X146" s="448"/>
      <c r="Y146" s="448"/>
      <c r="Z146" s="448"/>
      <c r="AA146" s="448"/>
      <c r="AB146" s="448"/>
      <c r="AC146" s="448"/>
      <c r="AD146" s="448"/>
      <c r="AE146" s="448"/>
      <c r="AF146" s="448"/>
      <c r="AG146" s="448"/>
      <c r="AH146" s="448"/>
      <c r="AI146" s="448"/>
      <c r="AJ146" s="448"/>
      <c r="AK146" s="448"/>
      <c r="AL146" s="448"/>
      <c r="AM146" s="448"/>
      <c r="AN146" s="448"/>
      <c r="AO146" s="448"/>
      <c r="AP146" s="448"/>
      <c r="AQ146" s="448"/>
      <c r="AR146" s="448"/>
      <c r="AS146" s="448"/>
      <c r="AT146" s="448"/>
      <c r="AU146" s="448"/>
      <c r="AV146" s="448"/>
      <c r="AW146" s="448"/>
      <c r="AX146" s="448"/>
      <c r="AY146" s="448"/>
      <c r="AZ146" s="448"/>
    </row>
    <row r="147" spans="1:52" x14ac:dyDescent="0.2">
      <c r="A147" s="448"/>
      <c r="B147" s="448"/>
      <c r="C147" s="448"/>
      <c r="D147" s="448"/>
      <c r="E147" s="448"/>
      <c r="F147" s="448"/>
      <c r="G147" s="448"/>
      <c r="H147" s="448"/>
      <c r="I147" s="448"/>
      <c r="J147" s="448"/>
      <c r="K147" s="448"/>
      <c r="L147" s="448"/>
      <c r="M147" s="448"/>
      <c r="N147" s="448"/>
      <c r="O147" s="448"/>
      <c r="P147" s="448"/>
      <c r="Q147" s="448"/>
      <c r="R147" s="448"/>
      <c r="S147" s="448"/>
      <c r="T147" s="448"/>
      <c r="U147" s="448"/>
      <c r="V147" s="448"/>
      <c r="W147" s="448"/>
      <c r="X147" s="448"/>
      <c r="Y147" s="448"/>
      <c r="Z147" s="448"/>
      <c r="AA147" s="448"/>
      <c r="AB147" s="448"/>
      <c r="AC147" s="448"/>
      <c r="AD147" s="448"/>
      <c r="AE147" s="448"/>
      <c r="AF147" s="448"/>
      <c r="AG147" s="448"/>
      <c r="AH147" s="448"/>
      <c r="AI147" s="448"/>
      <c r="AJ147" s="448"/>
      <c r="AK147" s="448"/>
      <c r="AL147" s="448"/>
      <c r="AM147" s="448"/>
      <c r="AN147" s="448"/>
      <c r="AO147" s="448"/>
      <c r="AP147" s="448"/>
      <c r="AQ147" s="448"/>
      <c r="AR147" s="448"/>
      <c r="AS147" s="448"/>
      <c r="AT147" s="448"/>
      <c r="AU147" s="448"/>
      <c r="AV147" s="448"/>
      <c r="AW147" s="448"/>
      <c r="AX147" s="448"/>
      <c r="AY147" s="448"/>
      <c r="AZ147" s="448"/>
    </row>
    <row r="148" spans="1:52" x14ac:dyDescent="0.2">
      <c r="A148" s="448"/>
      <c r="B148" s="448"/>
      <c r="C148" s="448"/>
      <c r="D148" s="448"/>
      <c r="E148" s="448"/>
      <c r="F148" s="448"/>
      <c r="G148" s="448"/>
      <c r="H148" s="448"/>
      <c r="I148" s="448"/>
      <c r="J148" s="448"/>
      <c r="K148" s="448"/>
      <c r="L148" s="448"/>
      <c r="M148" s="448"/>
      <c r="N148" s="448"/>
      <c r="O148" s="448"/>
      <c r="P148" s="448"/>
      <c r="Q148" s="448"/>
      <c r="R148" s="448"/>
      <c r="S148" s="448"/>
      <c r="T148" s="448"/>
      <c r="U148" s="448"/>
      <c r="V148" s="448"/>
      <c r="W148" s="448"/>
      <c r="X148" s="448"/>
      <c r="Y148" s="448"/>
      <c r="Z148" s="448"/>
      <c r="AA148" s="448"/>
      <c r="AB148" s="448"/>
      <c r="AC148" s="448"/>
      <c r="AD148" s="448"/>
      <c r="AE148" s="448"/>
      <c r="AF148" s="448"/>
      <c r="AG148" s="448"/>
      <c r="AH148" s="448"/>
      <c r="AI148" s="448"/>
      <c r="AJ148" s="448"/>
      <c r="AK148" s="448"/>
      <c r="AL148" s="448"/>
      <c r="AM148" s="448"/>
      <c r="AN148" s="448"/>
      <c r="AO148" s="448"/>
      <c r="AP148" s="448"/>
      <c r="AQ148" s="448"/>
      <c r="AR148" s="448"/>
      <c r="AS148" s="448"/>
      <c r="AT148" s="448"/>
      <c r="AU148" s="448"/>
      <c r="AV148" s="448"/>
      <c r="AW148" s="448"/>
      <c r="AX148" s="448"/>
      <c r="AY148" s="448"/>
      <c r="AZ148" s="448"/>
    </row>
    <row r="149" spans="1:52" x14ac:dyDescent="0.2">
      <c r="A149" s="448"/>
      <c r="B149" s="448"/>
      <c r="C149" s="448"/>
      <c r="D149" s="448"/>
      <c r="E149" s="448"/>
      <c r="F149" s="448"/>
      <c r="G149" s="448"/>
      <c r="H149" s="448"/>
      <c r="I149" s="448"/>
      <c r="J149" s="448"/>
      <c r="K149" s="448"/>
      <c r="L149" s="448"/>
      <c r="M149" s="448"/>
      <c r="N149" s="448"/>
      <c r="O149" s="448"/>
      <c r="P149" s="448"/>
      <c r="Q149" s="448"/>
      <c r="R149" s="448"/>
      <c r="S149" s="448"/>
      <c r="T149" s="448"/>
      <c r="U149" s="448"/>
      <c r="V149" s="448"/>
      <c r="W149" s="448"/>
      <c r="X149" s="448"/>
      <c r="Y149" s="448"/>
      <c r="Z149" s="448"/>
      <c r="AA149" s="448"/>
      <c r="AB149" s="448"/>
      <c r="AC149" s="448"/>
      <c r="AD149" s="448"/>
      <c r="AE149" s="448"/>
      <c r="AF149" s="448"/>
      <c r="AG149" s="448"/>
      <c r="AH149" s="448"/>
      <c r="AI149" s="448"/>
      <c r="AJ149" s="448"/>
      <c r="AK149" s="448"/>
      <c r="AL149" s="448"/>
      <c r="AM149" s="448"/>
      <c r="AN149" s="448"/>
      <c r="AO149" s="448"/>
      <c r="AP149" s="448"/>
      <c r="AQ149" s="448"/>
      <c r="AR149" s="448"/>
      <c r="AS149" s="448"/>
      <c r="AT149" s="448"/>
      <c r="AU149" s="448"/>
      <c r="AV149" s="448"/>
      <c r="AW149" s="448"/>
      <c r="AX149" s="448"/>
      <c r="AY149" s="448"/>
      <c r="AZ149" s="448"/>
    </row>
    <row r="150" spans="1:52" x14ac:dyDescent="0.2">
      <c r="A150" s="448"/>
      <c r="B150" s="448"/>
      <c r="C150" s="448"/>
      <c r="D150" s="448"/>
      <c r="E150" s="448"/>
      <c r="F150" s="448"/>
      <c r="G150" s="448"/>
      <c r="H150" s="448"/>
      <c r="I150" s="448"/>
      <c r="J150" s="448"/>
      <c r="K150" s="448"/>
      <c r="L150" s="448"/>
      <c r="M150" s="448"/>
      <c r="N150" s="448"/>
      <c r="O150" s="448"/>
      <c r="P150" s="448"/>
      <c r="Q150" s="448"/>
      <c r="R150" s="448"/>
      <c r="S150" s="448"/>
      <c r="T150" s="448"/>
      <c r="U150" s="448"/>
      <c r="V150" s="448"/>
      <c r="W150" s="448"/>
      <c r="X150" s="448"/>
      <c r="Y150" s="448"/>
      <c r="Z150" s="448"/>
      <c r="AA150" s="448"/>
      <c r="AB150" s="448"/>
      <c r="AC150" s="448"/>
      <c r="AD150" s="448"/>
      <c r="AE150" s="448"/>
      <c r="AF150" s="448"/>
      <c r="AG150" s="448"/>
      <c r="AH150" s="448"/>
      <c r="AI150" s="448"/>
      <c r="AJ150" s="448"/>
      <c r="AK150" s="448"/>
      <c r="AL150" s="448"/>
      <c r="AM150" s="448"/>
      <c r="AN150" s="448"/>
      <c r="AO150" s="448"/>
      <c r="AP150" s="448"/>
      <c r="AQ150" s="448"/>
      <c r="AR150" s="448"/>
      <c r="AS150" s="448"/>
      <c r="AT150" s="448"/>
      <c r="AU150" s="448"/>
      <c r="AV150" s="448"/>
      <c r="AW150" s="448"/>
      <c r="AX150" s="448"/>
      <c r="AY150" s="448"/>
      <c r="AZ150" s="448"/>
    </row>
    <row r="151" spans="1:52" x14ac:dyDescent="0.2">
      <c r="A151" s="448"/>
      <c r="B151" s="448"/>
      <c r="C151" s="448"/>
      <c r="D151" s="448"/>
      <c r="E151" s="448"/>
      <c r="F151" s="448"/>
      <c r="G151" s="448"/>
      <c r="H151" s="448"/>
      <c r="I151" s="448"/>
      <c r="J151" s="448"/>
      <c r="K151" s="448"/>
      <c r="L151" s="448"/>
      <c r="M151" s="448"/>
      <c r="N151" s="448"/>
      <c r="O151" s="448"/>
      <c r="P151" s="448"/>
      <c r="Q151" s="448"/>
      <c r="R151" s="448"/>
      <c r="S151" s="448"/>
      <c r="T151" s="448"/>
      <c r="U151" s="448"/>
      <c r="V151" s="448"/>
      <c r="W151" s="448"/>
      <c r="X151" s="448"/>
      <c r="Y151" s="448"/>
      <c r="Z151" s="448"/>
      <c r="AA151" s="448"/>
      <c r="AB151" s="448"/>
      <c r="AC151" s="448"/>
      <c r="AD151" s="448"/>
      <c r="AE151" s="448"/>
      <c r="AF151" s="448"/>
      <c r="AG151" s="448"/>
      <c r="AH151" s="448"/>
      <c r="AI151" s="448"/>
      <c r="AJ151" s="448"/>
      <c r="AK151" s="448"/>
      <c r="AL151" s="448"/>
      <c r="AM151" s="448"/>
      <c r="AN151" s="448"/>
      <c r="AO151" s="448"/>
      <c r="AP151" s="448"/>
      <c r="AQ151" s="448"/>
      <c r="AR151" s="448"/>
      <c r="AS151" s="448"/>
      <c r="AT151" s="448"/>
      <c r="AU151" s="448"/>
      <c r="AV151" s="448"/>
      <c r="AW151" s="448"/>
      <c r="AX151" s="448"/>
      <c r="AY151" s="448"/>
      <c r="AZ151" s="448"/>
    </row>
    <row r="152" spans="1:52" x14ac:dyDescent="0.2">
      <c r="A152" s="448"/>
      <c r="B152" s="448"/>
      <c r="C152" s="448"/>
      <c r="D152" s="448"/>
      <c r="E152" s="448"/>
      <c r="F152" s="448"/>
      <c r="G152" s="448"/>
      <c r="H152" s="448"/>
      <c r="I152" s="448"/>
      <c r="J152" s="448"/>
      <c r="K152" s="448"/>
      <c r="L152" s="448"/>
      <c r="M152" s="448"/>
      <c r="N152" s="448"/>
      <c r="O152" s="448"/>
      <c r="P152" s="448"/>
      <c r="Q152" s="448"/>
      <c r="R152" s="448"/>
      <c r="S152" s="448"/>
      <c r="T152" s="448"/>
      <c r="U152" s="448"/>
      <c r="V152" s="448"/>
      <c r="W152" s="448"/>
      <c r="X152" s="448"/>
      <c r="Y152" s="448"/>
      <c r="Z152" s="448"/>
      <c r="AA152" s="448"/>
      <c r="AB152" s="448"/>
      <c r="AC152" s="448"/>
      <c r="AD152" s="448"/>
      <c r="AE152" s="448"/>
      <c r="AF152" s="448"/>
      <c r="AG152" s="448"/>
      <c r="AH152" s="448"/>
      <c r="AI152" s="448"/>
      <c r="AJ152" s="448"/>
      <c r="AK152" s="448"/>
      <c r="AL152" s="448"/>
      <c r="AM152" s="448"/>
      <c r="AN152" s="448"/>
      <c r="AO152" s="448"/>
      <c r="AP152" s="448"/>
      <c r="AQ152" s="448"/>
      <c r="AR152" s="448"/>
      <c r="AS152" s="448"/>
      <c r="AT152" s="448"/>
      <c r="AU152" s="448"/>
      <c r="AV152" s="448"/>
      <c r="AW152" s="448"/>
      <c r="AX152" s="448"/>
      <c r="AY152" s="448"/>
      <c r="AZ152" s="448"/>
    </row>
    <row r="153" spans="1:52" x14ac:dyDescent="0.2">
      <c r="A153" s="448"/>
      <c r="B153" s="448"/>
      <c r="C153" s="448"/>
      <c r="D153" s="448"/>
      <c r="E153" s="448"/>
      <c r="F153" s="448"/>
      <c r="G153" s="448"/>
      <c r="H153" s="448"/>
      <c r="I153" s="448"/>
      <c r="J153" s="448"/>
      <c r="K153" s="448"/>
      <c r="L153" s="448"/>
      <c r="M153" s="448"/>
      <c r="N153" s="448"/>
      <c r="O153" s="448"/>
      <c r="P153" s="448"/>
      <c r="Q153" s="448"/>
      <c r="R153" s="448"/>
      <c r="S153" s="448"/>
      <c r="T153" s="448"/>
      <c r="U153" s="448"/>
      <c r="V153" s="448"/>
      <c r="W153" s="448"/>
      <c r="X153" s="448"/>
      <c r="Y153" s="448"/>
      <c r="Z153" s="448"/>
      <c r="AA153" s="448"/>
      <c r="AB153" s="448"/>
      <c r="AC153" s="448"/>
      <c r="AD153" s="448"/>
      <c r="AE153" s="448"/>
      <c r="AF153" s="448"/>
      <c r="AG153" s="448"/>
      <c r="AH153" s="448"/>
      <c r="AI153" s="448"/>
      <c r="AJ153" s="448"/>
      <c r="AK153" s="448"/>
      <c r="AL153" s="448"/>
      <c r="AM153" s="448"/>
      <c r="AN153" s="448"/>
      <c r="AO153" s="448"/>
      <c r="AP153" s="448"/>
      <c r="AQ153" s="448"/>
      <c r="AR153" s="448"/>
      <c r="AS153" s="448"/>
      <c r="AT153" s="448"/>
      <c r="AU153" s="448"/>
      <c r="AV153" s="448"/>
      <c r="AW153" s="448"/>
      <c r="AX153" s="448"/>
      <c r="AY153" s="448"/>
      <c r="AZ153" s="448"/>
    </row>
    <row r="154" spans="1:52" x14ac:dyDescent="0.2">
      <c r="A154" s="448"/>
      <c r="B154" s="448"/>
      <c r="C154" s="448"/>
      <c r="D154" s="448"/>
      <c r="E154" s="448"/>
      <c r="F154" s="448"/>
      <c r="G154" s="448"/>
      <c r="H154" s="448"/>
      <c r="I154" s="448"/>
      <c r="J154" s="448"/>
      <c r="K154" s="448"/>
      <c r="L154" s="448"/>
      <c r="M154" s="448"/>
      <c r="N154" s="448"/>
      <c r="O154" s="448"/>
      <c r="P154" s="448"/>
      <c r="Q154" s="448"/>
      <c r="R154" s="448"/>
      <c r="S154" s="448"/>
      <c r="T154" s="448"/>
      <c r="U154" s="448"/>
      <c r="V154" s="448"/>
      <c r="W154" s="448"/>
      <c r="X154" s="448"/>
      <c r="Y154" s="448"/>
      <c r="Z154" s="448"/>
      <c r="AA154" s="448"/>
      <c r="AB154" s="448"/>
      <c r="AC154" s="448"/>
      <c r="AD154" s="448"/>
      <c r="AE154" s="448"/>
      <c r="AF154" s="448"/>
      <c r="AG154" s="448"/>
      <c r="AH154" s="448"/>
      <c r="AI154" s="448"/>
      <c r="AJ154" s="448"/>
      <c r="AK154" s="448"/>
      <c r="AL154" s="448"/>
      <c r="AM154" s="448"/>
      <c r="AN154" s="448"/>
      <c r="AO154" s="448"/>
      <c r="AP154" s="448"/>
      <c r="AQ154" s="448"/>
      <c r="AR154" s="448"/>
      <c r="AS154" s="448"/>
      <c r="AT154" s="448"/>
      <c r="AU154" s="448"/>
      <c r="AV154" s="448"/>
      <c r="AW154" s="448"/>
      <c r="AX154" s="448"/>
      <c r="AY154" s="448"/>
      <c r="AZ154" s="448"/>
    </row>
    <row r="155" spans="1:52" x14ac:dyDescent="0.2">
      <c r="A155" s="448"/>
      <c r="B155" s="448"/>
      <c r="C155" s="448"/>
      <c r="D155" s="448"/>
      <c r="E155" s="448"/>
      <c r="F155" s="448"/>
      <c r="G155" s="448"/>
      <c r="H155" s="448"/>
      <c r="I155" s="448"/>
      <c r="J155" s="448"/>
      <c r="K155" s="448"/>
      <c r="L155" s="448"/>
      <c r="M155" s="448"/>
      <c r="N155" s="448"/>
      <c r="O155" s="448"/>
      <c r="P155" s="448"/>
      <c r="Q155" s="448"/>
      <c r="R155" s="448"/>
      <c r="S155" s="448"/>
      <c r="T155" s="448"/>
      <c r="U155" s="448"/>
      <c r="V155" s="448"/>
      <c r="W155" s="448"/>
      <c r="X155" s="448"/>
      <c r="Y155" s="448"/>
      <c r="Z155" s="448"/>
      <c r="AA155" s="448"/>
      <c r="AB155" s="448"/>
      <c r="AC155" s="448"/>
      <c r="AD155" s="448"/>
      <c r="AE155" s="448"/>
      <c r="AF155" s="448"/>
      <c r="AG155" s="448"/>
      <c r="AH155" s="448"/>
      <c r="AI155" s="448"/>
      <c r="AJ155" s="448"/>
      <c r="AK155" s="448"/>
      <c r="AL155" s="448"/>
      <c r="AM155" s="448"/>
      <c r="AN155" s="448"/>
      <c r="AO155" s="448"/>
      <c r="AP155" s="448"/>
      <c r="AQ155" s="448"/>
      <c r="AR155" s="448"/>
      <c r="AS155" s="448"/>
      <c r="AT155" s="448"/>
      <c r="AU155" s="448"/>
      <c r="AV155" s="448"/>
      <c r="AW155" s="448"/>
      <c r="AX155" s="448"/>
      <c r="AY155" s="448"/>
      <c r="AZ155" s="448"/>
    </row>
    <row r="156" spans="1:52" x14ac:dyDescent="0.2">
      <c r="A156" s="448"/>
      <c r="B156" s="448"/>
      <c r="C156" s="448"/>
      <c r="D156" s="448"/>
      <c r="E156" s="448"/>
      <c r="F156" s="448"/>
      <c r="G156" s="448"/>
      <c r="H156" s="448"/>
      <c r="I156" s="448"/>
      <c r="J156" s="448"/>
      <c r="K156" s="448"/>
      <c r="L156" s="448"/>
      <c r="M156" s="448"/>
      <c r="N156" s="448"/>
      <c r="O156" s="448"/>
      <c r="P156" s="448"/>
      <c r="Q156" s="448"/>
      <c r="R156" s="448"/>
      <c r="S156" s="448"/>
      <c r="T156" s="448"/>
      <c r="U156" s="448"/>
      <c r="V156" s="448"/>
      <c r="W156" s="448"/>
      <c r="X156" s="448"/>
      <c r="Y156" s="448"/>
      <c r="Z156" s="448"/>
      <c r="AA156" s="448"/>
      <c r="AB156" s="448"/>
      <c r="AC156" s="448"/>
      <c r="AD156" s="448"/>
      <c r="AE156" s="448"/>
      <c r="AF156" s="448"/>
      <c r="AG156" s="448"/>
      <c r="AH156" s="448"/>
      <c r="AI156" s="448"/>
      <c r="AJ156" s="448"/>
      <c r="AK156" s="448"/>
      <c r="AL156" s="448"/>
      <c r="AM156" s="448"/>
      <c r="AN156" s="448"/>
      <c r="AO156" s="448"/>
      <c r="AP156" s="448"/>
      <c r="AQ156" s="448"/>
      <c r="AR156" s="448"/>
      <c r="AS156" s="448"/>
      <c r="AT156" s="448"/>
      <c r="AU156" s="448"/>
      <c r="AV156" s="448"/>
      <c r="AW156" s="448"/>
      <c r="AX156" s="448"/>
      <c r="AY156" s="448"/>
      <c r="AZ156" s="448"/>
    </row>
    <row r="157" spans="1:52" x14ac:dyDescent="0.2">
      <c r="A157" s="448"/>
      <c r="B157" s="448"/>
      <c r="C157" s="448"/>
      <c r="D157" s="448"/>
      <c r="E157" s="448"/>
      <c r="F157" s="448"/>
      <c r="G157" s="448"/>
      <c r="H157" s="448"/>
      <c r="I157" s="448"/>
      <c r="J157" s="448"/>
      <c r="K157" s="448"/>
      <c r="L157" s="448"/>
      <c r="M157" s="448"/>
      <c r="N157" s="448"/>
      <c r="O157" s="448"/>
      <c r="P157" s="448"/>
      <c r="Q157" s="448"/>
      <c r="R157" s="448"/>
      <c r="S157" s="448"/>
      <c r="T157" s="448"/>
      <c r="U157" s="448"/>
      <c r="V157" s="448"/>
      <c r="W157" s="448"/>
      <c r="X157" s="448"/>
      <c r="Y157" s="448"/>
      <c r="Z157" s="448"/>
      <c r="AA157" s="448"/>
      <c r="AB157" s="448"/>
      <c r="AC157" s="448"/>
      <c r="AD157" s="448"/>
      <c r="AE157" s="448"/>
      <c r="AF157" s="448"/>
      <c r="AG157" s="448"/>
      <c r="AH157" s="448"/>
      <c r="AI157" s="448"/>
      <c r="AJ157" s="448"/>
      <c r="AK157" s="448"/>
      <c r="AL157" s="448"/>
      <c r="AM157" s="448"/>
      <c r="AN157" s="448"/>
      <c r="AO157" s="448"/>
      <c r="AP157" s="448"/>
      <c r="AQ157" s="448"/>
      <c r="AR157" s="448"/>
      <c r="AS157" s="448"/>
      <c r="AT157" s="448"/>
      <c r="AU157" s="448"/>
      <c r="AV157" s="448"/>
      <c r="AW157" s="448"/>
      <c r="AX157" s="448"/>
      <c r="AY157" s="448"/>
      <c r="AZ157" s="448"/>
    </row>
    <row r="158" spans="1:52" x14ac:dyDescent="0.2">
      <c r="A158" s="448"/>
      <c r="B158" s="448"/>
      <c r="C158" s="448"/>
      <c r="D158" s="448"/>
      <c r="E158" s="448"/>
      <c r="F158" s="448"/>
      <c r="G158" s="448"/>
      <c r="H158" s="448"/>
      <c r="I158" s="448"/>
      <c r="J158" s="448"/>
      <c r="K158" s="448"/>
      <c r="L158" s="448"/>
      <c r="M158" s="448"/>
      <c r="N158" s="448"/>
      <c r="O158" s="448"/>
      <c r="P158" s="448"/>
      <c r="Q158" s="448"/>
      <c r="R158" s="448"/>
      <c r="S158" s="448"/>
      <c r="T158" s="448"/>
      <c r="U158" s="448"/>
      <c r="V158" s="448"/>
      <c r="W158" s="448"/>
      <c r="X158" s="448"/>
      <c r="Y158" s="448"/>
      <c r="Z158" s="448"/>
      <c r="AA158" s="448"/>
      <c r="AB158" s="448"/>
      <c r="AC158" s="448"/>
      <c r="AD158" s="448"/>
      <c r="AE158" s="448"/>
      <c r="AF158" s="448"/>
      <c r="AG158" s="448"/>
      <c r="AH158" s="448"/>
      <c r="AI158" s="448"/>
      <c r="AJ158" s="448"/>
      <c r="AK158" s="448"/>
      <c r="AL158" s="448"/>
      <c r="AM158" s="448"/>
      <c r="AN158" s="448"/>
      <c r="AO158" s="448"/>
      <c r="AP158" s="448"/>
      <c r="AQ158" s="448"/>
      <c r="AR158" s="448"/>
      <c r="AS158" s="448"/>
      <c r="AT158" s="448"/>
      <c r="AU158" s="448"/>
      <c r="AV158" s="448"/>
      <c r="AW158" s="448"/>
      <c r="AX158" s="448"/>
      <c r="AY158" s="448"/>
      <c r="AZ158" s="448"/>
    </row>
    <row r="159" spans="1:52" x14ac:dyDescent="0.2">
      <c r="A159" s="448"/>
      <c r="B159" s="448"/>
      <c r="C159" s="448"/>
      <c r="D159" s="448"/>
      <c r="E159" s="448"/>
      <c r="F159" s="448"/>
      <c r="G159" s="448"/>
      <c r="H159" s="448"/>
      <c r="I159" s="448"/>
      <c r="J159" s="448"/>
      <c r="K159" s="448"/>
      <c r="L159" s="448"/>
      <c r="M159" s="448"/>
      <c r="N159" s="448"/>
      <c r="O159" s="448"/>
      <c r="P159" s="448"/>
      <c r="Q159" s="448"/>
      <c r="R159" s="448"/>
      <c r="S159" s="448"/>
      <c r="T159" s="448"/>
      <c r="U159" s="448"/>
      <c r="V159" s="448"/>
      <c r="W159" s="448"/>
      <c r="X159" s="448"/>
      <c r="Y159" s="448"/>
      <c r="Z159" s="448"/>
      <c r="AA159" s="448"/>
      <c r="AB159" s="448"/>
      <c r="AC159" s="448"/>
      <c r="AD159" s="448"/>
      <c r="AE159" s="448"/>
      <c r="AF159" s="448"/>
      <c r="AG159" s="448"/>
      <c r="AH159" s="448"/>
      <c r="AI159" s="448"/>
      <c r="AJ159" s="448"/>
      <c r="AK159" s="448"/>
      <c r="AL159" s="448"/>
      <c r="AM159" s="448"/>
      <c r="AN159" s="448"/>
      <c r="AO159" s="448"/>
      <c r="AP159" s="448"/>
      <c r="AQ159" s="448"/>
      <c r="AR159" s="448"/>
      <c r="AS159" s="448"/>
      <c r="AT159" s="448"/>
      <c r="AU159" s="448"/>
      <c r="AV159" s="448"/>
      <c r="AW159" s="448"/>
      <c r="AX159" s="448"/>
      <c r="AY159" s="448"/>
      <c r="AZ159" s="448"/>
    </row>
    <row r="160" spans="1:52" x14ac:dyDescent="0.2">
      <c r="A160" s="448"/>
      <c r="B160" s="448"/>
      <c r="C160" s="448"/>
      <c r="D160" s="448"/>
      <c r="E160" s="448"/>
      <c r="F160" s="448"/>
      <c r="G160" s="448"/>
      <c r="H160" s="448"/>
      <c r="I160" s="448"/>
      <c r="J160" s="448"/>
      <c r="K160" s="448"/>
      <c r="L160" s="448"/>
      <c r="M160" s="448"/>
      <c r="N160" s="448"/>
      <c r="O160" s="448"/>
      <c r="P160" s="448"/>
      <c r="Q160" s="448"/>
      <c r="R160" s="448"/>
      <c r="S160" s="448"/>
      <c r="T160" s="448"/>
      <c r="U160" s="448"/>
      <c r="V160" s="448"/>
      <c r="W160" s="448"/>
      <c r="X160" s="448"/>
      <c r="Y160" s="448"/>
      <c r="Z160" s="448"/>
      <c r="AA160" s="448"/>
      <c r="AB160" s="448"/>
      <c r="AC160" s="448"/>
      <c r="AD160" s="448"/>
      <c r="AE160" s="448"/>
      <c r="AF160" s="448"/>
      <c r="AG160" s="448"/>
      <c r="AH160" s="448"/>
      <c r="AI160" s="448"/>
      <c r="AJ160" s="448"/>
      <c r="AK160" s="448"/>
      <c r="AL160" s="448"/>
      <c r="AM160" s="448"/>
      <c r="AN160" s="448"/>
      <c r="AO160" s="448"/>
      <c r="AP160" s="448"/>
      <c r="AQ160" s="448"/>
      <c r="AR160" s="448"/>
      <c r="AS160" s="448"/>
      <c r="AT160" s="448"/>
      <c r="AU160" s="448"/>
      <c r="AV160" s="448"/>
      <c r="AW160" s="448"/>
      <c r="AX160" s="448"/>
      <c r="AY160" s="448"/>
      <c r="AZ160" s="448"/>
    </row>
    <row r="161" spans="1:52" x14ac:dyDescent="0.2">
      <c r="A161" s="448"/>
      <c r="B161" s="448"/>
      <c r="C161" s="448"/>
      <c r="D161" s="448"/>
      <c r="E161" s="448"/>
      <c r="F161" s="448"/>
      <c r="G161" s="448"/>
      <c r="H161" s="448"/>
      <c r="I161" s="448"/>
      <c r="J161" s="448"/>
      <c r="K161" s="448"/>
      <c r="L161" s="448"/>
      <c r="M161" s="448"/>
      <c r="N161" s="448"/>
      <c r="O161" s="448"/>
      <c r="P161" s="448"/>
      <c r="Q161" s="448"/>
      <c r="R161" s="448"/>
      <c r="S161" s="448"/>
      <c r="T161" s="448"/>
      <c r="U161" s="448"/>
      <c r="V161" s="448"/>
      <c r="W161" s="448"/>
      <c r="X161" s="448"/>
      <c r="Y161" s="448"/>
      <c r="Z161" s="448"/>
      <c r="AA161" s="448"/>
      <c r="AB161" s="448"/>
      <c r="AC161" s="448"/>
      <c r="AD161" s="448"/>
      <c r="AE161" s="448"/>
      <c r="AF161" s="448"/>
      <c r="AG161" s="448"/>
      <c r="AH161" s="448"/>
      <c r="AI161" s="448"/>
      <c r="AJ161" s="448"/>
      <c r="AK161" s="448"/>
      <c r="AL161" s="448"/>
      <c r="AM161" s="448"/>
      <c r="AN161" s="448"/>
      <c r="AO161" s="448"/>
      <c r="AP161" s="448"/>
      <c r="AQ161" s="448"/>
      <c r="AR161" s="448"/>
      <c r="AS161" s="448"/>
      <c r="AT161" s="448"/>
      <c r="AU161" s="448"/>
      <c r="AV161" s="448"/>
      <c r="AW161" s="448"/>
      <c r="AX161" s="448"/>
      <c r="AY161" s="448"/>
      <c r="AZ161" s="448"/>
    </row>
    <row r="162" spans="1:52" x14ac:dyDescent="0.2">
      <c r="A162" s="448"/>
      <c r="B162" s="448"/>
      <c r="C162" s="448"/>
      <c r="D162" s="448"/>
      <c r="E162" s="448"/>
      <c r="F162" s="448"/>
      <c r="G162" s="448"/>
      <c r="H162" s="448"/>
      <c r="I162" s="448"/>
      <c r="J162" s="448"/>
      <c r="K162" s="448"/>
      <c r="L162" s="448"/>
      <c r="M162" s="448"/>
      <c r="N162" s="448"/>
      <c r="O162" s="448"/>
      <c r="P162" s="448"/>
      <c r="Q162" s="448"/>
      <c r="R162" s="448"/>
      <c r="S162" s="448"/>
      <c r="T162" s="448"/>
      <c r="U162" s="448"/>
      <c r="V162" s="448"/>
      <c r="W162" s="448"/>
      <c r="X162" s="448"/>
      <c r="Y162" s="448"/>
      <c r="Z162" s="448"/>
      <c r="AA162" s="448"/>
      <c r="AB162" s="448"/>
      <c r="AC162" s="448"/>
      <c r="AD162" s="448"/>
      <c r="AE162" s="448"/>
      <c r="AF162" s="448"/>
      <c r="AG162" s="448"/>
      <c r="AH162" s="448"/>
      <c r="AI162" s="448"/>
      <c r="AJ162" s="448"/>
      <c r="AK162" s="448"/>
      <c r="AL162" s="448"/>
      <c r="AM162" s="448"/>
      <c r="AN162" s="448"/>
      <c r="AO162" s="448"/>
      <c r="AP162" s="448"/>
      <c r="AQ162" s="448"/>
      <c r="AR162" s="448"/>
      <c r="AS162" s="448"/>
      <c r="AT162" s="448"/>
      <c r="AU162" s="448"/>
      <c r="AV162" s="448"/>
      <c r="AW162" s="448"/>
      <c r="AX162" s="448"/>
      <c r="AY162" s="448"/>
      <c r="AZ162" s="448"/>
    </row>
    <row r="163" spans="1:52" x14ac:dyDescent="0.2">
      <c r="A163" s="448"/>
      <c r="B163" s="448"/>
      <c r="C163" s="448"/>
      <c r="D163" s="448"/>
      <c r="E163" s="448"/>
      <c r="F163" s="448"/>
      <c r="G163" s="448"/>
      <c r="H163" s="448"/>
      <c r="I163" s="448"/>
      <c r="J163" s="448"/>
      <c r="K163" s="448"/>
      <c r="L163" s="448"/>
      <c r="M163" s="448"/>
      <c r="N163" s="448"/>
      <c r="O163" s="448"/>
      <c r="P163" s="448"/>
      <c r="Q163" s="448"/>
      <c r="R163" s="448"/>
      <c r="S163" s="448"/>
      <c r="T163" s="448"/>
      <c r="U163" s="448"/>
      <c r="V163" s="448"/>
      <c r="W163" s="448"/>
      <c r="X163" s="448"/>
      <c r="Y163" s="448"/>
      <c r="Z163" s="448"/>
      <c r="AA163" s="448"/>
      <c r="AB163" s="448"/>
      <c r="AC163" s="448"/>
      <c r="AD163" s="448"/>
      <c r="AE163" s="448"/>
      <c r="AF163" s="448"/>
      <c r="AG163" s="448"/>
      <c r="AH163" s="448"/>
      <c r="AI163" s="448"/>
      <c r="AJ163" s="448"/>
      <c r="AK163" s="448"/>
      <c r="AL163" s="448"/>
      <c r="AM163" s="448"/>
      <c r="AN163" s="448"/>
      <c r="AO163" s="448"/>
      <c r="AP163" s="448"/>
      <c r="AQ163" s="448"/>
      <c r="AR163" s="448"/>
      <c r="AS163" s="448"/>
      <c r="AT163" s="448"/>
      <c r="AU163" s="448"/>
      <c r="AV163" s="448"/>
      <c r="AW163" s="448"/>
      <c r="AX163" s="448"/>
      <c r="AY163" s="448"/>
      <c r="AZ163" s="448"/>
    </row>
    <row r="164" spans="1:52" x14ac:dyDescent="0.2">
      <c r="A164" s="448"/>
      <c r="B164" s="448"/>
      <c r="C164" s="448"/>
      <c r="D164" s="448"/>
      <c r="E164" s="448"/>
      <c r="F164" s="448"/>
      <c r="G164" s="448"/>
      <c r="H164" s="448"/>
      <c r="I164" s="448"/>
      <c r="J164" s="448"/>
      <c r="K164" s="448"/>
      <c r="L164" s="448"/>
      <c r="M164" s="448"/>
      <c r="N164" s="448"/>
      <c r="O164" s="448"/>
      <c r="P164" s="448"/>
      <c r="Q164" s="448"/>
      <c r="R164" s="448"/>
      <c r="S164" s="448"/>
      <c r="T164" s="448"/>
      <c r="U164" s="448"/>
      <c r="V164" s="448"/>
      <c r="W164" s="448"/>
      <c r="X164" s="448"/>
      <c r="Y164" s="448"/>
      <c r="Z164" s="448"/>
      <c r="AA164" s="448"/>
      <c r="AB164" s="448"/>
      <c r="AC164" s="448"/>
      <c r="AD164" s="448"/>
      <c r="AE164" s="448"/>
      <c r="AF164" s="448"/>
      <c r="AG164" s="448"/>
      <c r="AH164" s="448"/>
      <c r="AI164" s="448"/>
      <c r="AJ164" s="448"/>
      <c r="AK164" s="448"/>
      <c r="AL164" s="448"/>
      <c r="AM164" s="448"/>
      <c r="AN164" s="448"/>
      <c r="AO164" s="448"/>
      <c r="AP164" s="448"/>
      <c r="AQ164" s="448"/>
      <c r="AR164" s="448"/>
      <c r="AS164" s="448"/>
      <c r="AT164" s="448"/>
      <c r="AU164" s="448"/>
      <c r="AV164" s="448"/>
      <c r="AW164" s="448"/>
      <c r="AX164" s="448"/>
      <c r="AY164" s="448"/>
      <c r="AZ164" s="448"/>
    </row>
    <row r="165" spans="1:52" x14ac:dyDescent="0.2">
      <c r="A165" s="448"/>
      <c r="B165" s="448"/>
      <c r="C165" s="448"/>
      <c r="D165" s="448"/>
      <c r="E165" s="448"/>
      <c r="F165" s="448"/>
      <c r="G165" s="448"/>
      <c r="H165" s="448"/>
      <c r="I165" s="448"/>
      <c r="J165" s="448"/>
      <c r="K165" s="448"/>
      <c r="L165" s="448"/>
      <c r="M165" s="448"/>
      <c r="N165" s="448"/>
      <c r="O165" s="448"/>
      <c r="P165" s="448"/>
      <c r="Q165" s="448"/>
      <c r="R165" s="448"/>
      <c r="S165" s="448"/>
      <c r="T165" s="448"/>
      <c r="U165" s="448"/>
      <c r="V165" s="448"/>
      <c r="W165" s="448"/>
      <c r="X165" s="448"/>
      <c r="Y165" s="448"/>
      <c r="Z165" s="448"/>
      <c r="AA165" s="448"/>
      <c r="AB165" s="448"/>
      <c r="AC165" s="448"/>
      <c r="AD165" s="448"/>
      <c r="AE165" s="448"/>
      <c r="AF165" s="448"/>
      <c r="AG165" s="448"/>
      <c r="AH165" s="448"/>
      <c r="AI165" s="448"/>
      <c r="AJ165" s="448"/>
      <c r="AK165" s="448"/>
      <c r="AL165" s="448"/>
      <c r="AM165" s="448"/>
      <c r="AN165" s="448"/>
      <c r="AO165" s="448"/>
      <c r="AP165" s="448"/>
      <c r="AQ165" s="448"/>
      <c r="AR165" s="448"/>
      <c r="AS165" s="448"/>
      <c r="AT165" s="448"/>
      <c r="AU165" s="448"/>
      <c r="AV165" s="448"/>
      <c r="AW165" s="448"/>
      <c r="AX165" s="448"/>
      <c r="AY165" s="448"/>
      <c r="AZ165" s="448"/>
    </row>
    <row r="166" spans="1:52" x14ac:dyDescent="0.2">
      <c r="A166" s="448"/>
      <c r="B166" s="448"/>
      <c r="C166" s="448"/>
      <c r="D166" s="448"/>
      <c r="E166" s="448"/>
      <c r="F166" s="448"/>
      <c r="G166" s="448"/>
      <c r="H166" s="448"/>
      <c r="I166" s="448"/>
      <c r="J166" s="448"/>
      <c r="K166" s="448"/>
      <c r="L166" s="448"/>
      <c r="M166" s="448"/>
      <c r="N166" s="448"/>
      <c r="O166" s="448"/>
      <c r="P166" s="448"/>
      <c r="Q166" s="448"/>
      <c r="R166" s="448"/>
      <c r="S166" s="448"/>
      <c r="T166" s="448"/>
      <c r="U166" s="448"/>
      <c r="V166" s="448"/>
      <c r="W166" s="448"/>
      <c r="X166" s="448"/>
      <c r="Y166" s="448"/>
      <c r="Z166" s="448"/>
      <c r="AA166" s="448"/>
      <c r="AB166" s="448"/>
      <c r="AC166" s="448"/>
      <c r="AD166" s="448"/>
      <c r="AE166" s="448"/>
      <c r="AF166" s="448"/>
      <c r="AG166" s="448"/>
      <c r="AH166" s="448"/>
      <c r="AI166" s="448"/>
      <c r="AJ166" s="448"/>
      <c r="AK166" s="448"/>
      <c r="AL166" s="448"/>
      <c r="AM166" s="448"/>
      <c r="AN166" s="448"/>
      <c r="AO166" s="448"/>
      <c r="AP166" s="448"/>
      <c r="AQ166" s="448"/>
      <c r="AR166" s="448"/>
      <c r="AS166" s="448"/>
      <c r="AT166" s="448"/>
      <c r="AU166" s="448"/>
      <c r="AV166" s="448"/>
      <c r="AW166" s="448"/>
      <c r="AX166" s="448"/>
      <c r="AY166" s="448"/>
      <c r="AZ166" s="448"/>
    </row>
  </sheetData>
  <sheetProtection algorithmName="SHA-512" hashValue="01M2dSjgGvGeEJ+f7uFDGOoAaSLIqVLZ3XFckLWTMFEnePKgJYI0sV/2QyHKFn0AXyUMBVQTgk267oYiD4sUuQ==" saltValue="ij0+1UdUHZ+J+JdSgcIdHg==" spinCount="100000" sheet="1" objects="1" scenarios="1" formatCells="0" formatColumns="0" formatRows="0" insertColumns="0" insertRows="0"/>
  <dataValidations count="1">
    <dataValidation type="whole" operator="lessThan" allowBlank="1" showInputMessage="1" showErrorMessage="1" sqref="C1" xr:uid="{6242BF1A-790D-4803-A04C-81A7F2524E66}">
      <formula1>-999</formula1>
    </dataValidation>
  </dataValidations>
  <printOptions horizontalCentered="1"/>
  <pageMargins left="0.78740157480314965" right="0.59055118110236227" top="0.78740157480314965" bottom="0.78740157480314965" header="0.31496062992125984" footer="0.31496062992125984"/>
  <pageSetup paperSize="9" scale="72" orientation="portrait" blackAndWhite="1" r:id="rId1"/>
  <headerFooter>
    <oddHeader>&amp;R&amp;"Verdana,Standard"&amp;10&amp;F</oddHeader>
  </headerFooter>
  <ignoredErrors>
    <ignoredError sqref="C50:C51 C38:C44" unlockedFormula="1"/>
    <ignoredError sqref="D55" formula="1"/>
  </ignoredErrors>
  <extLst>
    <ext xmlns:x14="http://schemas.microsoft.com/office/spreadsheetml/2009/9/main" uri="{78C0D931-6437-407d-A8EE-F0AAD7539E65}">
      <x14:conditionalFormattings>
        <x14:conditionalFormatting xmlns:xm="http://schemas.microsoft.com/office/excel/2006/main">
          <x14:cfRule type="iconSet" priority="3" id="{FA16D8DA-A7DD-431C-B438-BDE2139298C5}">
            <x14:iconSet iconSet="3Symbols" custom="1">
              <x14:cfvo type="percent">
                <xm:f>0</xm:f>
              </x14:cfvo>
              <x14:cfvo type="percent">
                <xm:f>30</xm:f>
              </x14:cfvo>
              <x14:cfvo type="percent" gte="0">
                <xm:f>30</xm:f>
              </x14:cfvo>
              <x14:cfIcon iconSet="NoIcons" iconId="0"/>
              <x14:cfIcon iconSet="NoIcons" iconId="0"/>
              <x14:cfIcon iconSet="3Symbols" iconId="1"/>
            </x14:iconSet>
          </x14:cfRule>
          <xm:sqref>B55</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0FB11-FEF0-49D4-ABB3-4E5332BDF82D}">
  <sheetPr codeName="Tabelle11">
    <tabColor rgb="FF92D050"/>
    <pageSetUpPr fitToPage="1"/>
  </sheetPr>
  <dimension ref="A1:BA147"/>
  <sheetViews>
    <sheetView zoomScaleNormal="100" workbookViewId="0">
      <selection activeCell="S6" sqref="S6"/>
    </sheetView>
  </sheetViews>
  <sheetFormatPr baseColWidth="10" defaultRowHeight="12.75" outlineLevelCol="1" x14ac:dyDescent="0.2"/>
  <cols>
    <col min="1" max="1" width="30.75" customWidth="1"/>
    <col min="2" max="2" width="10.875" bestFit="1" customWidth="1"/>
    <col min="3" max="3" width="11" style="116"/>
    <col min="4" max="4" width="11" style="120"/>
    <col min="5" max="5" width="13.125" style="119" customWidth="1"/>
    <col min="6" max="6" width="10.625" style="119" customWidth="1"/>
    <col min="7" max="7" width="24.75" style="119" hidden="1" customWidth="1"/>
    <col min="8" max="8" width="7.875" hidden="1" customWidth="1"/>
    <col min="9" max="9" width="11.375" style="116" hidden="1" customWidth="1"/>
    <col min="10" max="10" width="3.125" style="117" hidden="1" customWidth="1"/>
    <col min="11" max="11" width="3.125" hidden="1" customWidth="1"/>
    <col min="12" max="12" width="24.875" hidden="1" customWidth="1"/>
    <col min="13" max="13" width="4.125" customWidth="1"/>
    <col min="14" max="14" width="12.625" customWidth="1" outlineLevel="1"/>
    <col min="15" max="15" width="11.625" customWidth="1" outlineLevel="1"/>
  </cols>
  <sheetData>
    <row r="1" spans="1:53" ht="18" x14ac:dyDescent="0.2">
      <c r="A1" s="1219" t="s">
        <v>782</v>
      </c>
      <c r="B1" s="1219"/>
      <c r="C1" s="1014"/>
      <c r="D1" s="1016"/>
      <c r="E1" s="213"/>
      <c r="F1" s="213"/>
      <c r="G1" s="213"/>
      <c r="H1" s="935"/>
      <c r="I1" s="1014"/>
      <c r="J1" s="1003"/>
      <c r="K1" s="935"/>
      <c r="L1" s="935"/>
      <c r="M1" s="935"/>
      <c r="N1" s="935"/>
      <c r="O1" s="153" t="str">
        <f>Stammblatt!F4</f>
        <v>Version 26.3</v>
      </c>
      <c r="P1" s="212"/>
      <c r="Q1" s="212"/>
      <c r="R1" s="212"/>
      <c r="S1" s="212"/>
      <c r="T1" s="212"/>
      <c r="U1" s="212"/>
      <c r="V1" s="212"/>
      <c r="W1" s="212"/>
      <c r="X1" s="212"/>
      <c r="Y1" s="212"/>
      <c r="Z1" s="212"/>
      <c r="AA1" s="212"/>
      <c r="AB1" s="212"/>
      <c r="AC1" s="212"/>
      <c r="AD1" s="212"/>
      <c r="AE1" s="212"/>
      <c r="AF1" s="212"/>
      <c r="AG1" s="212"/>
      <c r="AH1" s="212"/>
      <c r="AI1" s="212"/>
      <c r="AJ1" s="212"/>
      <c r="AK1" s="212"/>
      <c r="AL1" s="212"/>
      <c r="AM1" s="212"/>
      <c r="AN1" s="212"/>
      <c r="AO1" s="212"/>
      <c r="AP1" s="212"/>
      <c r="AQ1" s="212"/>
      <c r="AR1" s="212"/>
      <c r="AS1" s="212"/>
      <c r="AT1" s="212"/>
      <c r="AU1" s="212"/>
      <c r="AV1" s="212"/>
      <c r="AW1" s="212"/>
      <c r="AX1" s="212"/>
      <c r="AY1" s="212"/>
      <c r="AZ1" s="212"/>
      <c r="BA1" s="448"/>
    </row>
    <row r="2" spans="1:53" ht="18" customHeight="1" x14ac:dyDescent="0.2">
      <c r="A2" s="1220" t="s">
        <v>783</v>
      </c>
      <c r="B2" s="1220"/>
      <c r="C2" s="1014"/>
      <c r="D2" s="1016"/>
      <c r="E2" s="213"/>
      <c r="F2" s="213"/>
      <c r="G2" s="213"/>
      <c r="H2" s="935"/>
      <c r="I2" s="1014"/>
      <c r="J2" s="1003"/>
      <c r="K2" s="935"/>
      <c r="L2" s="935"/>
      <c r="M2" s="935"/>
      <c r="N2" s="935"/>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12"/>
      <c r="AT2" s="212"/>
      <c r="AU2" s="212"/>
      <c r="AV2" s="212"/>
      <c r="AW2" s="212"/>
      <c r="AX2" s="212"/>
      <c r="AY2" s="212"/>
      <c r="AZ2" s="212"/>
      <c r="BA2" s="448"/>
    </row>
    <row r="3" spans="1:53" ht="18" customHeight="1" x14ac:dyDescent="0.2">
      <c r="A3" s="1220"/>
      <c r="B3" s="1220"/>
      <c r="C3" s="1014"/>
      <c r="D3" s="1016"/>
      <c r="E3" s="213"/>
      <c r="F3" s="213"/>
      <c r="G3" s="213"/>
      <c r="H3" s="935"/>
      <c r="I3" s="1014"/>
      <c r="J3" s="1003"/>
      <c r="K3" s="935"/>
      <c r="L3" s="935"/>
      <c r="M3" s="935"/>
      <c r="N3" s="935"/>
      <c r="O3" s="212"/>
      <c r="P3" s="212"/>
      <c r="Q3" s="212"/>
      <c r="R3" s="212"/>
      <c r="S3" s="212"/>
      <c r="T3" s="212"/>
      <c r="U3" s="212"/>
      <c r="V3" s="212"/>
      <c r="W3" s="212"/>
      <c r="X3" s="212"/>
      <c r="Y3" s="212"/>
      <c r="Z3" s="212"/>
      <c r="AA3" s="212"/>
      <c r="AB3" s="212"/>
      <c r="AC3" s="212"/>
      <c r="AD3" s="212"/>
      <c r="AE3" s="212"/>
      <c r="AF3" s="212"/>
      <c r="AG3" s="212"/>
      <c r="AH3" s="212"/>
      <c r="AI3" s="212"/>
      <c r="AJ3" s="212"/>
      <c r="AK3" s="212"/>
      <c r="AL3" s="212"/>
      <c r="AM3" s="212"/>
      <c r="AN3" s="212"/>
      <c r="AO3" s="212"/>
      <c r="AP3" s="212"/>
      <c r="AQ3" s="212"/>
      <c r="AR3" s="212"/>
      <c r="AS3" s="212"/>
      <c r="AT3" s="212"/>
      <c r="AU3" s="212"/>
      <c r="AV3" s="212"/>
      <c r="AW3" s="212"/>
      <c r="AX3" s="212"/>
      <c r="AY3" s="212"/>
      <c r="AZ3" s="212"/>
      <c r="BA3" s="448"/>
    </row>
    <row r="4" spans="1:53" ht="29.45" customHeight="1" x14ac:dyDescent="0.2">
      <c r="A4" s="1221"/>
      <c r="B4" s="1221"/>
      <c r="C4" s="1014"/>
      <c r="D4" s="1016"/>
      <c r="E4" s="1460" t="s">
        <v>1207</v>
      </c>
      <c r="F4" s="1460"/>
      <c r="G4" s="213"/>
      <c r="H4" s="935"/>
      <c r="I4" s="1014"/>
      <c r="J4" s="1003"/>
      <c r="K4" s="935"/>
      <c r="L4" s="935"/>
      <c r="M4" s="935"/>
      <c r="N4" s="1461" t="s">
        <v>1208</v>
      </c>
      <c r="O4" s="1461"/>
      <c r="P4" s="212"/>
      <c r="Q4" s="212"/>
      <c r="R4" s="212"/>
      <c r="S4" s="212"/>
      <c r="T4" s="212"/>
      <c r="U4" s="212"/>
      <c r="V4" s="212"/>
      <c r="W4" s="212"/>
      <c r="X4" s="212"/>
      <c r="Y4" s="212"/>
      <c r="Z4" s="212"/>
      <c r="AA4" s="212"/>
      <c r="AB4" s="212"/>
      <c r="AC4" s="212"/>
      <c r="AD4" s="212"/>
      <c r="AE4" s="212"/>
      <c r="AF4" s="212"/>
      <c r="AG4" s="212"/>
      <c r="AH4" s="212"/>
      <c r="AI4" s="212"/>
      <c r="AJ4" s="212"/>
      <c r="AK4" s="212"/>
      <c r="AL4" s="212"/>
      <c r="AM4" s="212"/>
      <c r="AN4" s="212"/>
      <c r="AO4" s="212"/>
      <c r="AP4" s="212"/>
      <c r="AQ4" s="212"/>
      <c r="AR4" s="212"/>
      <c r="AS4" s="212"/>
      <c r="AT4" s="212"/>
      <c r="AU4" s="212"/>
      <c r="AV4" s="212"/>
      <c r="AW4" s="212"/>
      <c r="AX4" s="212"/>
      <c r="AY4" s="212"/>
      <c r="AZ4" s="212"/>
      <c r="BA4" s="448"/>
    </row>
    <row r="5" spans="1:53" ht="17.25" customHeight="1" x14ac:dyDescent="0.2">
      <c r="A5" s="1222" t="s">
        <v>784</v>
      </c>
      <c r="B5" s="1223"/>
      <c r="C5" s="1014" t="s">
        <v>786</v>
      </c>
      <c r="D5" s="1015" t="s">
        <v>787</v>
      </c>
      <c r="E5" s="1224" t="s">
        <v>152</v>
      </c>
      <c r="F5" s="213"/>
      <c r="G5" s="213"/>
      <c r="H5" s="935"/>
      <c r="I5" s="1014"/>
      <c r="J5" s="1003"/>
      <c r="K5" s="935"/>
      <c r="L5" s="935"/>
      <c r="M5" s="935"/>
      <c r="N5" s="935"/>
      <c r="O5" s="212"/>
      <c r="P5" s="212"/>
      <c r="Q5" s="212"/>
      <c r="R5" s="212"/>
      <c r="S5" s="212"/>
      <c r="T5" s="212"/>
      <c r="U5" s="212"/>
      <c r="V5" s="212"/>
      <c r="W5" s="212"/>
      <c r="X5" s="212"/>
      <c r="Y5" s="212"/>
      <c r="Z5" s="212"/>
      <c r="AA5" s="212"/>
      <c r="AB5" s="212"/>
      <c r="AC5" s="212"/>
      <c r="AD5" s="212"/>
      <c r="AE5" s="212"/>
      <c r="AF5" s="212"/>
      <c r="AG5" s="212"/>
      <c r="AH5" s="212"/>
      <c r="AI5" s="212"/>
      <c r="AJ5" s="212"/>
      <c r="AK5" s="212"/>
      <c r="AL5" s="212"/>
      <c r="AM5" s="212"/>
      <c r="AN5" s="212"/>
      <c r="AO5" s="212"/>
      <c r="AP5" s="212"/>
      <c r="AQ5" s="212"/>
      <c r="AR5" s="212"/>
      <c r="AS5" s="212"/>
      <c r="AT5" s="212"/>
      <c r="AU5" s="212"/>
      <c r="AV5" s="212"/>
      <c r="AW5" s="212"/>
      <c r="AX5" s="212"/>
      <c r="AY5" s="212"/>
      <c r="AZ5" s="212"/>
      <c r="BA5" s="448"/>
    </row>
    <row r="6" spans="1:53" ht="10.5" customHeight="1" x14ac:dyDescent="0.2">
      <c r="A6" s="1221"/>
      <c r="B6" s="1221"/>
      <c r="C6" s="1014"/>
      <c r="D6" s="1016"/>
      <c r="E6" s="213"/>
      <c r="F6" s="213"/>
      <c r="G6" s="213"/>
      <c r="H6" s="935"/>
      <c r="I6" s="1014"/>
      <c r="J6" s="1003"/>
      <c r="K6" s="935"/>
      <c r="L6" s="935"/>
      <c r="M6" s="935"/>
      <c r="N6" s="935"/>
      <c r="O6" s="212"/>
      <c r="P6" s="212"/>
      <c r="Q6" s="212"/>
      <c r="R6" s="212"/>
      <c r="S6" s="212"/>
      <c r="T6" s="212"/>
      <c r="U6" s="212"/>
      <c r="V6" s="212"/>
      <c r="W6" s="212"/>
      <c r="X6" s="212"/>
      <c r="Y6" s="212"/>
      <c r="Z6" s="212"/>
      <c r="AA6" s="212"/>
      <c r="AB6" s="212"/>
      <c r="AC6" s="212"/>
      <c r="AD6" s="212"/>
      <c r="AE6" s="212"/>
      <c r="AF6" s="212"/>
      <c r="AG6" s="212"/>
      <c r="AH6" s="212"/>
      <c r="AI6" s="212"/>
      <c r="AJ6" s="212"/>
      <c r="AK6" s="212"/>
      <c r="AL6" s="212"/>
      <c r="AM6" s="212"/>
      <c r="AN6" s="212"/>
      <c r="AO6" s="212"/>
      <c r="AP6" s="212"/>
      <c r="AQ6" s="212"/>
      <c r="AR6" s="212"/>
      <c r="AS6" s="212"/>
      <c r="AT6" s="212"/>
      <c r="AU6" s="212"/>
      <c r="AV6" s="212"/>
      <c r="AW6" s="212"/>
      <c r="AX6" s="212"/>
      <c r="AY6" s="212"/>
      <c r="AZ6" s="212"/>
      <c r="BA6" s="448"/>
    </row>
    <row r="7" spans="1:53" ht="18" customHeight="1" x14ac:dyDescent="0.2">
      <c r="A7" s="1225" t="s">
        <v>785</v>
      </c>
      <c r="B7" s="1225"/>
      <c r="C7" s="1011">
        <v>0</v>
      </c>
      <c r="D7" s="799">
        <v>0</v>
      </c>
      <c r="E7" s="831">
        <f>C7*D7</f>
        <v>0</v>
      </c>
      <c r="F7" s="213"/>
      <c r="G7" s="213"/>
      <c r="H7" s="935"/>
      <c r="I7" s="1014"/>
      <c r="J7" s="1003"/>
      <c r="K7" s="935"/>
      <c r="L7" s="935"/>
      <c r="M7" s="935"/>
      <c r="N7" s="799"/>
      <c r="O7" s="212"/>
      <c r="P7" s="212"/>
      <c r="Q7" s="212"/>
      <c r="R7" s="212"/>
      <c r="S7" s="212"/>
      <c r="T7" s="212"/>
      <c r="U7" s="212"/>
      <c r="V7" s="212"/>
      <c r="W7" s="212"/>
      <c r="X7" s="212"/>
      <c r="Y7" s="212"/>
      <c r="Z7" s="212"/>
      <c r="AA7" s="212"/>
      <c r="AB7" s="212"/>
      <c r="AC7" s="212"/>
      <c r="AD7" s="212"/>
      <c r="AE7" s="212"/>
      <c r="AF7" s="212"/>
      <c r="AG7" s="212"/>
      <c r="AH7" s="212"/>
      <c r="AI7" s="212"/>
      <c r="AJ7" s="212"/>
      <c r="AK7" s="212"/>
      <c r="AL7" s="212"/>
      <c r="AM7" s="212"/>
      <c r="AN7" s="212"/>
      <c r="AO7" s="212"/>
      <c r="AP7" s="212"/>
      <c r="AQ7" s="212"/>
      <c r="AR7" s="212"/>
      <c r="AS7" s="212"/>
      <c r="AT7" s="212"/>
      <c r="AU7" s="212"/>
      <c r="AV7" s="212"/>
      <c r="AW7" s="212"/>
      <c r="AX7" s="212"/>
      <c r="AY7" s="212"/>
      <c r="AZ7" s="212"/>
      <c r="BA7" s="448"/>
    </row>
    <row r="8" spans="1:53" ht="24" customHeight="1" x14ac:dyDescent="0.2">
      <c r="A8" s="1221"/>
      <c r="B8" s="1221"/>
      <c r="C8" s="1014"/>
      <c r="D8" s="1016"/>
      <c r="E8" s="1016"/>
      <c r="F8" s="213"/>
      <c r="G8" s="213"/>
      <c r="H8" s="935"/>
      <c r="I8" s="1014"/>
      <c r="J8" s="1003"/>
      <c r="K8" s="935"/>
      <c r="L8" s="935"/>
      <c r="M8" s="935"/>
      <c r="N8" s="1311"/>
      <c r="O8" s="212"/>
      <c r="P8" s="212"/>
      <c r="Q8" s="212"/>
      <c r="R8" s="212"/>
      <c r="S8" s="212"/>
      <c r="T8" s="212"/>
      <c r="U8" s="212"/>
      <c r="V8" s="212"/>
      <c r="W8" s="212"/>
      <c r="X8" s="212"/>
      <c r="Y8" s="212"/>
      <c r="Z8" s="212"/>
      <c r="AA8" s="212"/>
      <c r="AB8" s="212"/>
      <c r="AC8" s="212"/>
      <c r="AD8" s="212"/>
      <c r="AE8" s="212"/>
      <c r="AF8" s="212"/>
      <c r="AG8" s="212"/>
      <c r="AH8" s="212"/>
      <c r="AI8" s="212"/>
      <c r="AJ8" s="212"/>
      <c r="AK8" s="212"/>
      <c r="AL8" s="212"/>
      <c r="AM8" s="212"/>
      <c r="AN8" s="212"/>
      <c r="AO8" s="212"/>
      <c r="AP8" s="212"/>
      <c r="AQ8" s="212"/>
      <c r="AR8" s="212"/>
      <c r="AS8" s="212"/>
      <c r="AT8" s="212"/>
      <c r="AU8" s="212"/>
      <c r="AV8" s="212"/>
      <c r="AW8" s="212"/>
      <c r="AX8" s="212"/>
      <c r="AY8" s="212"/>
      <c r="AZ8" s="212"/>
      <c r="BA8" s="448"/>
    </row>
    <row r="9" spans="1:53" ht="18" customHeight="1" x14ac:dyDescent="0.2">
      <c r="A9" s="1222" t="s">
        <v>788</v>
      </c>
      <c r="B9" s="1223"/>
      <c r="C9" s="1014"/>
      <c r="D9" s="1016"/>
      <c r="E9" s="1016"/>
      <c r="F9" s="213"/>
      <c r="G9" s="213"/>
      <c r="H9" s="1226"/>
      <c r="I9" s="1227" t="s">
        <v>837</v>
      </c>
      <c r="J9" s="1003"/>
      <c r="K9" s="935"/>
      <c r="L9" s="935"/>
      <c r="M9" s="935"/>
      <c r="N9" s="1311"/>
      <c r="O9" s="212"/>
      <c r="P9" s="212"/>
      <c r="Q9" s="212"/>
      <c r="R9" s="212"/>
      <c r="S9" s="212"/>
      <c r="T9" s="212"/>
      <c r="U9" s="212"/>
      <c r="V9" s="212"/>
      <c r="W9" s="212"/>
      <c r="X9" s="212"/>
      <c r="Y9" s="212"/>
      <c r="Z9" s="212"/>
      <c r="AA9" s="212"/>
      <c r="AB9" s="212"/>
      <c r="AC9" s="212"/>
      <c r="AD9" s="212"/>
      <c r="AE9" s="212"/>
      <c r="AF9" s="212"/>
      <c r="AG9" s="212"/>
      <c r="AH9" s="212"/>
      <c r="AI9" s="212"/>
      <c r="AJ9" s="212"/>
      <c r="AK9" s="212"/>
      <c r="AL9" s="212"/>
      <c r="AM9" s="212"/>
      <c r="AN9" s="212"/>
      <c r="AO9" s="212"/>
      <c r="AP9" s="212"/>
      <c r="AQ9" s="212"/>
      <c r="AR9" s="212"/>
      <c r="AS9" s="212"/>
      <c r="AT9" s="212"/>
      <c r="AU9" s="212"/>
      <c r="AV9" s="212"/>
      <c r="AW9" s="212"/>
      <c r="AX9" s="212"/>
      <c r="AY9" s="212"/>
      <c r="AZ9" s="212"/>
      <c r="BA9" s="448"/>
    </row>
    <row r="10" spans="1:53" ht="18" customHeight="1" x14ac:dyDescent="0.2">
      <c r="A10" s="1221"/>
      <c r="B10" s="1221"/>
      <c r="C10" s="1014"/>
      <c r="D10" s="1016"/>
      <c r="E10" s="1016"/>
      <c r="F10" s="213"/>
      <c r="G10" s="213"/>
      <c r="H10" s="1226"/>
      <c r="I10" s="1228" t="s">
        <v>836</v>
      </c>
      <c r="J10" s="1003"/>
      <c r="K10" s="935"/>
      <c r="L10" s="935"/>
      <c r="M10" s="935"/>
      <c r="N10" s="1311"/>
      <c r="O10" s="212"/>
      <c r="P10" s="212"/>
      <c r="Q10" s="212"/>
      <c r="R10" s="212"/>
      <c r="S10" s="212"/>
      <c r="T10" s="212"/>
      <c r="U10" s="212"/>
      <c r="V10" s="212"/>
      <c r="W10" s="212"/>
      <c r="X10" s="212"/>
      <c r="Y10" s="212"/>
      <c r="Z10" s="212"/>
      <c r="AA10" s="212"/>
      <c r="AB10" s="212"/>
      <c r="AC10" s="212"/>
      <c r="AD10" s="212"/>
      <c r="AE10" s="212"/>
      <c r="AF10" s="212"/>
      <c r="AG10" s="212"/>
      <c r="AH10" s="212"/>
      <c r="AI10" s="212"/>
      <c r="AJ10" s="212"/>
      <c r="AK10" s="212"/>
      <c r="AL10" s="212"/>
      <c r="AM10" s="212"/>
      <c r="AN10" s="212"/>
      <c r="AO10" s="212"/>
      <c r="AP10" s="212"/>
      <c r="AQ10" s="212"/>
      <c r="AR10" s="212"/>
      <c r="AS10" s="212"/>
      <c r="AT10" s="212"/>
      <c r="AU10" s="212"/>
      <c r="AV10" s="212"/>
      <c r="AW10" s="212"/>
      <c r="AX10" s="212"/>
      <c r="AY10" s="212"/>
      <c r="AZ10" s="212"/>
      <c r="BA10" s="448"/>
    </row>
    <row r="11" spans="1:53" ht="17.25" customHeight="1" x14ac:dyDescent="0.2">
      <c r="A11" s="1229" t="s">
        <v>793</v>
      </c>
      <c r="B11" s="1230"/>
      <c r="C11" s="1014"/>
      <c r="D11" s="1016"/>
      <c r="E11" s="1016"/>
      <c r="F11" s="1231" t="s">
        <v>798</v>
      </c>
      <c r="G11" s="213"/>
      <c r="H11" s="1226"/>
      <c r="I11" s="1227"/>
      <c r="J11" s="1232"/>
      <c r="K11" s="935"/>
      <c r="L11" s="935" t="s">
        <v>794</v>
      </c>
      <c r="M11" s="935"/>
      <c r="N11" s="832"/>
      <c r="O11" s="1231" t="s">
        <v>798</v>
      </c>
      <c r="P11" s="212"/>
      <c r="Q11" s="212"/>
      <c r="R11" s="212"/>
      <c r="S11" s="212"/>
      <c r="T11" s="212"/>
      <c r="U11" s="212"/>
      <c r="V11" s="212"/>
      <c r="W11" s="212"/>
      <c r="X11" s="212"/>
      <c r="Y11" s="212"/>
      <c r="Z11" s="212"/>
      <c r="AA11" s="212"/>
      <c r="AB11" s="212"/>
      <c r="AC11" s="212"/>
      <c r="AD11" s="212"/>
      <c r="AE11" s="212"/>
      <c r="AF11" s="212"/>
      <c r="AG11" s="212"/>
      <c r="AH11" s="212"/>
      <c r="AI11" s="212"/>
      <c r="AJ11" s="212"/>
      <c r="AK11" s="212"/>
      <c r="AL11" s="212"/>
      <c r="AM11" s="212"/>
      <c r="AN11" s="212"/>
      <c r="AO11" s="212"/>
      <c r="AP11" s="212"/>
      <c r="AQ11" s="212"/>
      <c r="AR11" s="212"/>
      <c r="AS11" s="212"/>
      <c r="AT11" s="212"/>
      <c r="AU11" s="212"/>
      <c r="AV11" s="212"/>
      <c r="AW11" s="212"/>
      <c r="AX11" s="212"/>
      <c r="AY11" s="212"/>
      <c r="AZ11" s="212"/>
      <c r="BA11" s="448"/>
    </row>
    <row r="12" spans="1:53" ht="17.25" customHeight="1" x14ac:dyDescent="0.2">
      <c r="A12" s="1225" t="s">
        <v>785</v>
      </c>
      <c r="B12" s="1225"/>
      <c r="C12" s="579">
        <f>'Kalkulation Herstellungskosten'!C171</f>
        <v>0</v>
      </c>
      <c r="D12" s="1308">
        <f>'Kalkulation Herstellungskosten'!E171</f>
        <v>0</v>
      </c>
      <c r="E12" s="831">
        <f>IF(OR(C12=0,D12=0),'Kalkulation Herstellungskosten'!E273,C12*D12)</f>
        <v>0</v>
      </c>
      <c r="F12" s="577">
        <f>Stab_Ö_Lohnnebenkosten!W75</f>
        <v>0</v>
      </c>
      <c r="G12" s="213"/>
      <c r="H12" s="1233">
        <f>SUM(E12:F12)</f>
        <v>0</v>
      </c>
      <c r="I12" s="1227"/>
      <c r="J12" s="1232"/>
      <c r="K12" s="935">
        <v>1</v>
      </c>
      <c r="L12" s="1314"/>
      <c r="M12" s="1255"/>
      <c r="N12" s="799"/>
      <c r="O12" s="1012"/>
      <c r="P12" s="212"/>
      <c r="Q12" s="212"/>
      <c r="R12" s="212"/>
      <c r="S12" s="212"/>
      <c r="T12" s="212"/>
      <c r="U12" s="212"/>
      <c r="V12" s="212"/>
      <c r="W12" s="212"/>
      <c r="X12" s="212"/>
      <c r="Y12" s="212"/>
      <c r="Z12" s="212"/>
      <c r="AA12" s="212"/>
      <c r="AB12" s="212"/>
      <c r="AC12" s="212"/>
      <c r="AD12" s="212"/>
      <c r="AE12" s="212"/>
      <c r="AF12" s="212"/>
      <c r="AG12" s="212"/>
      <c r="AH12" s="212"/>
      <c r="AI12" s="212"/>
      <c r="AJ12" s="212"/>
      <c r="AK12" s="212"/>
      <c r="AL12" s="212"/>
      <c r="AM12" s="212"/>
      <c r="AN12" s="212"/>
      <c r="AO12" s="212"/>
      <c r="AP12" s="212"/>
      <c r="AQ12" s="212"/>
      <c r="AR12" s="212"/>
      <c r="AS12" s="212"/>
      <c r="AT12" s="212"/>
      <c r="AU12" s="212"/>
      <c r="AV12" s="212"/>
      <c r="AW12" s="212"/>
      <c r="AX12" s="212"/>
      <c r="AY12" s="212"/>
      <c r="AZ12" s="212"/>
      <c r="BA12" s="448"/>
    </row>
    <row r="13" spans="1:53" ht="17.25" customHeight="1" x14ac:dyDescent="0.2">
      <c r="A13" s="1225" t="s">
        <v>789</v>
      </c>
      <c r="B13" s="1225"/>
      <c r="C13" s="579">
        <f>'Kalkulation Herstellungskosten'!C172</f>
        <v>0</v>
      </c>
      <c r="D13" s="1308">
        <f>'Kalkulation Herstellungskosten'!E172</f>
        <v>0</v>
      </c>
      <c r="E13" s="831">
        <f>C13*D13</f>
        <v>0</v>
      </c>
      <c r="F13" s="577">
        <f>Stab_Ö_Lohnnebenkosten!W76</f>
        <v>0</v>
      </c>
      <c r="G13" s="213"/>
      <c r="H13" s="1226"/>
      <c r="I13" s="1227"/>
      <c r="J13" s="1232"/>
      <c r="K13" s="935">
        <v>2</v>
      </c>
      <c r="L13" s="935" t="s">
        <v>148</v>
      </c>
      <c r="M13" s="212"/>
      <c r="N13" s="799"/>
      <c r="O13" s="1012"/>
      <c r="P13" s="212"/>
      <c r="Q13" s="212"/>
      <c r="R13" s="212"/>
      <c r="S13" s="212"/>
      <c r="T13" s="212"/>
      <c r="U13" s="212"/>
      <c r="V13" s="212"/>
      <c r="W13" s="212"/>
      <c r="X13" s="212"/>
      <c r="Y13" s="212"/>
      <c r="Z13" s="212"/>
      <c r="AA13" s="212"/>
      <c r="AB13" s="212"/>
      <c r="AC13" s="212"/>
      <c r="AD13" s="212"/>
      <c r="AE13" s="212"/>
      <c r="AF13" s="212"/>
      <c r="AG13" s="212"/>
      <c r="AH13" s="212"/>
      <c r="AI13" s="212"/>
      <c r="AJ13" s="212"/>
      <c r="AK13" s="212"/>
      <c r="AL13" s="212"/>
      <c r="AM13" s="212"/>
      <c r="AN13" s="212"/>
      <c r="AO13" s="212"/>
      <c r="AP13" s="212"/>
      <c r="AQ13" s="212"/>
      <c r="AR13" s="212"/>
      <c r="AS13" s="212"/>
      <c r="AT13" s="212"/>
      <c r="AU13" s="212"/>
      <c r="AV13" s="212"/>
      <c r="AW13" s="212"/>
      <c r="AX13" s="212"/>
      <c r="AY13" s="212"/>
      <c r="AZ13" s="212"/>
      <c r="BA13" s="448"/>
    </row>
    <row r="14" spans="1:53" ht="18" customHeight="1" x14ac:dyDescent="0.2">
      <c r="A14" s="1221" t="s">
        <v>796</v>
      </c>
      <c r="B14" s="1221"/>
      <c r="C14" s="1014"/>
      <c r="D14" s="832"/>
      <c r="E14" s="832"/>
      <c r="F14" s="628"/>
      <c r="G14" s="213"/>
      <c r="H14" s="1226"/>
      <c r="I14" s="1227"/>
      <c r="J14" s="1232"/>
      <c r="K14" s="935">
        <v>3</v>
      </c>
      <c r="L14" s="935" t="s">
        <v>143</v>
      </c>
      <c r="M14" s="212"/>
      <c r="N14" s="1307"/>
      <c r="O14" s="628"/>
      <c r="P14" s="212"/>
      <c r="Q14" s="212"/>
      <c r="R14" s="212"/>
      <c r="S14" s="212"/>
      <c r="T14" s="212"/>
      <c r="U14" s="212"/>
      <c r="V14" s="212"/>
      <c r="W14" s="212"/>
      <c r="X14" s="212"/>
      <c r="Y14" s="212"/>
      <c r="Z14" s="212"/>
      <c r="AA14" s="212"/>
      <c r="AB14" s="212"/>
      <c r="AC14" s="212"/>
      <c r="AD14" s="212"/>
      <c r="AE14" s="212"/>
      <c r="AF14" s="212"/>
      <c r="AG14" s="212"/>
      <c r="AH14" s="212"/>
      <c r="AI14" s="212"/>
      <c r="AJ14" s="212"/>
      <c r="AK14" s="212"/>
      <c r="AL14" s="212"/>
      <c r="AM14" s="212"/>
      <c r="AN14" s="212"/>
      <c r="AO14" s="212"/>
      <c r="AP14" s="212"/>
      <c r="AQ14" s="212"/>
      <c r="AR14" s="212"/>
      <c r="AS14" s="212"/>
      <c r="AT14" s="212"/>
      <c r="AU14" s="212"/>
      <c r="AV14" s="212"/>
      <c r="AW14" s="212"/>
      <c r="AX14" s="212"/>
      <c r="AY14" s="212"/>
      <c r="AZ14" s="212"/>
      <c r="BA14" s="448"/>
    </row>
    <row r="15" spans="1:53" ht="18" customHeight="1" x14ac:dyDescent="0.2">
      <c r="A15" s="1256"/>
      <c r="B15" s="1296" t="s">
        <v>1210</v>
      </c>
      <c r="C15" s="1011">
        <v>0</v>
      </c>
      <c r="D15" s="799">
        <v>0</v>
      </c>
      <c r="E15" s="831">
        <f>C15*D15</f>
        <v>0</v>
      </c>
      <c r="F15" s="577">
        <f>IF(I15=0,0,INDEX(Stab_Ö_Lohnnebenkosten!$W$5:$W$105,MATCH(G15,Stab_Ö_Lohnnebenkosten!$A$5:$A$72,0))*E15/I15)</f>
        <v>0</v>
      </c>
      <c r="G15" s="1312">
        <f t="shared" ref="G15:G21" si="0">VLOOKUP(H15,$K$12:$L$30,2)</f>
        <v>0</v>
      </c>
      <c r="H15" s="1313">
        <v>1</v>
      </c>
      <c r="I15" s="578">
        <f>IF(H15=1,0,INDEX(Stab_Ö_Lohnnebenkosten!$M$5:$M$72,MATCH(G15,Stab_Ö_Lohnnebenkosten!$A$5:$A$72,0)))</f>
        <v>0</v>
      </c>
      <c r="J15" s="1232"/>
      <c r="K15" s="935">
        <v>4</v>
      </c>
      <c r="L15" s="935" t="s">
        <v>943</v>
      </c>
      <c r="M15" s="212"/>
      <c r="N15" s="799"/>
      <c r="O15" s="1012"/>
      <c r="P15" s="212"/>
      <c r="Q15" s="212"/>
      <c r="R15" s="212"/>
      <c r="S15" s="212"/>
      <c r="T15" s="212"/>
      <c r="U15" s="212"/>
      <c r="V15" s="212"/>
      <c r="W15" s="212"/>
      <c r="X15" s="212"/>
      <c r="Y15" s="212"/>
      <c r="Z15" s="212"/>
      <c r="AA15" s="212"/>
      <c r="AB15" s="212"/>
      <c r="AC15" s="212"/>
      <c r="AD15" s="212"/>
      <c r="AE15" s="212"/>
      <c r="AF15" s="212"/>
      <c r="AG15" s="212"/>
      <c r="AH15" s="212"/>
      <c r="AI15" s="212"/>
      <c r="AJ15" s="212"/>
      <c r="AK15" s="212"/>
      <c r="AL15" s="212"/>
      <c r="AM15" s="212"/>
      <c r="AN15" s="212"/>
      <c r="AO15" s="212"/>
      <c r="AP15" s="212"/>
      <c r="AQ15" s="212"/>
      <c r="AR15" s="212"/>
      <c r="AS15" s="212"/>
      <c r="AT15" s="212"/>
      <c r="AU15" s="212"/>
      <c r="AV15" s="212"/>
      <c r="AW15" s="212"/>
      <c r="AX15" s="212"/>
      <c r="AY15" s="212"/>
      <c r="AZ15" s="212"/>
      <c r="BA15" s="448"/>
    </row>
    <row r="16" spans="1:53" ht="17.25" customHeight="1" x14ac:dyDescent="0.2">
      <c r="A16" s="1256"/>
      <c r="B16" s="1296" t="s">
        <v>1210</v>
      </c>
      <c r="C16" s="1011">
        <v>0</v>
      </c>
      <c r="D16" s="799">
        <v>0</v>
      </c>
      <c r="E16" s="831">
        <f>C16*D16</f>
        <v>0</v>
      </c>
      <c r="F16" s="577">
        <f>IF(I16=0,0,INDEX(Stab_Ö_Lohnnebenkosten!$W$5:$W$105,MATCH(G16,Stab_Ö_Lohnnebenkosten!$A$5:$A$72,0))*E16/I16)</f>
        <v>0</v>
      </c>
      <c r="G16" s="1312">
        <f t="shared" si="0"/>
        <v>0</v>
      </c>
      <c r="H16" s="1313">
        <v>1</v>
      </c>
      <c r="I16" s="578">
        <f>IF(H16=1,0,INDEX(Stab_Ö_Lohnnebenkosten!$M$5:$M$72,MATCH(G16,Stab_Ö_Lohnnebenkosten!$A$5:$A$72,0)))</f>
        <v>0</v>
      </c>
      <c r="J16" s="1232"/>
      <c r="K16" s="935">
        <v>5</v>
      </c>
      <c r="L16" s="935" t="s">
        <v>720</v>
      </c>
      <c r="M16" s="212"/>
      <c r="N16" s="799"/>
      <c r="O16" s="1012"/>
      <c r="P16" s="212"/>
      <c r="Q16" s="212"/>
      <c r="R16" s="212"/>
      <c r="S16" s="212"/>
      <c r="T16" s="212"/>
      <c r="U16" s="212"/>
      <c r="V16" s="212"/>
      <c r="W16" s="212"/>
      <c r="X16" s="212"/>
      <c r="Y16" s="212"/>
      <c r="Z16" s="212"/>
      <c r="AA16" s="212"/>
      <c r="AB16" s="212"/>
      <c r="AC16" s="212"/>
      <c r="AD16" s="212"/>
      <c r="AE16" s="212"/>
      <c r="AF16" s="212"/>
      <c r="AG16" s="212"/>
      <c r="AH16" s="212"/>
      <c r="AI16" s="212"/>
      <c r="AJ16" s="212"/>
      <c r="AK16" s="212"/>
      <c r="AL16" s="212"/>
      <c r="AM16" s="212"/>
      <c r="AN16" s="212"/>
      <c r="AO16" s="212"/>
      <c r="AP16" s="212"/>
      <c r="AQ16" s="212"/>
      <c r="AR16" s="212"/>
      <c r="AS16" s="212"/>
      <c r="AT16" s="212"/>
      <c r="AU16" s="212"/>
      <c r="AV16" s="212"/>
      <c r="AW16" s="212"/>
      <c r="AX16" s="212"/>
      <c r="AY16" s="212"/>
      <c r="AZ16" s="212"/>
      <c r="BA16" s="448"/>
    </row>
    <row r="17" spans="1:53" ht="18" customHeight="1" x14ac:dyDescent="0.2">
      <c r="A17" s="1256"/>
      <c r="B17" s="1296" t="s">
        <v>1210</v>
      </c>
      <c r="C17" s="1011">
        <v>0</v>
      </c>
      <c r="D17" s="799">
        <v>0</v>
      </c>
      <c r="E17" s="831">
        <f t="shared" ref="E17:E21" si="1">C17*D17</f>
        <v>0</v>
      </c>
      <c r="F17" s="577">
        <f>IF(I17=0,0,INDEX(Stab_Ö_Lohnnebenkosten!$W$5:$W$105,MATCH(G17,Stab_Ö_Lohnnebenkosten!$A$5:$A$72,0))*E17/I17)</f>
        <v>0</v>
      </c>
      <c r="G17" s="1312">
        <f t="shared" si="0"/>
        <v>0</v>
      </c>
      <c r="H17" s="1313">
        <v>1</v>
      </c>
      <c r="I17" s="578">
        <f>IF(H17=1,0,INDEX(Stab_Ö_Lohnnebenkosten!$M$5:$M$72,MATCH(G17,Stab_Ö_Lohnnebenkosten!$A$5:$A$72,0)))</f>
        <v>0</v>
      </c>
      <c r="J17" s="1232"/>
      <c r="K17" s="935">
        <v>6</v>
      </c>
      <c r="L17" s="935" t="s">
        <v>914</v>
      </c>
      <c r="M17" s="212"/>
      <c r="N17" s="799"/>
      <c r="O17" s="1012"/>
      <c r="P17" s="212"/>
      <c r="Q17" s="212"/>
      <c r="R17" s="212"/>
      <c r="S17" s="212"/>
      <c r="T17" s="212"/>
      <c r="U17" s="212"/>
      <c r="V17" s="212"/>
      <c r="W17" s="212"/>
      <c r="X17" s="212"/>
      <c r="Y17" s="212"/>
      <c r="Z17" s="212"/>
      <c r="AA17" s="212"/>
      <c r="AB17" s="212"/>
      <c r="AC17" s="212"/>
      <c r="AD17" s="212"/>
      <c r="AE17" s="212"/>
      <c r="AF17" s="212"/>
      <c r="AG17" s="212"/>
      <c r="AH17" s="212"/>
      <c r="AI17" s="212"/>
      <c r="AJ17" s="212"/>
      <c r="AK17" s="212"/>
      <c r="AL17" s="212"/>
      <c r="AM17" s="212"/>
      <c r="AN17" s="212"/>
      <c r="AO17" s="212"/>
      <c r="AP17" s="212"/>
      <c r="AQ17" s="212"/>
      <c r="AR17" s="212"/>
      <c r="AS17" s="212"/>
      <c r="AT17" s="212"/>
      <c r="AU17" s="212"/>
      <c r="AV17" s="212"/>
      <c r="AW17" s="212"/>
      <c r="AX17" s="212"/>
      <c r="AY17" s="448"/>
      <c r="AZ17" s="448"/>
      <c r="BA17" s="448"/>
    </row>
    <row r="18" spans="1:53" ht="18" customHeight="1" x14ac:dyDescent="0.2">
      <c r="A18" s="1256"/>
      <c r="B18" s="1296" t="s">
        <v>1210</v>
      </c>
      <c r="C18" s="1011">
        <v>0</v>
      </c>
      <c r="D18" s="799">
        <v>0</v>
      </c>
      <c r="E18" s="831">
        <f t="shared" si="1"/>
        <v>0</v>
      </c>
      <c r="F18" s="577">
        <f>IF(I18=0,0,INDEX(Stab_Ö_Lohnnebenkosten!$W$5:$W$105,MATCH(G18,Stab_Ö_Lohnnebenkosten!$A$5:$A$72,0))*E18/I18)</f>
        <v>0</v>
      </c>
      <c r="G18" s="1312">
        <f t="shared" si="0"/>
        <v>0</v>
      </c>
      <c r="H18" s="1313">
        <v>1</v>
      </c>
      <c r="I18" s="578">
        <f>IF(H18=1,0,INDEX(Stab_Ö_Lohnnebenkosten!$M$5:$M$72,MATCH(G18,Stab_Ö_Lohnnebenkosten!$A$5:$A$72,0)))</f>
        <v>0</v>
      </c>
      <c r="J18" s="1232"/>
      <c r="K18" s="935">
        <v>7</v>
      </c>
      <c r="L18" s="935" t="s">
        <v>912</v>
      </c>
      <c r="M18" s="212"/>
      <c r="N18" s="799"/>
      <c r="O18" s="1012"/>
      <c r="P18" s="212"/>
      <c r="Q18" s="212"/>
      <c r="R18" s="212"/>
      <c r="S18" s="212"/>
      <c r="T18" s="212"/>
      <c r="U18" s="212"/>
      <c r="V18" s="212"/>
      <c r="W18" s="212"/>
      <c r="X18" s="212"/>
      <c r="Y18" s="212"/>
      <c r="Z18" s="212"/>
      <c r="AA18" s="212"/>
      <c r="AB18" s="212"/>
      <c r="AC18" s="212"/>
      <c r="AD18" s="212"/>
      <c r="AE18" s="212"/>
      <c r="AF18" s="212"/>
      <c r="AG18" s="212"/>
      <c r="AH18" s="212"/>
      <c r="AI18" s="212"/>
      <c r="AJ18" s="212"/>
      <c r="AK18" s="212"/>
      <c r="AL18" s="212"/>
      <c r="AM18" s="212"/>
      <c r="AN18" s="212"/>
      <c r="AO18" s="212"/>
      <c r="AP18" s="212"/>
      <c r="AQ18" s="212"/>
      <c r="AR18" s="212"/>
      <c r="AS18" s="212"/>
      <c r="AT18" s="212"/>
      <c r="AU18" s="212"/>
      <c r="AV18" s="212"/>
      <c r="AW18" s="212"/>
      <c r="AX18" s="212"/>
      <c r="AY18" s="448"/>
      <c r="AZ18" s="448"/>
      <c r="BA18" s="448"/>
    </row>
    <row r="19" spans="1:53" ht="18" customHeight="1" x14ac:dyDescent="0.2">
      <c r="A19" s="1256"/>
      <c r="B19" s="1296" t="s">
        <v>1210</v>
      </c>
      <c r="C19" s="1011">
        <v>0</v>
      </c>
      <c r="D19" s="799">
        <v>0</v>
      </c>
      <c r="E19" s="831">
        <f t="shared" si="1"/>
        <v>0</v>
      </c>
      <c r="F19" s="577">
        <f>IF(I19=0,0,INDEX(Stab_Ö_Lohnnebenkosten!$W$5:$W$105,MATCH(G19,Stab_Ö_Lohnnebenkosten!$A$5:$A$72,0))*E19/I19)</f>
        <v>0</v>
      </c>
      <c r="G19" s="1312">
        <f t="shared" si="0"/>
        <v>0</v>
      </c>
      <c r="H19" s="1313">
        <v>1</v>
      </c>
      <c r="I19" s="578">
        <f>IF(H19=1,0,INDEX(Stab_Ö_Lohnnebenkosten!$M$5:$M$72,MATCH(G19,Stab_Ö_Lohnnebenkosten!$A$5:$A$72,0)))</f>
        <v>0</v>
      </c>
      <c r="J19" s="1232"/>
      <c r="K19" s="935">
        <v>8</v>
      </c>
      <c r="L19" s="935" t="s">
        <v>913</v>
      </c>
      <c r="M19" s="212"/>
      <c r="N19" s="799"/>
      <c r="O19" s="1012"/>
      <c r="P19" s="212"/>
      <c r="Q19" s="212"/>
      <c r="R19" s="212"/>
      <c r="S19" s="212"/>
      <c r="T19" s="212"/>
      <c r="U19" s="212"/>
      <c r="V19" s="212"/>
      <c r="W19" s="212"/>
      <c r="X19" s="212"/>
      <c r="Y19" s="212"/>
      <c r="Z19" s="212"/>
      <c r="AA19" s="212"/>
      <c r="AB19" s="212"/>
      <c r="AC19" s="212"/>
      <c r="AD19" s="212"/>
      <c r="AE19" s="212"/>
      <c r="AF19" s="212"/>
      <c r="AG19" s="212"/>
      <c r="AH19" s="212"/>
      <c r="AI19" s="212"/>
      <c r="AJ19" s="212"/>
      <c r="AK19" s="212"/>
      <c r="AL19" s="212"/>
      <c r="AM19" s="212"/>
      <c r="AN19" s="212"/>
      <c r="AO19" s="212"/>
      <c r="AP19" s="212"/>
      <c r="AQ19" s="212"/>
      <c r="AR19" s="212"/>
      <c r="AS19" s="212"/>
      <c r="AT19" s="212"/>
      <c r="AU19" s="212"/>
      <c r="AV19" s="212"/>
      <c r="AW19" s="212"/>
      <c r="AX19" s="448"/>
      <c r="AY19" s="448"/>
      <c r="AZ19" s="448"/>
      <c r="BA19" s="448"/>
    </row>
    <row r="20" spans="1:53" ht="18" customHeight="1" x14ac:dyDescent="0.2">
      <c r="A20" s="1256"/>
      <c r="B20" s="1296" t="s">
        <v>1210</v>
      </c>
      <c r="C20" s="1011">
        <v>0</v>
      </c>
      <c r="D20" s="799">
        <v>0</v>
      </c>
      <c r="E20" s="831">
        <f t="shared" si="1"/>
        <v>0</v>
      </c>
      <c r="F20" s="577">
        <f>IF(I20=0,0,INDEX(Stab_Ö_Lohnnebenkosten!$W$5:$W$105,MATCH(G20,Stab_Ö_Lohnnebenkosten!$A$5:$A$72,0))*E20/I20)</f>
        <v>0</v>
      </c>
      <c r="G20" s="1312">
        <f t="shared" si="0"/>
        <v>0</v>
      </c>
      <c r="H20" s="1313">
        <v>1</v>
      </c>
      <c r="I20" s="578">
        <f>IF(H20=1,0,INDEX(Stab_Ö_Lohnnebenkosten!$M$5:$M$72,MATCH(G20,Stab_Ö_Lohnnebenkosten!$A$5:$A$72,0)))</f>
        <v>0</v>
      </c>
      <c r="J20" s="1232"/>
      <c r="K20" s="935">
        <v>9</v>
      </c>
      <c r="L20" s="935" t="s">
        <v>585</v>
      </c>
      <c r="M20" s="212"/>
      <c r="N20" s="799"/>
      <c r="O20" s="1012"/>
      <c r="P20" s="212"/>
      <c r="Q20" s="212"/>
      <c r="R20" s="212"/>
      <c r="S20" s="212"/>
      <c r="T20" s="212"/>
      <c r="U20" s="212"/>
      <c r="V20" s="212"/>
      <c r="W20" s="212"/>
      <c r="X20" s="212"/>
      <c r="Y20" s="212"/>
      <c r="Z20" s="212"/>
      <c r="AA20" s="212"/>
      <c r="AB20" s="212"/>
      <c r="AC20" s="212"/>
      <c r="AD20" s="212"/>
      <c r="AE20" s="212"/>
      <c r="AF20" s="212"/>
      <c r="AG20" s="212"/>
      <c r="AH20" s="212"/>
      <c r="AI20" s="212"/>
      <c r="AJ20" s="212"/>
      <c r="AK20" s="212"/>
      <c r="AL20" s="212"/>
      <c r="AM20" s="212"/>
      <c r="AN20" s="212"/>
      <c r="AO20" s="212"/>
      <c r="AP20" s="212"/>
      <c r="AQ20" s="212"/>
      <c r="AR20" s="212"/>
      <c r="AS20" s="212"/>
      <c r="AT20" s="212"/>
      <c r="AU20" s="212"/>
      <c r="AV20" s="212"/>
      <c r="AW20" s="212"/>
      <c r="AX20" s="448"/>
      <c r="AY20" s="448"/>
      <c r="AZ20" s="448"/>
      <c r="BA20" s="448"/>
    </row>
    <row r="21" spans="1:53" ht="18" customHeight="1" x14ac:dyDescent="0.2">
      <c r="A21" s="1256"/>
      <c r="B21" s="1296" t="s">
        <v>1210</v>
      </c>
      <c r="C21" s="1011">
        <v>0</v>
      </c>
      <c r="D21" s="799">
        <v>0</v>
      </c>
      <c r="E21" s="831">
        <f t="shared" si="1"/>
        <v>0</v>
      </c>
      <c r="F21" s="577">
        <f>IF(I21=0,0,INDEX(Stab_Ö_Lohnnebenkosten!$W$5:$W$105,MATCH(G21,Stab_Ö_Lohnnebenkosten!$A$5:$A$72,0))*E21/I21)</f>
        <v>0</v>
      </c>
      <c r="G21" s="1312">
        <f t="shared" si="0"/>
        <v>0</v>
      </c>
      <c r="H21" s="1313">
        <v>1</v>
      </c>
      <c r="I21" s="578">
        <f>IF(H21=1,0,INDEX(Stab_Ö_Lohnnebenkosten!$M$5:$M$72,MATCH(G21,Stab_Ö_Lohnnebenkosten!$A$5:$A$72,0)))</f>
        <v>0</v>
      </c>
      <c r="J21" s="1232"/>
      <c r="K21" s="935">
        <v>10</v>
      </c>
      <c r="L21" s="935" t="s">
        <v>586</v>
      </c>
      <c r="M21" s="212"/>
      <c r="N21" s="799"/>
      <c r="O21" s="1012"/>
      <c r="P21" s="212"/>
      <c r="Q21" s="212"/>
      <c r="R21" s="212"/>
      <c r="S21" s="212"/>
      <c r="T21" s="212"/>
      <c r="U21" s="212"/>
      <c r="V21" s="212"/>
      <c r="W21" s="212"/>
      <c r="X21" s="212"/>
      <c r="Y21" s="212"/>
      <c r="Z21" s="212"/>
      <c r="AA21" s="212"/>
      <c r="AB21" s="212"/>
      <c r="AC21" s="212"/>
      <c r="AD21" s="212"/>
      <c r="AE21" s="212"/>
      <c r="AF21" s="212"/>
      <c r="AG21" s="212"/>
      <c r="AH21" s="212"/>
      <c r="AI21" s="212"/>
      <c r="AJ21" s="212"/>
      <c r="AK21" s="212"/>
      <c r="AL21" s="212"/>
      <c r="AM21" s="212"/>
      <c r="AN21" s="212"/>
      <c r="AO21" s="212"/>
      <c r="AP21" s="212"/>
      <c r="AQ21" s="212"/>
      <c r="AR21" s="212"/>
      <c r="AS21" s="212"/>
      <c r="AT21" s="212"/>
      <c r="AU21" s="212"/>
      <c r="AV21" s="212"/>
      <c r="AW21" s="212"/>
      <c r="AX21" s="448"/>
      <c r="AY21" s="448"/>
      <c r="AZ21" s="448"/>
      <c r="BA21" s="448"/>
    </row>
    <row r="22" spans="1:53" ht="10.5" customHeight="1" x14ac:dyDescent="0.2">
      <c r="A22" s="1234"/>
      <c r="B22" s="1234"/>
      <c r="C22" s="1234"/>
      <c r="D22" s="1235"/>
      <c r="E22" s="1309"/>
      <c r="F22" s="1235"/>
      <c r="G22" s="213"/>
      <c r="H22" s="935"/>
      <c r="I22" s="1014"/>
      <c r="J22" s="1232"/>
      <c r="K22" s="935">
        <v>11</v>
      </c>
      <c r="L22" s="935" t="s">
        <v>581</v>
      </c>
      <c r="M22" s="212"/>
      <c r="N22" s="1309"/>
      <c r="O22" s="1235"/>
      <c r="P22" s="212"/>
      <c r="Q22" s="212"/>
      <c r="R22" s="212"/>
      <c r="S22" s="212"/>
      <c r="T22" s="212"/>
      <c r="U22" s="212"/>
      <c r="V22" s="212"/>
      <c r="W22" s="212"/>
      <c r="X22" s="212"/>
      <c r="Y22" s="212"/>
      <c r="Z22" s="212"/>
      <c r="AA22" s="212"/>
      <c r="AB22" s="212"/>
      <c r="AC22" s="212"/>
      <c r="AD22" s="212"/>
      <c r="AE22" s="212"/>
      <c r="AF22" s="212"/>
      <c r="AG22" s="212"/>
      <c r="AH22" s="212"/>
      <c r="AI22" s="212"/>
      <c r="AJ22" s="212"/>
      <c r="AK22" s="212"/>
      <c r="AL22" s="212"/>
      <c r="AM22" s="212"/>
      <c r="AN22" s="212"/>
      <c r="AO22" s="212"/>
      <c r="AP22" s="212"/>
      <c r="AQ22" s="212"/>
      <c r="AR22" s="212"/>
      <c r="AS22" s="212"/>
      <c r="AT22" s="212"/>
      <c r="AU22" s="212"/>
      <c r="AV22" s="212"/>
      <c r="AW22" s="212"/>
      <c r="AX22" s="212"/>
      <c r="AY22" s="212"/>
      <c r="AZ22" s="448"/>
      <c r="BA22" s="448"/>
    </row>
    <row r="23" spans="1:53" ht="16.5" customHeight="1" x14ac:dyDescent="0.2">
      <c r="A23" s="1225" t="s">
        <v>795</v>
      </c>
      <c r="B23" s="1225"/>
      <c r="C23" s="1225"/>
      <c r="D23" s="1236"/>
      <c r="E23" s="831">
        <f>SUM(F12:F21)</f>
        <v>0</v>
      </c>
      <c r="F23" s="213"/>
      <c r="G23" s="213"/>
      <c r="H23" s="935"/>
      <c r="I23" s="1014"/>
      <c r="J23" s="1232"/>
      <c r="K23" s="935">
        <v>12</v>
      </c>
      <c r="L23" s="935" t="s">
        <v>180</v>
      </c>
      <c r="M23" s="212"/>
      <c r="N23" s="831">
        <f>SUM(O12:O21)</f>
        <v>0</v>
      </c>
      <c r="O23" s="213"/>
      <c r="P23" s="212"/>
      <c r="Q23" s="212"/>
      <c r="R23" s="212"/>
      <c r="S23" s="212"/>
      <c r="T23" s="212"/>
      <c r="U23" s="212"/>
      <c r="V23" s="212"/>
      <c r="W23" s="212"/>
      <c r="X23" s="212"/>
      <c r="Y23" s="212"/>
      <c r="Z23" s="212"/>
      <c r="AA23" s="212"/>
      <c r="AB23" s="212"/>
      <c r="AC23" s="212"/>
      <c r="AD23" s="212"/>
      <c r="AE23" s="212"/>
      <c r="AF23" s="212"/>
      <c r="AG23" s="212"/>
      <c r="AH23" s="212"/>
      <c r="AI23" s="212"/>
      <c r="AJ23" s="212"/>
      <c r="AK23" s="212"/>
      <c r="AL23" s="212"/>
      <c r="AM23" s="212"/>
      <c r="AN23" s="212"/>
      <c r="AO23" s="212"/>
      <c r="AP23" s="212"/>
      <c r="AQ23" s="212"/>
      <c r="AR23" s="212"/>
      <c r="AS23" s="212"/>
      <c r="AT23" s="212"/>
      <c r="AU23" s="212"/>
      <c r="AV23" s="212"/>
      <c r="AW23" s="212"/>
      <c r="AX23" s="212"/>
      <c r="AY23" s="212"/>
      <c r="AZ23" s="448"/>
      <c r="BA23" s="448"/>
    </row>
    <row r="24" spans="1:53" ht="10.5" customHeight="1" x14ac:dyDescent="0.2">
      <c r="A24" s="1221"/>
      <c r="B24" s="1221"/>
      <c r="C24" s="1221"/>
      <c r="D24" s="630"/>
      <c r="E24" s="1310"/>
      <c r="F24" s="213"/>
      <c r="G24" s="213"/>
      <c r="H24" s="935"/>
      <c r="I24" s="1014"/>
      <c r="J24" s="1003"/>
      <c r="K24" s="935">
        <v>13</v>
      </c>
      <c r="L24" s="935" t="s">
        <v>142</v>
      </c>
      <c r="M24" s="212"/>
      <c r="N24" s="1310"/>
      <c r="O24" s="213"/>
      <c r="P24" s="212"/>
      <c r="Q24" s="212"/>
      <c r="R24" s="212"/>
      <c r="S24" s="212"/>
      <c r="T24" s="212"/>
      <c r="U24" s="212"/>
      <c r="V24" s="212"/>
      <c r="W24" s="212"/>
      <c r="X24" s="212"/>
      <c r="Y24" s="212"/>
      <c r="Z24" s="212"/>
      <c r="AA24" s="212"/>
      <c r="AB24" s="212"/>
      <c r="AC24" s="212"/>
      <c r="AD24" s="212"/>
      <c r="AE24" s="212"/>
      <c r="AF24" s="212"/>
      <c r="AG24" s="212"/>
      <c r="AH24" s="212"/>
      <c r="AI24" s="212"/>
      <c r="AJ24" s="212"/>
      <c r="AK24" s="212"/>
      <c r="AL24" s="212"/>
      <c r="AM24" s="212"/>
      <c r="AN24" s="212"/>
      <c r="AO24" s="212"/>
      <c r="AP24" s="212"/>
      <c r="AQ24" s="212"/>
      <c r="AR24" s="212"/>
      <c r="AS24" s="212"/>
      <c r="AT24" s="212"/>
      <c r="AU24" s="212"/>
      <c r="AV24" s="212"/>
      <c r="AW24" s="212"/>
      <c r="AX24" s="212"/>
      <c r="AY24" s="212"/>
      <c r="AZ24" s="448"/>
      <c r="BA24" s="448"/>
    </row>
    <row r="25" spans="1:53" ht="17.25" customHeight="1" x14ac:dyDescent="0.2">
      <c r="A25" s="1013" t="s">
        <v>194</v>
      </c>
      <c r="B25" s="1225"/>
      <c r="C25" s="1011"/>
      <c r="D25" s="1012"/>
      <c r="E25" s="831">
        <v>0</v>
      </c>
      <c r="F25" s="213"/>
      <c r="G25" s="213"/>
      <c r="H25" s="935"/>
      <c r="I25" s="1014"/>
      <c r="J25" s="1003"/>
      <c r="K25" s="935">
        <v>14</v>
      </c>
      <c r="L25" s="935" t="s">
        <v>577</v>
      </c>
      <c r="M25" s="212"/>
      <c r="N25" s="799"/>
      <c r="O25" s="213"/>
      <c r="P25" s="212"/>
      <c r="Q25" s="212"/>
      <c r="R25" s="212"/>
      <c r="S25" s="212"/>
      <c r="T25" s="212"/>
      <c r="U25" s="212"/>
      <c r="V25" s="212"/>
      <c r="W25" s="212"/>
      <c r="X25" s="212"/>
      <c r="Y25" s="212"/>
      <c r="Z25" s="212"/>
      <c r="AA25" s="212"/>
      <c r="AB25" s="212"/>
      <c r="AC25" s="212"/>
      <c r="AD25" s="212"/>
      <c r="AE25" s="212"/>
      <c r="AF25" s="212"/>
      <c r="AG25" s="212"/>
      <c r="AH25" s="212"/>
      <c r="AI25" s="212"/>
      <c r="AJ25" s="212"/>
      <c r="AK25" s="212"/>
      <c r="AL25" s="212"/>
      <c r="AM25" s="212"/>
      <c r="AN25" s="212"/>
      <c r="AO25" s="212"/>
      <c r="AP25" s="212"/>
      <c r="AQ25" s="212"/>
      <c r="AR25" s="212"/>
      <c r="AS25" s="212"/>
      <c r="AT25" s="212"/>
      <c r="AU25" s="212"/>
      <c r="AV25" s="212"/>
      <c r="AW25" s="212"/>
      <c r="AX25" s="212"/>
      <c r="AY25" s="212"/>
      <c r="AZ25" s="448"/>
      <c r="BA25" s="448"/>
    </row>
    <row r="26" spans="1:53" ht="17.25" customHeight="1" x14ac:dyDescent="0.2">
      <c r="A26" s="1295" t="s">
        <v>1209</v>
      </c>
      <c r="B26" s="213"/>
      <c r="C26" s="213"/>
      <c r="D26" s="213"/>
      <c r="E26" s="213"/>
      <c r="F26" s="213"/>
      <c r="G26" s="213"/>
      <c r="H26" s="213"/>
      <c r="I26" s="213"/>
      <c r="J26" s="213"/>
      <c r="K26" s="935">
        <v>15</v>
      </c>
      <c r="L26" s="935" t="s">
        <v>915</v>
      </c>
      <c r="M26" s="213"/>
      <c r="N26" s="1311"/>
      <c r="O26" s="213"/>
      <c r="P26" s="212"/>
      <c r="Q26" s="212"/>
      <c r="R26" s="212"/>
      <c r="S26" s="212"/>
      <c r="T26" s="212"/>
      <c r="U26" s="212"/>
      <c r="V26" s="212"/>
      <c r="W26" s="212"/>
      <c r="X26" s="212"/>
      <c r="Y26" s="212"/>
      <c r="Z26" s="212"/>
      <c r="AA26" s="212"/>
      <c r="AB26" s="212"/>
      <c r="AC26" s="212"/>
      <c r="AD26" s="212"/>
      <c r="AE26" s="212"/>
      <c r="AF26" s="212"/>
      <c r="AG26" s="212"/>
      <c r="AH26" s="212"/>
      <c r="AI26" s="212"/>
      <c r="AJ26" s="212"/>
      <c r="AK26" s="212"/>
      <c r="AL26" s="212"/>
      <c r="AM26" s="212"/>
      <c r="AN26" s="212"/>
      <c r="AO26" s="212"/>
      <c r="AP26" s="212"/>
      <c r="AQ26" s="212"/>
      <c r="AR26" s="212"/>
      <c r="AS26" s="212"/>
      <c r="AT26" s="212"/>
      <c r="AU26" s="212"/>
      <c r="AV26" s="212"/>
      <c r="AW26" s="212"/>
      <c r="AX26" s="212"/>
      <c r="AY26" s="212"/>
      <c r="AZ26" s="448"/>
      <c r="BA26" s="448"/>
    </row>
    <row r="27" spans="1:53" ht="10.5" customHeight="1" x14ac:dyDescent="0.2">
      <c r="A27" s="935"/>
      <c r="B27" s="935"/>
      <c r="C27" s="1014"/>
      <c r="D27" s="1016"/>
      <c r="E27" s="1016"/>
      <c r="F27" s="213"/>
      <c r="G27" s="213"/>
      <c r="H27" s="935"/>
      <c r="I27" s="1014"/>
      <c r="J27" s="1003"/>
      <c r="K27" s="935">
        <v>16</v>
      </c>
      <c r="L27" s="935" t="s">
        <v>603</v>
      </c>
      <c r="M27" s="212"/>
      <c r="N27" s="1311"/>
      <c r="O27" s="212"/>
      <c r="P27" s="212"/>
      <c r="Q27" s="212"/>
      <c r="R27" s="212"/>
      <c r="S27" s="212"/>
      <c r="T27" s="212"/>
      <c r="U27" s="212"/>
      <c r="V27" s="212"/>
      <c r="W27" s="212"/>
      <c r="X27" s="212"/>
      <c r="Y27" s="212"/>
      <c r="Z27" s="212"/>
      <c r="AA27" s="212"/>
      <c r="AB27" s="212"/>
      <c r="AC27" s="212"/>
      <c r="AD27" s="212"/>
      <c r="AE27" s="212"/>
      <c r="AF27" s="212"/>
      <c r="AG27" s="212"/>
      <c r="AH27" s="212"/>
      <c r="AI27" s="212"/>
      <c r="AJ27" s="212"/>
      <c r="AK27" s="212"/>
      <c r="AL27" s="212"/>
      <c r="AM27" s="212"/>
      <c r="AN27" s="212"/>
      <c r="AO27" s="212"/>
      <c r="AP27" s="212"/>
      <c r="AQ27" s="212"/>
      <c r="AR27" s="212"/>
      <c r="AS27" s="212"/>
      <c r="AT27" s="212"/>
      <c r="AU27" s="212"/>
      <c r="AV27" s="212"/>
      <c r="AW27" s="212"/>
      <c r="AX27" s="212"/>
      <c r="AY27" s="212"/>
      <c r="AZ27" s="448"/>
      <c r="BA27" s="448"/>
    </row>
    <row r="28" spans="1:53" ht="18" customHeight="1" x14ac:dyDescent="0.2">
      <c r="A28" s="1092" t="s">
        <v>838</v>
      </c>
      <c r="B28" s="1092"/>
      <c r="C28" s="1092"/>
      <c r="D28" s="1092"/>
      <c r="E28" s="1305">
        <f>SUM(E7:E27)</f>
        <v>0</v>
      </c>
      <c r="F28" s="213"/>
      <c r="G28" s="213"/>
      <c r="H28" s="935"/>
      <c r="I28" s="1014"/>
      <c r="J28" s="1003"/>
      <c r="K28" s="935">
        <v>17</v>
      </c>
      <c r="L28" s="935" t="s">
        <v>198</v>
      </c>
      <c r="M28" s="212"/>
      <c r="N28" s="1305">
        <f>SUM(N7:N27)</f>
        <v>0</v>
      </c>
      <c r="O28" s="212"/>
      <c r="P28" s="212"/>
      <c r="Q28" s="212"/>
      <c r="R28" s="212"/>
      <c r="S28" s="212"/>
      <c r="T28" s="212"/>
      <c r="U28" s="212"/>
      <c r="V28" s="212"/>
      <c r="W28" s="212"/>
      <c r="X28" s="212"/>
      <c r="Y28" s="212"/>
      <c r="Z28" s="212"/>
      <c r="AA28" s="212"/>
      <c r="AB28" s="212"/>
      <c r="AC28" s="212"/>
      <c r="AD28" s="212"/>
      <c r="AE28" s="212"/>
      <c r="AF28" s="212"/>
      <c r="AG28" s="212"/>
      <c r="AH28" s="212"/>
      <c r="AI28" s="212"/>
      <c r="AJ28" s="212"/>
      <c r="AK28" s="212"/>
      <c r="AL28" s="212"/>
      <c r="AM28" s="212"/>
      <c r="AN28" s="212"/>
      <c r="AO28" s="212"/>
      <c r="AP28" s="212"/>
      <c r="AQ28" s="212"/>
      <c r="AR28" s="212"/>
      <c r="AS28" s="212"/>
      <c r="AT28" s="212"/>
      <c r="AU28" s="212"/>
      <c r="AV28" s="212"/>
      <c r="AW28" s="212"/>
      <c r="AX28" s="212"/>
      <c r="AY28" s="212"/>
      <c r="AZ28" s="448"/>
      <c r="BA28" s="448"/>
    </row>
    <row r="29" spans="1:53" ht="21" customHeight="1" x14ac:dyDescent="0.2">
      <c r="A29" s="935"/>
      <c r="B29" s="935"/>
      <c r="C29" s="1014"/>
      <c r="D29" s="1016"/>
      <c r="E29" s="1016"/>
      <c r="F29" s="213"/>
      <c r="G29" s="213"/>
      <c r="H29" s="935"/>
      <c r="I29" s="1014"/>
      <c r="J29" s="1003"/>
      <c r="K29" s="935">
        <v>18</v>
      </c>
      <c r="L29" s="935" t="s">
        <v>604</v>
      </c>
      <c r="M29" s="212"/>
      <c r="N29" s="1311"/>
      <c r="O29" s="212"/>
      <c r="P29" s="212"/>
      <c r="Q29" s="212"/>
      <c r="R29" s="212"/>
      <c r="S29" s="212"/>
      <c r="T29" s="212"/>
      <c r="U29" s="212"/>
      <c r="V29" s="212"/>
      <c r="W29" s="212"/>
      <c r="X29" s="212"/>
      <c r="Y29" s="212"/>
      <c r="Z29" s="212"/>
      <c r="AA29" s="212"/>
      <c r="AB29" s="212"/>
      <c r="AC29" s="212"/>
      <c r="AD29" s="212"/>
      <c r="AE29" s="212"/>
      <c r="AF29" s="212"/>
      <c r="AG29" s="212"/>
      <c r="AH29" s="212"/>
      <c r="AI29" s="212"/>
      <c r="AJ29" s="212"/>
      <c r="AK29" s="212"/>
      <c r="AL29" s="212"/>
      <c r="AM29" s="212"/>
      <c r="AN29" s="212"/>
      <c r="AO29" s="212"/>
      <c r="AP29" s="212"/>
      <c r="AQ29" s="212"/>
      <c r="AR29" s="212"/>
      <c r="AS29" s="212"/>
      <c r="AT29" s="212"/>
      <c r="AU29" s="212"/>
      <c r="AV29" s="212"/>
      <c r="AW29" s="212"/>
      <c r="AX29" s="212"/>
      <c r="AY29" s="212"/>
      <c r="AZ29" s="448"/>
      <c r="BA29" s="448"/>
    </row>
    <row r="30" spans="1:53" ht="21" customHeight="1" x14ac:dyDescent="0.2">
      <c r="A30" s="1229" t="s">
        <v>1211</v>
      </c>
      <c r="B30" s="935"/>
      <c r="C30" s="1014"/>
      <c r="D30" s="1016"/>
      <c r="E30" s="1016"/>
      <c r="F30" s="213"/>
      <c r="G30" s="213"/>
      <c r="H30" s="935"/>
      <c r="I30" s="1014"/>
      <c r="J30" s="1003"/>
      <c r="K30" s="935">
        <v>19</v>
      </c>
      <c r="L30" s="935" t="s">
        <v>605</v>
      </c>
      <c r="M30" s="212"/>
      <c r="N30" s="1311"/>
      <c r="O30" s="212"/>
      <c r="P30" s="212"/>
      <c r="Q30" s="212"/>
      <c r="R30" s="212"/>
      <c r="S30" s="212"/>
      <c r="T30" s="212"/>
      <c r="U30" s="212"/>
      <c r="V30" s="212"/>
      <c r="W30" s="212"/>
      <c r="X30" s="212"/>
      <c r="Y30" s="212"/>
      <c r="Z30" s="212"/>
      <c r="AA30" s="212"/>
      <c r="AB30" s="212"/>
      <c r="AC30" s="212"/>
      <c r="AD30" s="212"/>
      <c r="AE30" s="212"/>
      <c r="AF30" s="212"/>
      <c r="AG30" s="212"/>
      <c r="AH30" s="212"/>
      <c r="AI30" s="212"/>
      <c r="AJ30" s="212"/>
      <c r="AK30" s="212"/>
      <c r="AL30" s="212"/>
      <c r="AM30" s="212"/>
      <c r="AN30" s="212"/>
      <c r="AO30" s="212"/>
      <c r="AP30" s="212"/>
      <c r="AQ30" s="212"/>
      <c r="AR30" s="212"/>
      <c r="AS30" s="212"/>
      <c r="AT30" s="212"/>
      <c r="AU30" s="212"/>
      <c r="AV30" s="212"/>
      <c r="AW30" s="212"/>
      <c r="AX30" s="212"/>
      <c r="AY30" s="212"/>
      <c r="AZ30" s="448"/>
      <c r="BA30" s="448"/>
    </row>
    <row r="31" spans="1:53" ht="18" customHeight="1" x14ac:dyDescent="0.2">
      <c r="A31" s="1225" t="s">
        <v>1215</v>
      </c>
      <c r="B31" s="1225"/>
      <c r="C31" s="1225"/>
      <c r="D31" s="1225"/>
      <c r="E31" s="831">
        <f>'Kalkulation Herstellungskosten'!E275</f>
        <v>0</v>
      </c>
      <c r="F31" s="213"/>
      <c r="G31" s="213"/>
      <c r="H31" s="935"/>
      <c r="I31" s="1014"/>
      <c r="J31" s="1003"/>
      <c r="K31" s="935">
        <v>20</v>
      </c>
      <c r="L31" s="935" t="s">
        <v>840</v>
      </c>
      <c r="M31" s="935"/>
      <c r="N31" s="831">
        <f>'Kalkulation Herstellungskosten'!V275</f>
        <v>0</v>
      </c>
      <c r="O31" s="212"/>
      <c r="P31" s="212"/>
      <c r="Q31" s="212"/>
      <c r="R31" s="212"/>
      <c r="S31" s="212"/>
      <c r="T31" s="212"/>
      <c r="U31" s="212"/>
      <c r="V31" s="212"/>
      <c r="W31" s="212"/>
      <c r="X31" s="212"/>
      <c r="Y31" s="212"/>
      <c r="Z31" s="212"/>
      <c r="AA31" s="212"/>
      <c r="AB31" s="212"/>
      <c r="AC31" s="212"/>
      <c r="AD31" s="212"/>
      <c r="AE31" s="212"/>
      <c r="AF31" s="212"/>
      <c r="AG31" s="212"/>
      <c r="AH31" s="212"/>
      <c r="AI31" s="212"/>
      <c r="AJ31" s="212"/>
      <c r="AK31" s="212"/>
      <c r="AL31" s="212"/>
      <c r="AM31" s="212"/>
      <c r="AN31" s="212"/>
      <c r="AO31" s="212"/>
      <c r="AP31" s="212"/>
      <c r="AQ31" s="212"/>
      <c r="AR31" s="212"/>
      <c r="AS31" s="212"/>
      <c r="AT31" s="212"/>
      <c r="AU31" s="212"/>
      <c r="AV31" s="212"/>
      <c r="AW31" s="212"/>
      <c r="AX31" s="212"/>
      <c r="AY31" s="212"/>
      <c r="AZ31" s="448"/>
      <c r="BA31" s="448"/>
    </row>
    <row r="32" spans="1:53" ht="18" customHeight="1" x14ac:dyDescent="0.2">
      <c r="A32" s="1225" t="s">
        <v>1216</v>
      </c>
      <c r="B32" s="1225"/>
      <c r="C32" s="1225"/>
      <c r="D32" s="1225"/>
      <c r="E32" s="831">
        <f>'Kalkulation Herstellungskosten'!E274</f>
        <v>0</v>
      </c>
      <c r="F32" s="213"/>
      <c r="G32" s="213"/>
      <c r="H32" s="935"/>
      <c r="I32" s="1014"/>
      <c r="J32" s="1003"/>
      <c r="K32" s="935">
        <v>21</v>
      </c>
      <c r="L32" s="935" t="s">
        <v>924</v>
      </c>
      <c r="M32" s="935"/>
      <c r="N32" s="831">
        <f>'Kalkulation Herstellungskosten'!V274</f>
        <v>0</v>
      </c>
      <c r="O32" s="212"/>
      <c r="P32" s="212"/>
      <c r="Q32" s="212"/>
      <c r="R32" s="212"/>
      <c r="S32" s="212"/>
      <c r="T32" s="212"/>
      <c r="U32" s="212"/>
      <c r="V32" s="212"/>
      <c r="W32" s="212"/>
      <c r="X32" s="212"/>
      <c r="Y32" s="212"/>
      <c r="Z32" s="212"/>
      <c r="AA32" s="212"/>
      <c r="AB32" s="212"/>
      <c r="AC32" s="212"/>
      <c r="AD32" s="212"/>
      <c r="AE32" s="212"/>
      <c r="AF32" s="212"/>
      <c r="AG32" s="212"/>
      <c r="AH32" s="212"/>
      <c r="AI32" s="212"/>
      <c r="AJ32" s="212"/>
      <c r="AK32" s="212"/>
      <c r="AL32" s="212"/>
      <c r="AM32" s="212"/>
      <c r="AN32" s="212"/>
      <c r="AO32" s="212"/>
      <c r="AP32" s="212"/>
      <c r="AQ32" s="212"/>
      <c r="AR32" s="212"/>
      <c r="AS32" s="212"/>
      <c r="AT32" s="212"/>
      <c r="AU32" s="212"/>
      <c r="AV32" s="212"/>
      <c r="AW32" s="212"/>
      <c r="AX32" s="212"/>
      <c r="AY32" s="212"/>
      <c r="AZ32" s="448"/>
      <c r="BA32" s="448"/>
    </row>
    <row r="33" spans="1:53" ht="17.25" customHeight="1" x14ac:dyDescent="0.2">
      <c r="A33" s="1225" t="s">
        <v>1217</v>
      </c>
      <c r="B33" s="1225"/>
      <c r="C33" s="1225"/>
      <c r="D33" s="1225"/>
      <c r="E33" s="831">
        <f>'Kalkulation Herstellungskosten'!E276</f>
        <v>0</v>
      </c>
      <c r="F33" s="213"/>
      <c r="G33" s="213"/>
      <c r="H33" s="935"/>
      <c r="I33" s="1014"/>
      <c r="J33" s="1003"/>
      <c r="K33" s="935">
        <v>22</v>
      </c>
      <c r="L33" s="935" t="s">
        <v>925</v>
      </c>
      <c r="M33" s="935"/>
      <c r="N33" s="831">
        <f>'Kalkulation Herstellungskosten'!V276</f>
        <v>0</v>
      </c>
      <c r="O33" s="212"/>
      <c r="P33" s="212"/>
      <c r="Q33" s="212"/>
      <c r="R33" s="212"/>
      <c r="S33" s="212"/>
      <c r="T33" s="212"/>
      <c r="U33" s="212"/>
      <c r="V33" s="212"/>
      <c r="W33" s="212"/>
      <c r="X33" s="212"/>
      <c r="Y33" s="212"/>
      <c r="Z33" s="212"/>
      <c r="AA33" s="212"/>
      <c r="AB33" s="212"/>
      <c r="AC33" s="212"/>
      <c r="AD33" s="212"/>
      <c r="AE33" s="212"/>
      <c r="AF33" s="212"/>
      <c r="AG33" s="212"/>
      <c r="AH33" s="212"/>
      <c r="AI33" s="212"/>
      <c r="AJ33" s="212"/>
      <c r="AK33" s="212"/>
      <c r="AL33" s="212"/>
      <c r="AM33" s="212"/>
      <c r="AN33" s="212"/>
      <c r="AO33" s="212"/>
      <c r="AP33" s="212"/>
      <c r="AQ33" s="212"/>
      <c r="AR33" s="212"/>
      <c r="AS33" s="212"/>
      <c r="AT33" s="212"/>
      <c r="AU33" s="212"/>
      <c r="AV33" s="212"/>
      <c r="AW33" s="212"/>
      <c r="AX33" s="212"/>
      <c r="AY33" s="212"/>
      <c r="AZ33" s="448"/>
      <c r="BA33" s="448"/>
    </row>
    <row r="34" spans="1:53" ht="10.5" customHeight="1" x14ac:dyDescent="0.2">
      <c r="A34" s="935"/>
      <c r="B34" s="935"/>
      <c r="C34" s="1014"/>
      <c r="D34" s="1016"/>
      <c r="E34" s="1016"/>
      <c r="F34" s="213"/>
      <c r="G34" s="213"/>
      <c r="H34" s="935"/>
      <c r="I34" s="1014"/>
      <c r="J34" s="1003"/>
      <c r="K34" s="935">
        <v>23</v>
      </c>
      <c r="L34" s="935" t="s">
        <v>944</v>
      </c>
      <c r="M34" s="935"/>
      <c r="N34" s="1311"/>
      <c r="O34" s="212"/>
      <c r="P34" s="212"/>
      <c r="Q34" s="212"/>
      <c r="R34" s="212"/>
      <c r="S34" s="212"/>
      <c r="T34" s="212"/>
      <c r="U34" s="212"/>
      <c r="V34" s="212"/>
      <c r="W34" s="212"/>
      <c r="X34" s="212"/>
      <c r="Y34" s="212"/>
      <c r="Z34" s="212"/>
      <c r="AA34" s="212"/>
      <c r="AB34" s="212"/>
      <c r="AC34" s="212"/>
      <c r="AD34" s="212"/>
      <c r="AE34" s="212"/>
      <c r="AF34" s="212"/>
      <c r="AG34" s="212"/>
      <c r="AH34" s="212"/>
      <c r="AI34" s="212"/>
      <c r="AJ34" s="212"/>
      <c r="AK34" s="212"/>
      <c r="AL34" s="212"/>
      <c r="AM34" s="212"/>
      <c r="AN34" s="212"/>
      <c r="AO34" s="212"/>
      <c r="AP34" s="212"/>
      <c r="AQ34" s="212"/>
      <c r="AR34" s="212"/>
      <c r="AS34" s="212"/>
      <c r="AT34" s="212"/>
      <c r="AU34" s="212"/>
      <c r="AV34" s="212"/>
      <c r="AW34" s="212"/>
      <c r="AX34" s="212"/>
      <c r="AY34" s="212"/>
      <c r="AZ34" s="212"/>
      <c r="BA34" s="448"/>
    </row>
    <row r="35" spans="1:53" ht="18" customHeight="1" x14ac:dyDescent="0.2">
      <c r="A35" s="1092" t="s">
        <v>1212</v>
      </c>
      <c r="B35" s="1092"/>
      <c r="C35" s="1092"/>
      <c r="D35" s="1092"/>
      <c r="E35" s="1305">
        <f>SUM(E31:E34)</f>
        <v>0</v>
      </c>
      <c r="F35" s="213"/>
      <c r="G35" s="213"/>
      <c r="H35" s="935"/>
      <c r="I35" s="1014"/>
      <c r="J35" s="1003"/>
      <c r="K35" s="935">
        <v>24</v>
      </c>
      <c r="L35" s="935" t="s">
        <v>606</v>
      </c>
      <c r="M35" s="935"/>
      <c r="N35" s="1305">
        <f>SUM(N32:N34)</f>
        <v>0</v>
      </c>
      <c r="O35" s="212"/>
      <c r="P35" s="212"/>
      <c r="Q35" s="212"/>
      <c r="R35" s="212"/>
      <c r="S35" s="212"/>
      <c r="T35" s="212"/>
      <c r="U35" s="212"/>
      <c r="V35" s="212"/>
      <c r="W35" s="212"/>
      <c r="X35" s="212"/>
      <c r="Y35" s="212"/>
      <c r="Z35" s="212"/>
      <c r="AA35" s="212"/>
      <c r="AB35" s="212"/>
      <c r="AC35" s="212"/>
      <c r="AD35" s="212"/>
      <c r="AE35" s="212"/>
      <c r="AF35" s="212"/>
      <c r="AG35" s="212"/>
      <c r="AH35" s="212"/>
      <c r="AI35" s="212"/>
      <c r="AJ35" s="212"/>
      <c r="AK35" s="212"/>
      <c r="AL35" s="212"/>
      <c r="AM35" s="212"/>
      <c r="AN35" s="212"/>
      <c r="AO35" s="212"/>
      <c r="AP35" s="212"/>
      <c r="AQ35" s="212"/>
      <c r="AR35" s="212"/>
      <c r="AS35" s="212"/>
      <c r="AT35" s="212"/>
      <c r="AU35" s="212"/>
      <c r="AV35" s="212"/>
      <c r="AW35" s="212"/>
      <c r="AX35" s="212"/>
      <c r="AY35" s="212"/>
      <c r="AZ35" s="212"/>
      <c r="BA35" s="448"/>
    </row>
    <row r="36" spans="1:53" ht="21" customHeight="1" x14ac:dyDescent="0.2">
      <c r="A36" s="1295" t="s">
        <v>1214</v>
      </c>
      <c r="B36" s="935"/>
      <c r="C36" s="1014"/>
      <c r="D36" s="1016"/>
      <c r="E36" s="1016"/>
      <c r="F36" s="213"/>
      <c r="G36" s="213"/>
      <c r="H36" s="935"/>
      <c r="I36" s="1014"/>
      <c r="J36" s="1003"/>
      <c r="K36" s="935">
        <v>25</v>
      </c>
      <c r="L36" s="935" t="s">
        <v>719</v>
      </c>
      <c r="M36" s="935"/>
      <c r="N36" s="935"/>
      <c r="O36" s="212"/>
      <c r="P36" s="212"/>
      <c r="Q36" s="212"/>
      <c r="R36" s="212"/>
      <c r="S36" s="212"/>
      <c r="T36" s="212"/>
      <c r="U36" s="212"/>
      <c r="V36" s="212"/>
      <c r="W36" s="212"/>
      <c r="X36" s="212"/>
      <c r="Y36" s="212"/>
      <c r="Z36" s="212"/>
      <c r="AA36" s="212"/>
      <c r="AB36" s="212"/>
      <c r="AC36" s="212"/>
      <c r="AD36" s="212"/>
      <c r="AE36" s="212"/>
      <c r="AF36" s="212"/>
      <c r="AG36" s="212"/>
      <c r="AH36" s="212"/>
      <c r="AI36" s="212"/>
      <c r="AJ36" s="212"/>
      <c r="AK36" s="212"/>
      <c r="AL36" s="212"/>
      <c r="AM36" s="212"/>
      <c r="AN36" s="212"/>
      <c r="AO36" s="212"/>
      <c r="AP36" s="212"/>
      <c r="AQ36" s="212"/>
      <c r="AR36" s="212"/>
      <c r="AS36" s="212"/>
      <c r="AT36" s="212"/>
      <c r="AU36" s="212"/>
      <c r="AV36" s="212"/>
      <c r="AW36" s="212"/>
      <c r="AX36" s="212"/>
      <c r="AY36" s="212"/>
      <c r="AZ36" s="212"/>
      <c r="BA36" s="448"/>
    </row>
    <row r="37" spans="1:53" ht="18" customHeight="1" x14ac:dyDescent="0.2">
      <c r="A37" s="1297" t="s">
        <v>1213</v>
      </c>
      <c r="B37" s="935"/>
      <c r="C37" s="1014"/>
      <c r="D37" s="1016"/>
      <c r="E37" s="1016"/>
      <c r="F37" s="213"/>
      <c r="G37" s="213"/>
      <c r="H37" s="935"/>
      <c r="I37" s="1014"/>
      <c r="J37" s="1003"/>
      <c r="K37" s="935">
        <v>26</v>
      </c>
      <c r="L37" s="935" t="s">
        <v>587</v>
      </c>
      <c r="M37" s="935"/>
      <c r="N37" s="935"/>
      <c r="O37" s="212"/>
      <c r="P37" s="212"/>
      <c r="Q37" s="212"/>
      <c r="R37" s="212"/>
      <c r="S37" s="212"/>
      <c r="T37" s="212"/>
      <c r="U37" s="212"/>
      <c r="V37" s="212"/>
      <c r="W37" s="212"/>
      <c r="X37" s="212"/>
      <c r="Y37" s="212"/>
      <c r="Z37" s="212"/>
      <c r="AA37" s="212"/>
      <c r="AB37" s="212"/>
      <c r="AC37" s="212"/>
      <c r="AD37" s="212"/>
      <c r="AE37" s="212"/>
      <c r="AF37" s="212"/>
      <c r="AG37" s="212"/>
      <c r="AH37" s="212"/>
      <c r="AI37" s="212"/>
      <c r="AJ37" s="212"/>
      <c r="AK37" s="212"/>
      <c r="AL37" s="212"/>
      <c r="AM37" s="212"/>
      <c r="AN37" s="212"/>
      <c r="AO37" s="212"/>
      <c r="AP37" s="212"/>
      <c r="AQ37" s="212"/>
      <c r="AR37" s="212"/>
      <c r="AS37" s="212"/>
      <c r="AT37" s="212"/>
      <c r="AU37" s="212"/>
      <c r="AV37" s="212"/>
      <c r="AW37" s="212"/>
      <c r="AX37" s="212"/>
      <c r="AY37" s="212"/>
      <c r="AZ37" s="212"/>
      <c r="BA37" s="448"/>
    </row>
    <row r="38" spans="1:53" ht="21" customHeight="1" x14ac:dyDescent="0.2">
      <c r="A38" s="935"/>
      <c r="B38" s="935"/>
      <c r="C38" s="1014"/>
      <c r="D38" s="1016"/>
      <c r="E38" s="1016"/>
      <c r="F38" s="213"/>
      <c r="G38" s="213"/>
      <c r="H38" s="935"/>
      <c r="I38" s="1014"/>
      <c r="J38" s="1003"/>
      <c r="K38" s="935">
        <v>27</v>
      </c>
      <c r="L38" s="935" t="s">
        <v>1226</v>
      </c>
      <c r="M38" s="935"/>
      <c r="N38" s="935"/>
      <c r="O38" s="212"/>
      <c r="P38" s="212"/>
      <c r="Q38" s="212"/>
      <c r="R38" s="212"/>
      <c r="S38" s="212"/>
      <c r="T38" s="212"/>
      <c r="U38" s="212"/>
      <c r="V38" s="212"/>
      <c r="W38" s="212"/>
      <c r="X38" s="212"/>
      <c r="Y38" s="212"/>
      <c r="Z38" s="212"/>
      <c r="AA38" s="212"/>
      <c r="AB38" s="212"/>
      <c r="AC38" s="212"/>
      <c r="AD38" s="212"/>
      <c r="AE38" s="212"/>
      <c r="AF38" s="212"/>
      <c r="AG38" s="212"/>
      <c r="AH38" s="212"/>
      <c r="AI38" s="212"/>
      <c r="AJ38" s="212"/>
      <c r="AK38" s="212"/>
      <c r="AL38" s="212"/>
      <c r="AM38" s="212"/>
      <c r="AN38" s="212"/>
      <c r="AO38" s="212"/>
      <c r="AP38" s="212"/>
      <c r="AQ38" s="212"/>
      <c r="AR38" s="212"/>
      <c r="AS38" s="212"/>
      <c r="AT38" s="212"/>
      <c r="AU38" s="212"/>
      <c r="AV38" s="212"/>
      <c r="AW38" s="212"/>
      <c r="AX38" s="212"/>
      <c r="AY38" s="212"/>
      <c r="AZ38" s="212"/>
      <c r="BA38" s="448"/>
    </row>
    <row r="39" spans="1:53" ht="18" customHeight="1" x14ac:dyDescent="0.2">
      <c r="A39" s="1237" t="s">
        <v>1222</v>
      </c>
      <c r="B39" s="935"/>
      <c r="C39" s="1014"/>
      <c r="D39" s="1016"/>
      <c r="E39" s="1016"/>
      <c r="F39" s="213"/>
      <c r="G39" s="213"/>
      <c r="H39" s="935"/>
      <c r="I39" s="1014"/>
      <c r="J39" s="1003"/>
      <c r="K39" s="935">
        <v>28</v>
      </c>
      <c r="L39" s="935" t="s">
        <v>608</v>
      </c>
      <c r="M39" s="935"/>
      <c r="N39" s="935"/>
      <c r="O39" s="212"/>
      <c r="P39" s="212"/>
      <c r="Q39" s="212"/>
      <c r="R39" s="212"/>
      <c r="S39" s="212"/>
      <c r="T39" s="212"/>
      <c r="U39" s="212"/>
      <c r="V39" s="212"/>
      <c r="W39" s="212"/>
      <c r="X39" s="212"/>
      <c r="Y39" s="212"/>
      <c r="Z39" s="212"/>
      <c r="AA39" s="212"/>
      <c r="AB39" s="212"/>
      <c r="AC39" s="212"/>
      <c r="AD39" s="212"/>
      <c r="AE39" s="212"/>
      <c r="AF39" s="212"/>
      <c r="AG39" s="212"/>
      <c r="AH39" s="212"/>
      <c r="AI39" s="212"/>
      <c r="AJ39" s="212"/>
      <c r="AK39" s="212"/>
      <c r="AL39" s="212"/>
      <c r="AM39" s="212"/>
      <c r="AN39" s="212"/>
      <c r="AO39" s="212"/>
      <c r="AP39" s="212"/>
      <c r="AQ39" s="212"/>
      <c r="AR39" s="212"/>
      <c r="AS39" s="212"/>
      <c r="AT39" s="212"/>
      <c r="AU39" s="212"/>
      <c r="AV39" s="212"/>
      <c r="AW39" s="212"/>
      <c r="AX39" s="212"/>
      <c r="AY39" s="212"/>
      <c r="AZ39" s="212"/>
      <c r="BA39" s="448"/>
    </row>
    <row r="40" spans="1:53" ht="10.5" customHeight="1" thickBot="1" x14ac:dyDescent="0.25">
      <c r="A40" s="935"/>
      <c r="B40" s="935"/>
      <c r="C40" s="1014"/>
      <c r="D40" s="1016"/>
      <c r="E40" s="1016"/>
      <c r="F40" s="213"/>
      <c r="G40" s="213"/>
      <c r="H40" s="935"/>
      <c r="I40" s="1014"/>
      <c r="J40" s="1003"/>
      <c r="K40" s="935">
        <v>29</v>
      </c>
      <c r="L40" s="935" t="s">
        <v>917</v>
      </c>
      <c r="M40" s="935"/>
      <c r="N40" s="935"/>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12"/>
      <c r="AT40" s="212"/>
      <c r="AU40" s="212"/>
      <c r="AV40" s="212"/>
      <c r="AW40" s="212"/>
      <c r="AX40" s="212"/>
      <c r="AY40" s="212"/>
      <c r="AZ40" s="212"/>
      <c r="BA40" s="448"/>
    </row>
    <row r="41" spans="1:53" ht="30.6" customHeight="1" thickBot="1" x14ac:dyDescent="0.25">
      <c r="A41" s="935"/>
      <c r="B41" s="935"/>
      <c r="C41" s="1462" t="s">
        <v>1218</v>
      </c>
      <c r="D41" s="1463"/>
      <c r="E41" s="1016"/>
      <c r="F41" s="213"/>
      <c r="G41" s="213"/>
      <c r="H41" s="935"/>
      <c r="I41" s="1014"/>
      <c r="J41" s="1003"/>
      <c r="K41" s="935">
        <v>30</v>
      </c>
      <c r="L41" s="935" t="s">
        <v>590</v>
      </c>
      <c r="M41" s="935"/>
      <c r="N41" s="935"/>
      <c r="O41" s="212"/>
      <c r="P41" s="212"/>
      <c r="Q41" s="212"/>
      <c r="R41" s="212"/>
      <c r="S41" s="212"/>
      <c r="T41" s="212"/>
      <c r="U41" s="212"/>
      <c r="V41" s="212"/>
      <c r="W41" s="212"/>
      <c r="X41" s="212"/>
      <c r="Y41" s="212"/>
      <c r="Z41" s="212"/>
      <c r="AA41" s="212"/>
      <c r="AB41" s="212"/>
      <c r="AC41" s="212"/>
      <c r="AD41" s="212"/>
      <c r="AE41" s="212"/>
      <c r="AF41" s="212"/>
      <c r="AG41" s="212"/>
      <c r="AH41" s="212"/>
      <c r="AI41" s="212"/>
      <c r="AJ41" s="212"/>
      <c r="AK41" s="212"/>
      <c r="AL41" s="212"/>
      <c r="AM41" s="212"/>
      <c r="AN41" s="212"/>
      <c r="AO41" s="212"/>
      <c r="AP41" s="212"/>
      <c r="AQ41" s="212"/>
      <c r="AR41" s="212"/>
      <c r="AS41" s="212"/>
      <c r="AT41" s="212"/>
      <c r="AU41" s="212"/>
      <c r="AV41" s="212"/>
      <c r="AW41" s="212"/>
      <c r="AX41" s="212"/>
      <c r="AY41" s="212"/>
      <c r="AZ41" s="212"/>
      <c r="BA41" s="448"/>
    </row>
    <row r="42" spans="1:53" ht="18" customHeight="1" x14ac:dyDescent="0.2">
      <c r="A42" s="1013"/>
      <c r="B42" s="1225"/>
      <c r="C42" s="1298" t="s">
        <v>1219</v>
      </c>
      <c r="D42" s="1299"/>
      <c r="E42" s="1304"/>
      <c r="F42" s="213"/>
      <c r="G42" s="213"/>
      <c r="H42" s="935"/>
      <c r="I42" s="1014"/>
      <c r="J42" s="1003"/>
      <c r="K42" s="935">
        <v>31</v>
      </c>
      <c r="L42" s="935" t="s">
        <v>591</v>
      </c>
      <c r="M42" s="935"/>
      <c r="N42" s="801"/>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c r="AM42" s="212"/>
      <c r="AN42" s="212"/>
      <c r="AO42" s="212"/>
      <c r="AP42" s="212"/>
      <c r="AQ42" s="212"/>
      <c r="AR42" s="212"/>
      <c r="AS42" s="212"/>
      <c r="AT42" s="212"/>
      <c r="AU42" s="212"/>
      <c r="AV42" s="212"/>
      <c r="AW42" s="212"/>
      <c r="AX42" s="212"/>
      <c r="AY42" s="212"/>
      <c r="AZ42" s="212"/>
      <c r="BA42" s="448"/>
    </row>
    <row r="43" spans="1:53" ht="18" customHeight="1" x14ac:dyDescent="0.2">
      <c r="A43" s="1013"/>
      <c r="B43" s="1225"/>
      <c r="C43" s="1300" t="s">
        <v>1219</v>
      </c>
      <c r="D43" s="1301"/>
      <c r="E43" s="1304"/>
      <c r="F43" s="213"/>
      <c r="G43" s="213"/>
      <c r="H43" s="935"/>
      <c r="I43" s="1014"/>
      <c r="J43" s="1003"/>
      <c r="K43" s="935">
        <v>32</v>
      </c>
      <c r="L43" s="935" t="s">
        <v>947</v>
      </c>
      <c r="M43" s="935"/>
      <c r="N43" s="801"/>
      <c r="O43" s="212"/>
      <c r="P43" s="212"/>
      <c r="Q43" s="212"/>
      <c r="R43" s="212"/>
      <c r="S43" s="212"/>
      <c r="T43" s="212"/>
      <c r="U43" s="212"/>
      <c r="V43" s="212"/>
      <c r="W43" s="212"/>
      <c r="X43" s="212"/>
      <c r="Y43" s="212"/>
      <c r="Z43" s="212"/>
      <c r="AA43" s="212"/>
      <c r="AB43" s="212"/>
      <c r="AC43" s="212"/>
      <c r="AD43" s="212"/>
      <c r="AE43" s="212"/>
      <c r="AF43" s="212"/>
      <c r="AG43" s="212"/>
      <c r="AH43" s="212"/>
      <c r="AI43" s="212"/>
      <c r="AJ43" s="212"/>
      <c r="AK43" s="212"/>
      <c r="AL43" s="212"/>
      <c r="AM43" s="212"/>
      <c r="AN43" s="212"/>
      <c r="AO43" s="212"/>
      <c r="AP43" s="212"/>
      <c r="AQ43" s="212"/>
      <c r="AR43" s="212"/>
      <c r="AS43" s="212"/>
      <c r="AT43" s="212"/>
      <c r="AU43" s="212"/>
      <c r="AV43" s="212"/>
      <c r="AW43" s="212"/>
      <c r="AX43" s="212"/>
      <c r="AY43" s="212"/>
      <c r="AZ43" s="212"/>
      <c r="BA43" s="448"/>
    </row>
    <row r="44" spans="1:53" ht="18" customHeight="1" x14ac:dyDescent="0.2">
      <c r="A44" s="1013"/>
      <c r="B44" s="1225"/>
      <c r="C44" s="1300" t="s">
        <v>1219</v>
      </c>
      <c r="D44" s="1301"/>
      <c r="E44" s="1304"/>
      <c r="F44" s="213"/>
      <c r="G44" s="213"/>
      <c r="H44" s="935"/>
      <c r="I44" s="1014"/>
      <c r="J44" s="1003"/>
      <c r="K44" s="935">
        <v>33</v>
      </c>
      <c r="L44" s="935" t="s">
        <v>532</v>
      </c>
      <c r="M44" s="935"/>
      <c r="N44" s="801"/>
      <c r="O44" s="212"/>
      <c r="P44" s="212"/>
      <c r="Q44" s="212"/>
      <c r="R44" s="212"/>
      <c r="S44" s="212"/>
      <c r="T44" s="212"/>
      <c r="U44" s="212"/>
      <c r="V44" s="212"/>
      <c r="W44" s="212"/>
      <c r="X44" s="212"/>
      <c r="Y44" s="212"/>
      <c r="Z44" s="212"/>
      <c r="AA44" s="212"/>
      <c r="AB44" s="212"/>
      <c r="AC44" s="212"/>
      <c r="AD44" s="212"/>
      <c r="AE44" s="212"/>
      <c r="AF44" s="212"/>
      <c r="AG44" s="212"/>
      <c r="AH44" s="212"/>
      <c r="AI44" s="212"/>
      <c r="AJ44" s="212"/>
      <c r="AK44" s="212"/>
      <c r="AL44" s="212"/>
      <c r="AM44" s="212"/>
      <c r="AN44" s="212"/>
      <c r="AO44" s="212"/>
      <c r="AP44" s="212"/>
      <c r="AQ44" s="212"/>
      <c r="AR44" s="212"/>
      <c r="AS44" s="212"/>
      <c r="AT44" s="212"/>
      <c r="AU44" s="212"/>
      <c r="AV44" s="212"/>
      <c r="AW44" s="212"/>
      <c r="AX44" s="212"/>
      <c r="AY44" s="212"/>
      <c r="AZ44" s="212"/>
      <c r="BA44" s="448"/>
    </row>
    <row r="45" spans="1:53" ht="17.25" customHeight="1" x14ac:dyDescent="0.2">
      <c r="A45" s="1013"/>
      <c r="B45" s="1225"/>
      <c r="C45" s="1300" t="s">
        <v>1219</v>
      </c>
      <c r="D45" s="1301"/>
      <c r="E45" s="1304"/>
      <c r="F45" s="213"/>
      <c r="G45" s="213"/>
      <c r="H45" s="935"/>
      <c r="I45" s="1014"/>
      <c r="J45" s="1003"/>
      <c r="K45" s="935">
        <v>34</v>
      </c>
      <c r="L45" s="935" t="s">
        <v>126</v>
      </c>
      <c r="M45" s="935"/>
      <c r="N45" s="801"/>
      <c r="O45" s="212"/>
      <c r="P45" s="212"/>
      <c r="Q45" s="212"/>
      <c r="R45" s="212"/>
      <c r="S45" s="212"/>
      <c r="T45" s="212"/>
      <c r="U45" s="212"/>
      <c r="V45" s="212"/>
      <c r="W45" s="212"/>
      <c r="X45" s="212"/>
      <c r="Y45" s="212"/>
      <c r="Z45" s="212"/>
      <c r="AA45" s="212"/>
      <c r="AB45" s="212"/>
      <c r="AC45" s="212"/>
      <c r="AD45" s="212"/>
      <c r="AE45" s="212"/>
      <c r="AF45" s="212"/>
      <c r="AG45" s="212"/>
      <c r="AH45" s="212"/>
      <c r="AI45" s="212"/>
      <c r="AJ45" s="212"/>
      <c r="AK45" s="212"/>
      <c r="AL45" s="212"/>
      <c r="AM45" s="212"/>
      <c r="AN45" s="212"/>
      <c r="AO45" s="212"/>
      <c r="AP45" s="212"/>
      <c r="AQ45" s="212"/>
      <c r="AR45" s="212"/>
      <c r="AS45" s="212"/>
      <c r="AT45" s="212"/>
      <c r="AU45" s="212"/>
      <c r="AV45" s="212"/>
      <c r="AW45" s="212"/>
      <c r="AX45" s="212"/>
      <c r="AY45" s="212"/>
      <c r="AZ45" s="212"/>
      <c r="BA45" s="448"/>
    </row>
    <row r="46" spans="1:53" ht="17.25" customHeight="1" x14ac:dyDescent="0.2">
      <c r="A46" s="1013"/>
      <c r="B46" s="1225"/>
      <c r="C46" s="1300" t="s">
        <v>1219</v>
      </c>
      <c r="D46" s="1301"/>
      <c r="E46" s="1304"/>
      <c r="F46" s="213"/>
      <c r="G46" s="213"/>
      <c r="H46" s="935"/>
      <c r="I46" s="1014"/>
      <c r="J46" s="1003"/>
      <c r="K46" s="935">
        <v>35</v>
      </c>
      <c r="L46" s="935" t="s">
        <v>588</v>
      </c>
      <c r="M46" s="935"/>
      <c r="N46" s="801"/>
      <c r="O46" s="212"/>
      <c r="P46" s="212"/>
      <c r="Q46" s="212"/>
      <c r="R46" s="212"/>
      <c r="S46" s="212"/>
      <c r="T46" s="212"/>
      <c r="U46" s="212"/>
      <c r="V46" s="212"/>
      <c r="W46" s="212"/>
      <c r="X46" s="212"/>
      <c r="Y46" s="212"/>
      <c r="Z46" s="212"/>
      <c r="AA46" s="212"/>
      <c r="AB46" s="212"/>
      <c r="AC46" s="212"/>
      <c r="AD46" s="212"/>
      <c r="AE46" s="212"/>
      <c r="AF46" s="212"/>
      <c r="AG46" s="212"/>
      <c r="AH46" s="212"/>
      <c r="AI46" s="212"/>
      <c r="AJ46" s="212"/>
      <c r="AK46" s="212"/>
      <c r="AL46" s="212"/>
      <c r="AM46" s="212"/>
      <c r="AN46" s="212"/>
      <c r="AO46" s="212"/>
      <c r="AP46" s="212"/>
      <c r="AQ46" s="212"/>
      <c r="AR46" s="212"/>
      <c r="AS46" s="212"/>
      <c r="AT46" s="212"/>
      <c r="AU46" s="212"/>
      <c r="AV46" s="212"/>
      <c r="AW46" s="212"/>
      <c r="AX46" s="212"/>
      <c r="AY46" s="212"/>
      <c r="AZ46" s="212"/>
      <c r="BA46" s="448"/>
    </row>
    <row r="47" spans="1:53" ht="17.25" customHeight="1" thickBot="1" x14ac:dyDescent="0.25">
      <c r="A47" s="1013"/>
      <c r="B47" s="1225"/>
      <c r="C47" s="1302" t="s">
        <v>1219</v>
      </c>
      <c r="D47" s="1303"/>
      <c r="E47" s="1304"/>
      <c r="F47" s="213"/>
      <c r="G47" s="213"/>
      <c r="H47" s="935"/>
      <c r="I47" s="1014"/>
      <c r="J47" s="1003"/>
      <c r="K47" s="935">
        <v>36</v>
      </c>
      <c r="L47" s="935" t="s">
        <v>589</v>
      </c>
      <c r="M47" s="935"/>
      <c r="N47" s="801"/>
      <c r="O47" s="212"/>
      <c r="P47" s="212"/>
      <c r="Q47" s="212"/>
      <c r="R47" s="212"/>
      <c r="S47" s="212"/>
      <c r="T47" s="212"/>
      <c r="U47" s="212"/>
      <c r="V47" s="212"/>
      <c r="W47" s="212"/>
      <c r="X47" s="212"/>
      <c r="Y47" s="212"/>
      <c r="Z47" s="212"/>
      <c r="AA47" s="212"/>
      <c r="AB47" s="212"/>
      <c r="AC47" s="212"/>
      <c r="AD47" s="212"/>
      <c r="AE47" s="212"/>
      <c r="AF47" s="212"/>
      <c r="AG47" s="212"/>
      <c r="AH47" s="212"/>
      <c r="AI47" s="212"/>
      <c r="AJ47" s="212"/>
      <c r="AK47" s="212"/>
      <c r="AL47" s="212"/>
      <c r="AM47" s="212"/>
      <c r="AN47" s="212"/>
      <c r="AO47" s="212"/>
      <c r="AP47" s="212"/>
      <c r="AQ47" s="212"/>
      <c r="AR47" s="212"/>
      <c r="AS47" s="212"/>
      <c r="AT47" s="212"/>
      <c r="AU47" s="212"/>
      <c r="AV47" s="212"/>
      <c r="AW47" s="212"/>
      <c r="AX47" s="212"/>
      <c r="AY47" s="212"/>
      <c r="AZ47" s="212"/>
      <c r="BA47" s="448"/>
    </row>
    <row r="48" spans="1:53" ht="10.5" customHeight="1" x14ac:dyDescent="0.2">
      <c r="A48" s="935"/>
      <c r="B48" s="935"/>
      <c r="C48" s="1014"/>
      <c r="D48" s="1016"/>
      <c r="E48" s="1016"/>
      <c r="F48" s="213"/>
      <c r="G48" s="213"/>
      <c r="H48" s="935"/>
      <c r="I48" s="1014"/>
      <c r="J48" s="1003"/>
      <c r="K48" s="935">
        <v>37</v>
      </c>
      <c r="L48" s="935" t="s">
        <v>919</v>
      </c>
      <c r="M48" s="935"/>
      <c r="N48" s="935"/>
      <c r="O48" s="212"/>
      <c r="P48" s="212"/>
      <c r="Q48" s="212"/>
      <c r="R48" s="212"/>
      <c r="S48" s="212"/>
      <c r="T48" s="212"/>
      <c r="U48" s="212"/>
      <c r="V48" s="212"/>
      <c r="W48" s="212"/>
      <c r="X48" s="212"/>
      <c r="Y48" s="212"/>
      <c r="Z48" s="212"/>
      <c r="AA48" s="212"/>
      <c r="AB48" s="212"/>
      <c r="AC48" s="212"/>
      <c r="AD48" s="212"/>
      <c r="AE48" s="212"/>
      <c r="AF48" s="212"/>
      <c r="AG48" s="212"/>
      <c r="AH48" s="212"/>
      <c r="AI48" s="212"/>
      <c r="AJ48" s="212"/>
      <c r="AK48" s="212"/>
      <c r="AL48" s="212"/>
      <c r="AM48" s="212"/>
      <c r="AN48" s="212"/>
      <c r="AO48" s="212"/>
      <c r="AP48" s="212"/>
      <c r="AQ48" s="212"/>
      <c r="AR48" s="212"/>
      <c r="AS48" s="212"/>
      <c r="AT48" s="212"/>
      <c r="AU48" s="212"/>
      <c r="AV48" s="212"/>
      <c r="AW48" s="212"/>
      <c r="AX48" s="212"/>
      <c r="AY48" s="212"/>
      <c r="AZ48" s="212"/>
      <c r="BA48" s="448"/>
    </row>
    <row r="49" spans="1:53" ht="18" customHeight="1" x14ac:dyDescent="0.2">
      <c r="A49" s="1092" t="s">
        <v>1220</v>
      </c>
      <c r="B49" s="1092"/>
      <c r="C49" s="1092"/>
      <c r="D49" s="1092"/>
      <c r="E49" s="1305">
        <f>SUM(E42:E48)</f>
        <v>0</v>
      </c>
      <c r="F49" s="213"/>
      <c r="G49" s="213"/>
      <c r="H49" s="935"/>
      <c r="I49" s="1014"/>
      <c r="J49" s="1003"/>
      <c r="K49" s="935">
        <v>38</v>
      </c>
      <c r="L49" s="935" t="s">
        <v>125</v>
      </c>
      <c r="M49" s="935"/>
      <c r="N49" s="1305">
        <f>SUM(N42:N48)</f>
        <v>0</v>
      </c>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12"/>
      <c r="AT49" s="212"/>
      <c r="AU49" s="212"/>
      <c r="AV49" s="212"/>
      <c r="AW49" s="212"/>
      <c r="AX49" s="212"/>
      <c r="AY49" s="212"/>
      <c r="AZ49" s="212"/>
      <c r="BA49" s="448"/>
    </row>
    <row r="50" spans="1:53" ht="21" customHeight="1" x14ac:dyDescent="0.2">
      <c r="A50" s="1295" t="s">
        <v>1221</v>
      </c>
      <c r="B50" s="935"/>
      <c r="C50" s="1014"/>
      <c r="D50" s="1016"/>
      <c r="E50" s="1016"/>
      <c r="F50" s="213"/>
      <c r="G50" s="213"/>
      <c r="H50" s="935"/>
      <c r="I50" s="1014"/>
      <c r="J50" s="1003"/>
      <c r="K50" s="935">
        <v>39</v>
      </c>
      <c r="L50" s="935" t="s">
        <v>616</v>
      </c>
      <c r="M50" s="935"/>
      <c r="N50" s="935"/>
      <c r="O50" s="212"/>
      <c r="P50" s="212"/>
      <c r="Q50" s="212"/>
      <c r="R50" s="212"/>
      <c r="S50" s="212"/>
      <c r="T50" s="212"/>
      <c r="U50" s="212"/>
      <c r="V50" s="212"/>
      <c r="W50" s="212"/>
      <c r="X50" s="212"/>
      <c r="Y50" s="212"/>
      <c r="Z50" s="212"/>
      <c r="AA50" s="212"/>
      <c r="AB50" s="212"/>
      <c r="AC50" s="212"/>
      <c r="AD50" s="212"/>
      <c r="AE50" s="212"/>
      <c r="AF50" s="212"/>
      <c r="AG50" s="212"/>
      <c r="AH50" s="212"/>
      <c r="AI50" s="212"/>
      <c r="AJ50" s="212"/>
      <c r="AK50" s="212"/>
      <c r="AL50" s="212"/>
      <c r="AM50" s="212"/>
      <c r="AN50" s="212"/>
      <c r="AO50" s="212"/>
      <c r="AP50" s="212"/>
      <c r="AQ50" s="212"/>
      <c r="AR50" s="212"/>
      <c r="AS50" s="212"/>
      <c r="AT50" s="212"/>
      <c r="AU50" s="212"/>
      <c r="AV50" s="212"/>
      <c r="AW50" s="212"/>
      <c r="AX50" s="212"/>
      <c r="AY50" s="212"/>
      <c r="AZ50" s="212"/>
      <c r="BA50" s="448"/>
    </row>
    <row r="51" spans="1:53" ht="16.5" customHeight="1" thickBot="1" x14ac:dyDescent="0.25">
      <c r="A51" s="935"/>
      <c r="B51" s="935"/>
      <c r="C51" s="1014"/>
      <c r="D51" s="1016"/>
      <c r="E51" s="213"/>
      <c r="F51" s="213"/>
      <c r="G51" s="213"/>
      <c r="H51" s="935"/>
      <c r="I51" s="1014"/>
      <c r="J51" s="1003"/>
      <c r="K51" s="935">
        <v>40</v>
      </c>
      <c r="L51" s="935" t="s">
        <v>615</v>
      </c>
      <c r="M51" s="935"/>
      <c r="N51" s="935"/>
      <c r="O51" s="212"/>
      <c r="P51" s="212"/>
      <c r="Q51" s="212"/>
      <c r="R51" s="212"/>
      <c r="S51" s="212"/>
      <c r="T51" s="212"/>
      <c r="U51" s="212"/>
      <c r="V51" s="212"/>
      <c r="W51" s="212"/>
      <c r="X51" s="212"/>
      <c r="Y51" s="212"/>
      <c r="Z51" s="212"/>
      <c r="AA51" s="212"/>
      <c r="AB51" s="212"/>
      <c r="AC51" s="212"/>
      <c r="AD51" s="212"/>
      <c r="AE51" s="212"/>
      <c r="AF51" s="212"/>
      <c r="AG51" s="212"/>
      <c r="AH51" s="212"/>
      <c r="AI51" s="212"/>
      <c r="AJ51" s="212"/>
      <c r="AK51" s="212"/>
      <c r="AL51" s="212"/>
      <c r="AM51" s="212"/>
      <c r="AN51" s="212"/>
      <c r="AO51" s="212"/>
      <c r="AP51" s="212"/>
      <c r="AQ51" s="212"/>
      <c r="AR51" s="212"/>
      <c r="AS51" s="212"/>
      <c r="AT51" s="212"/>
      <c r="AU51" s="212"/>
      <c r="AV51" s="212"/>
      <c r="AW51" s="212"/>
      <c r="AX51" s="212"/>
      <c r="AY51" s="212"/>
      <c r="AZ51" s="212"/>
      <c r="BA51" s="448"/>
    </row>
    <row r="52" spans="1:53" ht="18" customHeight="1" thickBot="1" x14ac:dyDescent="0.25">
      <c r="A52" s="1238" t="s">
        <v>797</v>
      </c>
      <c r="B52" s="1239"/>
      <c r="C52" s="1239"/>
      <c r="D52" s="1239"/>
      <c r="E52" s="1306">
        <f>SUM(E49,E35,E28)</f>
        <v>0</v>
      </c>
      <c r="F52" s="213"/>
      <c r="G52" s="213"/>
      <c r="H52" s="935"/>
      <c r="I52" s="1014"/>
      <c r="J52" s="1003"/>
      <c r="K52" s="935">
        <v>41</v>
      </c>
      <c r="L52" s="935" t="s">
        <v>938</v>
      </c>
      <c r="M52" s="935"/>
      <c r="N52" s="1306">
        <f>SUM(N49,N35,N28)</f>
        <v>0</v>
      </c>
      <c r="O52" s="212"/>
      <c r="P52" s="212"/>
      <c r="Q52" s="212"/>
      <c r="R52" s="212"/>
      <c r="S52" s="212"/>
      <c r="T52" s="212"/>
      <c r="U52" s="212"/>
      <c r="V52" s="212"/>
      <c r="W52" s="212"/>
      <c r="X52" s="212"/>
      <c r="Y52" s="212"/>
      <c r="Z52" s="212"/>
      <c r="AA52" s="212"/>
      <c r="AB52" s="212"/>
      <c r="AC52" s="212"/>
      <c r="AD52" s="212"/>
      <c r="AE52" s="212"/>
      <c r="AF52" s="212"/>
      <c r="AG52" s="212"/>
      <c r="AH52" s="212"/>
      <c r="AI52" s="212"/>
      <c r="AJ52" s="212"/>
      <c r="AK52" s="212"/>
      <c r="AL52" s="212"/>
      <c r="AM52" s="212"/>
      <c r="AN52" s="212"/>
      <c r="AO52" s="212"/>
      <c r="AP52" s="212"/>
      <c r="AQ52" s="212"/>
      <c r="AR52" s="212"/>
      <c r="AS52" s="212"/>
      <c r="AT52" s="212"/>
      <c r="AU52" s="212"/>
      <c r="AV52" s="212"/>
      <c r="AW52" s="212"/>
      <c r="AX52" s="212"/>
      <c r="AY52" s="212"/>
      <c r="AZ52" s="212"/>
      <c r="BA52" s="448"/>
    </row>
    <row r="53" spans="1:53" ht="18" customHeight="1" x14ac:dyDescent="0.2">
      <c r="A53" s="935"/>
      <c r="B53" s="935"/>
      <c r="C53" s="1014"/>
      <c r="D53" s="1016"/>
      <c r="E53" s="213"/>
      <c r="F53" s="213"/>
      <c r="G53" s="213"/>
      <c r="H53" s="935"/>
      <c r="I53" s="1014"/>
      <c r="J53" s="1003"/>
      <c r="K53" s="935">
        <v>42</v>
      </c>
      <c r="L53" s="935" t="s">
        <v>942</v>
      </c>
      <c r="M53" s="935"/>
      <c r="N53" s="935"/>
      <c r="O53" s="212"/>
      <c r="P53" s="212"/>
      <c r="Q53" s="212"/>
      <c r="R53" s="212"/>
      <c r="S53" s="212"/>
      <c r="T53" s="212"/>
      <c r="U53" s="212"/>
      <c r="V53" s="212"/>
      <c r="W53" s="212"/>
      <c r="X53" s="212"/>
      <c r="Y53" s="212"/>
      <c r="Z53" s="212"/>
      <c r="AA53" s="212"/>
      <c r="AB53" s="212"/>
      <c r="AC53" s="212"/>
      <c r="AD53" s="212"/>
      <c r="AE53" s="212"/>
      <c r="AF53" s="212"/>
      <c r="AG53" s="212"/>
      <c r="AH53" s="212"/>
      <c r="AI53" s="212"/>
      <c r="AJ53" s="212"/>
      <c r="AK53" s="212"/>
      <c r="AL53" s="212"/>
      <c r="AM53" s="212"/>
      <c r="AN53" s="212"/>
      <c r="AO53" s="212"/>
      <c r="AP53" s="212"/>
      <c r="AQ53" s="212"/>
      <c r="AR53" s="212"/>
      <c r="AS53" s="212"/>
      <c r="AT53" s="212"/>
      <c r="AU53" s="212"/>
      <c r="AV53" s="212"/>
      <c r="AW53" s="212"/>
      <c r="AX53" s="212"/>
      <c r="AY53" s="212"/>
      <c r="AZ53" s="212"/>
      <c r="BA53" s="448"/>
    </row>
    <row r="54" spans="1:53" ht="18" customHeight="1" x14ac:dyDescent="0.2">
      <c r="A54" s="935"/>
      <c r="B54" s="935"/>
      <c r="C54" s="1014"/>
      <c r="D54" s="1016"/>
      <c r="E54" s="213"/>
      <c r="F54" s="213"/>
      <c r="G54" s="213"/>
      <c r="H54" s="935"/>
      <c r="I54" s="1014"/>
      <c r="J54" s="1003"/>
      <c r="K54" s="935">
        <v>43</v>
      </c>
      <c r="L54" s="935" t="s">
        <v>921</v>
      </c>
      <c r="M54" s="935"/>
      <c r="N54" s="935"/>
      <c r="O54" s="212"/>
      <c r="P54" s="212"/>
      <c r="Q54" s="212"/>
      <c r="R54" s="212"/>
      <c r="S54" s="212"/>
      <c r="T54" s="212"/>
      <c r="U54" s="212"/>
      <c r="V54" s="212"/>
      <c r="W54" s="212"/>
      <c r="X54" s="212"/>
      <c r="Y54" s="212"/>
      <c r="Z54" s="212"/>
      <c r="AA54" s="212"/>
      <c r="AB54" s="212"/>
      <c r="AC54" s="212"/>
      <c r="AD54" s="212"/>
      <c r="AE54" s="212"/>
      <c r="AF54" s="212"/>
      <c r="AG54" s="212"/>
      <c r="AH54" s="212"/>
      <c r="AI54" s="212"/>
      <c r="AJ54" s="212"/>
      <c r="AK54" s="212"/>
      <c r="AL54" s="212"/>
      <c r="AM54" s="212"/>
      <c r="AN54" s="212"/>
      <c r="AO54" s="212"/>
      <c r="AP54" s="212"/>
      <c r="AQ54" s="212"/>
      <c r="AR54" s="212"/>
      <c r="AS54" s="212"/>
      <c r="AT54" s="212"/>
      <c r="AU54" s="212"/>
      <c r="AV54" s="212"/>
      <c r="AW54" s="212"/>
      <c r="AX54" s="212"/>
      <c r="AY54" s="212"/>
      <c r="AZ54" s="212"/>
      <c r="BA54" s="448"/>
    </row>
    <row r="55" spans="1:53" ht="18" customHeight="1" x14ac:dyDescent="0.2">
      <c r="A55" s="212"/>
      <c r="B55" s="212"/>
      <c r="C55" s="575"/>
      <c r="D55" s="576"/>
      <c r="E55" s="216"/>
      <c r="F55" s="216"/>
      <c r="G55" s="216"/>
      <c r="H55" s="212"/>
      <c r="I55" s="575"/>
      <c r="J55" s="560"/>
      <c r="K55" s="935">
        <v>44</v>
      </c>
      <c r="L55" s="935" t="s">
        <v>613</v>
      </c>
      <c r="M55" s="212"/>
      <c r="N55" s="212"/>
      <c r="O55" s="212"/>
      <c r="P55" s="212"/>
      <c r="Q55" s="212"/>
      <c r="R55" s="212"/>
      <c r="S55" s="212"/>
      <c r="T55" s="212"/>
      <c r="U55" s="212"/>
      <c r="V55" s="212"/>
      <c r="W55" s="212"/>
      <c r="X55" s="212"/>
      <c r="Y55" s="212"/>
      <c r="Z55" s="212"/>
      <c r="AA55" s="212"/>
      <c r="AB55" s="212"/>
      <c r="AC55" s="212"/>
      <c r="AD55" s="212"/>
      <c r="AE55" s="212"/>
      <c r="AF55" s="212"/>
      <c r="AG55" s="212"/>
      <c r="AH55" s="212"/>
      <c r="AI55" s="212"/>
      <c r="AJ55" s="212"/>
      <c r="AK55" s="212"/>
      <c r="AL55" s="212"/>
      <c r="AM55" s="212"/>
      <c r="AN55" s="212"/>
      <c r="AO55" s="212"/>
      <c r="AP55" s="212"/>
      <c r="AQ55" s="212"/>
      <c r="AR55" s="212"/>
      <c r="AS55" s="212"/>
      <c r="AT55" s="212"/>
      <c r="AU55" s="212"/>
      <c r="AV55" s="212"/>
      <c r="AW55" s="212"/>
      <c r="AX55" s="212"/>
      <c r="AY55" s="212"/>
      <c r="AZ55" s="212"/>
      <c r="BA55" s="448"/>
    </row>
    <row r="56" spans="1:53" ht="21" customHeight="1" x14ac:dyDescent="0.2">
      <c r="A56" s="212"/>
      <c r="B56" s="212"/>
      <c r="C56" s="575"/>
      <c r="D56" s="576"/>
      <c r="E56" s="216"/>
      <c r="F56" s="216"/>
      <c r="G56" s="216"/>
      <c r="H56" s="212"/>
      <c r="I56" s="575"/>
      <c r="J56" s="560"/>
      <c r="K56" s="935">
        <v>45</v>
      </c>
      <c r="L56" s="935" t="s">
        <v>791</v>
      </c>
      <c r="M56" s="212"/>
      <c r="N56" s="212"/>
      <c r="O56" s="212"/>
      <c r="P56" s="212"/>
      <c r="Q56" s="212"/>
      <c r="R56" s="212"/>
      <c r="S56" s="212"/>
      <c r="T56" s="212"/>
      <c r="U56" s="212"/>
      <c r="V56" s="212"/>
      <c r="W56" s="212"/>
      <c r="X56" s="212"/>
      <c r="Y56" s="212"/>
      <c r="Z56" s="212"/>
      <c r="AA56" s="212"/>
      <c r="AB56" s="212"/>
      <c r="AC56" s="212"/>
      <c r="AD56" s="212"/>
      <c r="AE56" s="212"/>
      <c r="AF56" s="212"/>
      <c r="AG56" s="212"/>
      <c r="AH56" s="212"/>
      <c r="AI56" s="212"/>
      <c r="AJ56" s="212"/>
      <c r="AK56" s="212"/>
      <c r="AL56" s="212"/>
      <c r="AM56" s="212"/>
      <c r="AN56" s="212"/>
      <c r="AO56" s="212"/>
      <c r="AP56" s="212"/>
      <c r="AQ56" s="212"/>
      <c r="AR56" s="212"/>
      <c r="AS56" s="212"/>
      <c r="AT56" s="212"/>
      <c r="AU56" s="212"/>
      <c r="AV56" s="212"/>
      <c r="AW56" s="212"/>
      <c r="AX56" s="212"/>
      <c r="AY56" s="212"/>
      <c r="AZ56" s="212"/>
      <c r="BA56" s="448"/>
    </row>
    <row r="57" spans="1:53" ht="18" customHeight="1" x14ac:dyDescent="0.2">
      <c r="A57" s="212"/>
      <c r="B57" s="212"/>
      <c r="C57" s="575"/>
      <c r="D57" s="576"/>
      <c r="E57" s="216"/>
      <c r="F57" s="216"/>
      <c r="G57" s="216"/>
      <c r="H57" s="212"/>
      <c r="I57" s="575"/>
      <c r="J57" s="560"/>
      <c r="K57" s="935">
        <v>46</v>
      </c>
      <c r="L57" s="935" t="s">
        <v>946</v>
      </c>
      <c r="M57" s="212"/>
      <c r="N57" s="212"/>
      <c r="O57" s="212"/>
      <c r="P57" s="212"/>
      <c r="Q57" s="212"/>
      <c r="R57" s="212"/>
      <c r="S57" s="212"/>
      <c r="T57" s="212"/>
      <c r="U57" s="212"/>
      <c r="V57" s="212"/>
      <c r="W57" s="212"/>
      <c r="X57" s="212"/>
      <c r="Y57" s="212"/>
      <c r="Z57" s="212"/>
      <c r="AA57" s="212"/>
      <c r="AB57" s="212"/>
      <c r="AC57" s="212"/>
      <c r="AD57" s="212"/>
      <c r="AE57" s="212"/>
      <c r="AF57" s="212"/>
      <c r="AG57" s="212"/>
      <c r="AH57" s="212"/>
      <c r="AI57" s="212"/>
      <c r="AJ57" s="212"/>
      <c r="AK57" s="212"/>
      <c r="AL57" s="212"/>
      <c r="AM57" s="212"/>
      <c r="AN57" s="212"/>
      <c r="AO57" s="212"/>
      <c r="AP57" s="212"/>
      <c r="AQ57" s="212"/>
      <c r="AR57" s="212"/>
      <c r="AS57" s="212"/>
      <c r="AT57" s="212"/>
      <c r="AU57" s="212"/>
      <c r="AV57" s="212"/>
      <c r="AW57" s="212"/>
      <c r="AX57" s="212"/>
      <c r="AY57" s="212"/>
      <c r="AZ57" s="212"/>
      <c r="BA57" s="448"/>
    </row>
    <row r="58" spans="1:53" ht="18" customHeight="1" x14ac:dyDescent="0.2">
      <c r="A58" s="212"/>
      <c r="B58" s="212"/>
      <c r="C58" s="575"/>
      <c r="D58" s="576"/>
      <c r="E58" s="216"/>
      <c r="F58" s="216"/>
      <c r="G58" s="216"/>
      <c r="H58" s="212"/>
      <c r="I58" s="575"/>
      <c r="J58" s="560"/>
      <c r="K58" s="935">
        <v>47</v>
      </c>
      <c r="L58" s="935" t="s">
        <v>792</v>
      </c>
      <c r="M58" s="212"/>
      <c r="N58" s="212"/>
      <c r="O58" s="212"/>
      <c r="P58" s="212"/>
      <c r="Q58" s="212"/>
      <c r="R58" s="212"/>
      <c r="S58" s="212"/>
      <c r="T58" s="212"/>
      <c r="U58" s="212"/>
      <c r="V58" s="212"/>
      <c r="W58" s="212"/>
      <c r="X58" s="212"/>
      <c r="Y58" s="212"/>
      <c r="Z58" s="212"/>
      <c r="AA58" s="212"/>
      <c r="AB58" s="212"/>
      <c r="AC58" s="212"/>
      <c r="AD58" s="212"/>
      <c r="AE58" s="212"/>
      <c r="AF58" s="212"/>
      <c r="AG58" s="212"/>
      <c r="AH58" s="212"/>
      <c r="AI58" s="212"/>
      <c r="AJ58" s="212"/>
      <c r="AK58" s="212"/>
      <c r="AL58" s="212"/>
      <c r="AM58" s="212"/>
      <c r="AN58" s="212"/>
      <c r="AO58" s="212"/>
      <c r="AP58" s="212"/>
      <c r="AQ58" s="212"/>
      <c r="AR58" s="212"/>
      <c r="AS58" s="212"/>
      <c r="AT58" s="212"/>
      <c r="AU58" s="212"/>
      <c r="AV58" s="212"/>
      <c r="AW58" s="212"/>
      <c r="AX58" s="212"/>
      <c r="AY58" s="212"/>
      <c r="AZ58" s="212"/>
      <c r="BA58" s="448"/>
    </row>
    <row r="59" spans="1:53" ht="15" customHeight="1" x14ac:dyDescent="0.2">
      <c r="A59" s="212"/>
      <c r="B59" s="212"/>
      <c r="C59" s="575"/>
      <c r="D59" s="576"/>
      <c r="E59" s="216"/>
      <c r="F59" s="216"/>
      <c r="G59" s="216"/>
      <c r="H59" s="212"/>
      <c r="I59" s="575"/>
      <c r="J59" s="560"/>
      <c r="K59" s="935">
        <v>48</v>
      </c>
      <c r="L59" s="935" t="s">
        <v>922</v>
      </c>
      <c r="M59" s="212"/>
      <c r="N59" s="212"/>
      <c r="O59" s="212"/>
      <c r="P59" s="212"/>
      <c r="Q59" s="212"/>
      <c r="R59" s="212"/>
      <c r="S59" s="212"/>
      <c r="T59" s="212"/>
      <c r="U59" s="212"/>
      <c r="V59" s="212"/>
      <c r="W59" s="212"/>
      <c r="X59" s="212"/>
      <c r="Y59" s="212"/>
      <c r="Z59" s="212"/>
      <c r="AA59" s="212"/>
      <c r="AB59" s="212"/>
      <c r="AC59" s="212"/>
      <c r="AD59" s="212"/>
      <c r="AE59" s="212"/>
      <c r="AF59" s="212"/>
      <c r="AG59" s="212"/>
      <c r="AH59" s="212"/>
      <c r="AI59" s="212"/>
      <c r="AJ59" s="212"/>
      <c r="AK59" s="212"/>
      <c r="AL59" s="212"/>
      <c r="AM59" s="212"/>
      <c r="AN59" s="212"/>
      <c r="AO59" s="212"/>
      <c r="AP59" s="212"/>
      <c r="AQ59" s="212"/>
      <c r="AR59" s="212"/>
      <c r="AS59" s="212"/>
      <c r="AT59" s="212"/>
      <c r="AU59" s="212"/>
      <c r="AV59" s="212"/>
      <c r="AW59" s="212"/>
      <c r="AX59" s="212"/>
      <c r="AY59" s="212"/>
      <c r="AZ59" s="212"/>
      <c r="BA59" s="448"/>
    </row>
    <row r="60" spans="1:53" ht="15" customHeight="1" x14ac:dyDescent="0.2">
      <c r="A60" s="212"/>
      <c r="B60" s="212"/>
      <c r="C60" s="575"/>
      <c r="D60" s="576"/>
      <c r="E60" s="216"/>
      <c r="F60" s="216"/>
      <c r="G60" s="216"/>
      <c r="H60" s="212"/>
      <c r="I60" s="575"/>
      <c r="J60" s="560"/>
      <c r="K60" s="935">
        <v>49</v>
      </c>
      <c r="L60" s="935" t="s">
        <v>841</v>
      </c>
      <c r="M60" s="212"/>
      <c r="N60" s="212"/>
      <c r="O60" s="212"/>
      <c r="P60" s="212"/>
      <c r="Q60" s="212"/>
      <c r="R60" s="212"/>
      <c r="S60" s="212"/>
      <c r="T60" s="212"/>
      <c r="U60" s="212"/>
      <c r="V60" s="212"/>
      <c r="W60" s="212"/>
      <c r="X60" s="212"/>
      <c r="Y60" s="212"/>
      <c r="Z60" s="212"/>
      <c r="AA60" s="212"/>
      <c r="AB60" s="212"/>
      <c r="AC60" s="212"/>
      <c r="AD60" s="212"/>
      <c r="AE60" s="212"/>
      <c r="AF60" s="212"/>
      <c r="AG60" s="212"/>
      <c r="AH60" s="212"/>
      <c r="AI60" s="212"/>
      <c r="AJ60" s="212"/>
      <c r="AK60" s="212"/>
      <c r="AL60" s="212"/>
      <c r="AM60" s="212"/>
      <c r="AN60" s="212"/>
      <c r="AO60" s="212"/>
      <c r="AP60" s="212"/>
      <c r="AQ60" s="212"/>
      <c r="AR60" s="212"/>
      <c r="AS60" s="212"/>
      <c r="AT60" s="212"/>
      <c r="AU60" s="212"/>
      <c r="AV60" s="212"/>
      <c r="AW60" s="212"/>
      <c r="AX60" s="212"/>
      <c r="AY60" s="212"/>
      <c r="AZ60" s="212"/>
      <c r="BA60" s="448"/>
    </row>
    <row r="61" spans="1:53" ht="15" customHeight="1" x14ac:dyDescent="0.2">
      <c r="A61" s="212"/>
      <c r="B61" s="212"/>
      <c r="C61" s="575"/>
      <c r="D61" s="576"/>
      <c r="E61" s="216"/>
      <c r="F61" s="216"/>
      <c r="G61" s="216"/>
      <c r="H61" s="212"/>
      <c r="I61" s="575"/>
      <c r="J61" s="560"/>
      <c r="K61" s="935">
        <v>50</v>
      </c>
      <c r="L61" s="935" t="s">
        <v>948</v>
      </c>
      <c r="M61" s="212"/>
      <c r="N61" s="212"/>
      <c r="O61" s="212"/>
      <c r="P61" s="212"/>
      <c r="Q61" s="212"/>
      <c r="R61" s="212"/>
      <c r="S61" s="212"/>
      <c r="T61" s="212"/>
      <c r="U61" s="212"/>
      <c r="V61" s="212"/>
      <c r="W61" s="212"/>
      <c r="X61" s="212"/>
      <c r="Y61" s="212"/>
      <c r="Z61" s="212"/>
      <c r="AA61" s="212"/>
      <c r="AB61" s="212"/>
      <c r="AC61" s="212"/>
      <c r="AD61" s="212"/>
      <c r="AE61" s="212"/>
      <c r="AF61" s="212"/>
      <c r="AG61" s="212"/>
      <c r="AH61" s="212"/>
      <c r="AI61" s="212"/>
      <c r="AJ61" s="212"/>
      <c r="AK61" s="212"/>
      <c r="AL61" s="212"/>
      <c r="AM61" s="212"/>
      <c r="AN61" s="212"/>
      <c r="AO61" s="212"/>
      <c r="AP61" s="212"/>
      <c r="AQ61" s="212"/>
      <c r="AR61" s="212"/>
      <c r="AS61" s="212"/>
      <c r="AT61" s="212"/>
      <c r="AU61" s="212"/>
      <c r="AV61" s="212"/>
      <c r="AW61" s="212"/>
      <c r="AX61" s="212"/>
      <c r="AY61" s="212"/>
      <c r="AZ61" s="212"/>
      <c r="BA61" s="448"/>
    </row>
    <row r="62" spans="1:53" ht="15" customHeight="1" x14ac:dyDescent="0.2">
      <c r="A62" s="212"/>
      <c r="B62" s="212"/>
      <c r="C62" s="575"/>
      <c r="D62" s="576"/>
      <c r="E62" s="216"/>
      <c r="F62" s="216"/>
      <c r="G62" s="216"/>
      <c r="H62" s="212"/>
      <c r="I62" s="575"/>
      <c r="J62" s="560"/>
      <c r="K62" s="935">
        <v>51</v>
      </c>
      <c r="L62" s="935" t="s">
        <v>790</v>
      </c>
      <c r="M62" s="212"/>
      <c r="N62" s="212"/>
      <c r="O62" s="212"/>
      <c r="P62" s="212"/>
      <c r="Q62" s="212"/>
      <c r="R62" s="212"/>
      <c r="S62" s="212"/>
      <c r="T62" s="212"/>
      <c r="U62" s="212"/>
      <c r="V62" s="212"/>
      <c r="W62" s="212"/>
      <c r="X62" s="212"/>
      <c r="Y62" s="212"/>
      <c r="Z62" s="212"/>
      <c r="AA62" s="212"/>
      <c r="AB62" s="212"/>
      <c r="AC62" s="212"/>
      <c r="AD62" s="212"/>
      <c r="AE62" s="212"/>
      <c r="AF62" s="212"/>
      <c r="AG62" s="212"/>
      <c r="AH62" s="212"/>
      <c r="AI62" s="212"/>
      <c r="AJ62" s="212"/>
      <c r="AK62" s="212"/>
      <c r="AL62" s="212"/>
      <c r="AM62" s="212"/>
      <c r="AN62" s="212"/>
      <c r="AO62" s="212"/>
      <c r="AP62" s="212"/>
      <c r="AQ62" s="212"/>
      <c r="AR62" s="212"/>
      <c r="AS62" s="212"/>
      <c r="AT62" s="212"/>
      <c r="AU62" s="212"/>
      <c r="AV62" s="212"/>
      <c r="AW62" s="212"/>
      <c r="AX62" s="212"/>
      <c r="AY62" s="212"/>
      <c r="AZ62" s="212"/>
      <c r="BA62" s="448"/>
    </row>
    <row r="63" spans="1:53" ht="15" customHeight="1" x14ac:dyDescent="0.2">
      <c r="A63" s="212"/>
      <c r="B63" s="212"/>
      <c r="C63" s="575"/>
      <c r="D63" s="576"/>
      <c r="E63" s="216"/>
      <c r="F63" s="216"/>
      <c r="G63" s="216"/>
      <c r="H63" s="212"/>
      <c r="I63" s="575"/>
      <c r="J63" s="560"/>
      <c r="K63" s="935">
        <v>52</v>
      </c>
      <c r="L63" s="935" t="s">
        <v>119</v>
      </c>
      <c r="M63" s="212"/>
      <c r="N63" s="212"/>
      <c r="O63" s="212"/>
      <c r="P63" s="212"/>
      <c r="Q63" s="212"/>
      <c r="R63" s="212"/>
      <c r="S63" s="212"/>
      <c r="T63" s="212"/>
      <c r="U63" s="212"/>
      <c r="V63" s="212"/>
      <c r="W63" s="212"/>
      <c r="X63" s="212"/>
      <c r="Y63" s="212"/>
      <c r="Z63" s="212"/>
      <c r="AA63" s="212"/>
      <c r="AB63" s="212"/>
      <c r="AC63" s="212"/>
      <c r="AD63" s="212"/>
      <c r="AE63" s="212"/>
      <c r="AF63" s="212"/>
      <c r="AG63" s="212"/>
      <c r="AH63" s="212"/>
      <c r="AI63" s="212"/>
      <c r="AJ63" s="212"/>
      <c r="AK63" s="212"/>
      <c r="AL63" s="212"/>
      <c r="AM63" s="212"/>
      <c r="AN63" s="212"/>
      <c r="AO63" s="212"/>
      <c r="AP63" s="212"/>
      <c r="AQ63" s="212"/>
      <c r="AR63" s="212"/>
      <c r="AS63" s="212"/>
      <c r="AT63" s="212"/>
      <c r="AU63" s="212"/>
      <c r="AV63" s="212"/>
      <c r="AW63" s="212"/>
      <c r="AX63" s="212"/>
      <c r="AY63" s="212"/>
      <c r="AZ63" s="212"/>
      <c r="BA63" s="448"/>
    </row>
    <row r="64" spans="1:53" x14ac:dyDescent="0.2">
      <c r="A64" s="212"/>
      <c r="B64" s="212"/>
      <c r="C64" s="575"/>
      <c r="D64" s="576"/>
      <c r="E64" s="216"/>
      <c r="F64" s="216"/>
      <c r="G64" s="216"/>
      <c r="H64" s="212"/>
      <c r="I64" s="575"/>
      <c r="J64" s="560"/>
      <c r="K64" s="212"/>
      <c r="L64" s="212"/>
      <c r="M64" s="212"/>
      <c r="N64" s="212"/>
      <c r="O64" s="212"/>
      <c r="P64" s="212"/>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12"/>
      <c r="AT64" s="212"/>
      <c r="AU64" s="212"/>
      <c r="AV64" s="212"/>
      <c r="AW64" s="212"/>
      <c r="AX64" s="212"/>
      <c r="AY64" s="212"/>
      <c r="AZ64" s="212"/>
      <c r="BA64" s="448"/>
    </row>
    <row r="65" spans="1:53" x14ac:dyDescent="0.2">
      <c r="A65" s="212"/>
      <c r="B65" s="212"/>
      <c r="C65" s="575"/>
      <c r="D65" s="576"/>
      <c r="E65" s="216"/>
      <c r="F65" s="216"/>
      <c r="G65" s="216"/>
      <c r="H65" s="212"/>
      <c r="I65" s="575"/>
      <c r="J65" s="560"/>
      <c r="K65" s="212"/>
      <c r="L65" s="212"/>
      <c r="M65" s="212"/>
      <c r="N65" s="212"/>
      <c r="O65" s="212"/>
      <c r="P65" s="212"/>
      <c r="Q65" s="212"/>
      <c r="R65" s="212"/>
      <c r="S65" s="212"/>
      <c r="T65" s="212"/>
      <c r="U65" s="212"/>
      <c r="V65" s="212"/>
      <c r="W65" s="212"/>
      <c r="X65" s="212"/>
      <c r="Y65" s="212"/>
      <c r="Z65" s="212"/>
      <c r="AA65" s="212"/>
      <c r="AB65" s="212"/>
      <c r="AC65" s="212"/>
      <c r="AD65" s="212"/>
      <c r="AE65" s="212"/>
      <c r="AF65" s="212"/>
      <c r="AG65" s="212"/>
      <c r="AH65" s="212"/>
      <c r="AI65" s="212"/>
      <c r="AJ65" s="212"/>
      <c r="AK65" s="212"/>
      <c r="AL65" s="212"/>
      <c r="AM65" s="212"/>
      <c r="AN65" s="212"/>
      <c r="AO65" s="212"/>
      <c r="AP65" s="212"/>
      <c r="AQ65" s="212"/>
      <c r="AR65" s="212"/>
      <c r="AS65" s="212"/>
      <c r="AT65" s="212"/>
      <c r="AU65" s="212"/>
      <c r="AV65" s="212"/>
      <c r="AW65" s="212"/>
      <c r="AX65" s="212"/>
      <c r="AY65" s="212"/>
      <c r="AZ65" s="212"/>
      <c r="BA65" s="448"/>
    </row>
    <row r="66" spans="1:53" x14ac:dyDescent="0.2">
      <c r="A66" s="212"/>
      <c r="B66" s="212"/>
      <c r="C66" s="575"/>
      <c r="D66" s="576"/>
      <c r="E66" s="216"/>
      <c r="F66" s="216"/>
      <c r="G66" s="216"/>
      <c r="H66" s="212"/>
      <c r="I66" s="575"/>
      <c r="J66" s="560"/>
      <c r="K66" s="212"/>
      <c r="L66" s="212"/>
      <c r="M66" s="212"/>
      <c r="N66" s="212"/>
      <c r="O66" s="212"/>
      <c r="P66" s="212"/>
      <c r="Q66" s="212"/>
      <c r="R66" s="212"/>
      <c r="S66" s="212"/>
      <c r="T66" s="212"/>
      <c r="U66" s="212"/>
      <c r="V66" s="212"/>
      <c r="W66" s="212"/>
      <c r="X66" s="212"/>
      <c r="Y66" s="212"/>
      <c r="Z66" s="212"/>
      <c r="AA66" s="212"/>
      <c r="AB66" s="212"/>
      <c r="AC66" s="212"/>
      <c r="AD66" s="212"/>
      <c r="AE66" s="212"/>
      <c r="AF66" s="212"/>
      <c r="AG66" s="212"/>
      <c r="AH66" s="212"/>
      <c r="AI66" s="212"/>
      <c r="AJ66" s="212"/>
      <c r="AK66" s="212"/>
      <c r="AL66" s="212"/>
      <c r="AM66" s="212"/>
      <c r="AN66" s="212"/>
      <c r="AO66" s="212"/>
      <c r="AP66" s="212"/>
      <c r="AQ66" s="212"/>
      <c r="AR66" s="212"/>
      <c r="AS66" s="212"/>
      <c r="AT66" s="212"/>
      <c r="AU66" s="212"/>
      <c r="AV66" s="212"/>
      <c r="AW66" s="212"/>
      <c r="AX66" s="212"/>
      <c r="AY66" s="212"/>
      <c r="AZ66" s="212"/>
      <c r="BA66" s="448"/>
    </row>
    <row r="67" spans="1:53" x14ac:dyDescent="0.2">
      <c r="A67" s="212"/>
      <c r="B67" s="212"/>
      <c r="C67" s="575"/>
      <c r="D67" s="576"/>
      <c r="E67" s="216"/>
      <c r="F67" s="216"/>
      <c r="G67" s="216"/>
      <c r="H67" s="212"/>
      <c r="I67" s="575"/>
      <c r="J67" s="560"/>
      <c r="K67" s="212"/>
      <c r="L67" s="212"/>
      <c r="M67" s="212"/>
      <c r="N67" s="212"/>
      <c r="O67" s="212"/>
      <c r="P67" s="212"/>
      <c r="Q67" s="212"/>
      <c r="R67" s="212"/>
      <c r="S67" s="212"/>
      <c r="T67" s="212"/>
      <c r="U67" s="212"/>
      <c r="V67" s="212"/>
      <c r="W67" s="212"/>
      <c r="X67" s="212"/>
      <c r="Y67" s="212"/>
      <c r="Z67" s="212"/>
      <c r="AA67" s="212"/>
      <c r="AB67" s="212"/>
      <c r="AC67" s="212"/>
      <c r="AD67" s="212"/>
      <c r="AE67" s="212"/>
      <c r="AF67" s="212"/>
      <c r="AG67" s="212"/>
      <c r="AH67" s="212"/>
      <c r="AI67" s="212"/>
      <c r="AJ67" s="212"/>
      <c r="AK67" s="212"/>
      <c r="AL67" s="212"/>
      <c r="AM67" s="212"/>
      <c r="AN67" s="212"/>
      <c r="AO67" s="212"/>
      <c r="AP67" s="212"/>
      <c r="AQ67" s="212"/>
      <c r="AR67" s="212"/>
      <c r="AS67" s="212"/>
      <c r="AT67" s="212"/>
      <c r="AU67" s="212"/>
      <c r="AV67" s="212"/>
      <c r="AW67" s="212"/>
      <c r="AX67" s="212"/>
      <c r="AY67" s="212"/>
      <c r="AZ67" s="212"/>
      <c r="BA67" s="448"/>
    </row>
    <row r="68" spans="1:53" x14ac:dyDescent="0.2">
      <c r="A68" s="212"/>
      <c r="B68" s="212"/>
      <c r="C68" s="575"/>
      <c r="D68" s="576"/>
      <c r="E68" s="216"/>
      <c r="F68" s="216"/>
      <c r="G68" s="216"/>
      <c r="H68" s="212"/>
      <c r="I68" s="575"/>
      <c r="J68" s="560"/>
      <c r="K68" s="212"/>
      <c r="L68" s="212"/>
      <c r="M68" s="212"/>
      <c r="N68" s="212"/>
      <c r="O68" s="212"/>
      <c r="P68" s="212"/>
      <c r="Q68" s="212"/>
      <c r="R68" s="212"/>
      <c r="S68" s="212"/>
      <c r="T68" s="212"/>
      <c r="U68" s="212"/>
      <c r="V68" s="212"/>
      <c r="W68" s="212"/>
      <c r="X68" s="212"/>
      <c r="Y68" s="212"/>
      <c r="Z68" s="212"/>
      <c r="AA68" s="212"/>
      <c r="AB68" s="212"/>
      <c r="AC68" s="212"/>
      <c r="AD68" s="212"/>
      <c r="AE68" s="212"/>
      <c r="AF68" s="212"/>
      <c r="AG68" s="212"/>
      <c r="AH68" s="212"/>
      <c r="AI68" s="212"/>
      <c r="AJ68" s="212"/>
      <c r="AK68" s="212"/>
      <c r="AL68" s="212"/>
      <c r="AM68" s="212"/>
      <c r="AN68" s="212"/>
      <c r="AO68" s="212"/>
      <c r="AP68" s="212"/>
      <c r="AQ68" s="212"/>
      <c r="AR68" s="212"/>
      <c r="AS68" s="212"/>
      <c r="AT68" s="212"/>
      <c r="AU68" s="212"/>
      <c r="AV68" s="212"/>
      <c r="AW68" s="212"/>
      <c r="AX68" s="212"/>
      <c r="AY68" s="212"/>
      <c r="AZ68" s="212"/>
      <c r="BA68" s="448"/>
    </row>
    <row r="69" spans="1:53" x14ac:dyDescent="0.2">
      <c r="A69" s="212"/>
      <c r="B69" s="212"/>
      <c r="C69" s="575"/>
      <c r="D69" s="576"/>
      <c r="E69" s="216"/>
      <c r="F69" s="216"/>
      <c r="G69" s="216"/>
      <c r="H69" s="212"/>
      <c r="I69" s="575"/>
      <c r="J69" s="560"/>
      <c r="K69" s="212"/>
      <c r="L69" s="212"/>
      <c r="M69" s="212"/>
      <c r="N69" s="212"/>
      <c r="O69" s="212"/>
      <c r="P69" s="212"/>
      <c r="Q69" s="212"/>
      <c r="R69" s="212"/>
      <c r="S69" s="212"/>
      <c r="T69" s="212"/>
      <c r="U69" s="212"/>
      <c r="V69" s="212"/>
      <c r="W69" s="212"/>
      <c r="X69" s="212"/>
      <c r="Y69" s="212"/>
      <c r="Z69" s="212"/>
      <c r="AA69" s="212"/>
      <c r="AB69" s="212"/>
      <c r="AC69" s="212"/>
      <c r="AD69" s="212"/>
      <c r="AE69" s="212"/>
      <c r="AF69" s="212"/>
      <c r="AG69" s="212"/>
      <c r="AH69" s="212"/>
      <c r="AI69" s="212"/>
      <c r="AJ69" s="212"/>
      <c r="AK69" s="212"/>
      <c r="AL69" s="212"/>
      <c r="AM69" s="212"/>
      <c r="AN69" s="212"/>
      <c r="AO69" s="212"/>
      <c r="AP69" s="212"/>
      <c r="AQ69" s="212"/>
      <c r="AR69" s="212"/>
      <c r="AS69" s="212"/>
      <c r="AT69" s="212"/>
      <c r="AU69" s="212"/>
      <c r="AV69" s="212"/>
      <c r="AW69" s="212"/>
      <c r="AX69" s="212"/>
      <c r="AY69" s="212"/>
      <c r="AZ69" s="212"/>
      <c r="BA69" s="448"/>
    </row>
    <row r="70" spans="1:53" x14ac:dyDescent="0.2">
      <c r="A70" s="212"/>
      <c r="B70" s="212"/>
      <c r="C70" s="575"/>
      <c r="D70" s="576"/>
      <c r="E70" s="216"/>
      <c r="F70" s="216"/>
      <c r="G70" s="216"/>
      <c r="H70" s="212"/>
      <c r="I70" s="575"/>
      <c r="J70" s="560"/>
      <c r="K70" s="212"/>
      <c r="L70" s="212"/>
      <c r="M70" s="212"/>
      <c r="N70" s="212"/>
      <c r="O70" s="212"/>
      <c r="P70" s="212"/>
      <c r="Q70" s="212"/>
      <c r="R70" s="212"/>
      <c r="S70" s="212"/>
      <c r="T70" s="212"/>
      <c r="U70" s="212"/>
      <c r="V70" s="212"/>
      <c r="W70" s="212"/>
      <c r="X70" s="212"/>
      <c r="Y70" s="212"/>
      <c r="Z70" s="212"/>
      <c r="AA70" s="212"/>
      <c r="AB70" s="212"/>
      <c r="AC70" s="212"/>
      <c r="AD70" s="212"/>
      <c r="AE70" s="212"/>
      <c r="AF70" s="212"/>
      <c r="AG70" s="212"/>
      <c r="AH70" s="212"/>
      <c r="AI70" s="212"/>
      <c r="AJ70" s="212"/>
      <c r="AK70" s="212"/>
      <c r="AL70" s="212"/>
      <c r="AM70" s="212"/>
      <c r="AN70" s="212"/>
      <c r="AO70" s="212"/>
      <c r="AP70" s="212"/>
      <c r="AQ70" s="212"/>
      <c r="AR70" s="212"/>
      <c r="AS70" s="212"/>
      <c r="AT70" s="212"/>
      <c r="AU70" s="212"/>
      <c r="AV70" s="212"/>
      <c r="AW70" s="212"/>
      <c r="AX70" s="212"/>
      <c r="AY70" s="212"/>
      <c r="AZ70" s="212"/>
      <c r="BA70" s="448"/>
    </row>
    <row r="71" spans="1:53" x14ac:dyDescent="0.2">
      <c r="A71" s="212"/>
      <c r="B71" s="212"/>
      <c r="C71" s="575"/>
      <c r="D71" s="576"/>
      <c r="E71" s="216"/>
      <c r="F71" s="216"/>
      <c r="G71" s="216"/>
      <c r="H71" s="212"/>
      <c r="I71" s="575"/>
      <c r="J71" s="560"/>
      <c r="K71" s="212"/>
      <c r="L71" s="212"/>
      <c r="M71" s="212"/>
      <c r="N71" s="212"/>
      <c r="O71" s="212"/>
      <c r="P71" s="212"/>
      <c r="Q71" s="212"/>
      <c r="R71" s="212"/>
      <c r="S71" s="212"/>
      <c r="T71" s="212"/>
      <c r="U71" s="212"/>
      <c r="V71" s="212"/>
      <c r="W71" s="212"/>
      <c r="X71" s="212"/>
      <c r="Y71" s="212"/>
      <c r="Z71" s="212"/>
      <c r="AA71" s="212"/>
      <c r="AB71" s="212"/>
      <c r="AC71" s="212"/>
      <c r="AD71" s="212"/>
      <c r="AE71" s="212"/>
      <c r="AF71" s="212"/>
      <c r="AG71" s="212"/>
      <c r="AH71" s="212"/>
      <c r="AI71" s="212"/>
      <c r="AJ71" s="212"/>
      <c r="AK71" s="212"/>
      <c r="AL71" s="212"/>
      <c r="AM71" s="212"/>
      <c r="AN71" s="212"/>
      <c r="AO71" s="212"/>
      <c r="AP71" s="212"/>
      <c r="AQ71" s="212"/>
      <c r="AR71" s="212"/>
      <c r="AS71" s="212"/>
      <c r="AT71" s="212"/>
      <c r="AU71" s="212"/>
      <c r="AV71" s="212"/>
      <c r="AW71" s="212"/>
      <c r="AX71" s="212"/>
      <c r="AY71" s="212"/>
      <c r="AZ71" s="212"/>
      <c r="BA71" s="448"/>
    </row>
    <row r="72" spans="1:53" x14ac:dyDescent="0.2">
      <c r="A72" s="212"/>
      <c r="B72" s="212"/>
      <c r="C72" s="575"/>
      <c r="D72" s="576"/>
      <c r="E72" s="216"/>
      <c r="F72" s="216"/>
      <c r="G72" s="216"/>
      <c r="H72" s="212"/>
      <c r="I72" s="575"/>
      <c r="J72" s="560"/>
      <c r="K72" s="212"/>
      <c r="L72" s="212"/>
      <c r="M72" s="212"/>
      <c r="N72" s="212"/>
      <c r="O72" s="212"/>
      <c r="P72" s="212"/>
      <c r="Q72" s="212"/>
      <c r="R72" s="212"/>
      <c r="S72" s="212"/>
      <c r="T72" s="212"/>
      <c r="U72" s="212"/>
      <c r="V72" s="212"/>
      <c r="W72" s="212"/>
      <c r="X72" s="212"/>
      <c r="Y72" s="212"/>
      <c r="Z72" s="212"/>
      <c r="AA72" s="212"/>
      <c r="AB72" s="212"/>
      <c r="AC72" s="212"/>
      <c r="AD72" s="212"/>
      <c r="AE72" s="212"/>
      <c r="AF72" s="212"/>
      <c r="AG72" s="212"/>
      <c r="AH72" s="212"/>
      <c r="AI72" s="212"/>
      <c r="AJ72" s="212"/>
      <c r="AK72" s="212"/>
      <c r="AL72" s="212"/>
      <c r="AM72" s="212"/>
      <c r="AN72" s="212"/>
      <c r="AO72" s="212"/>
      <c r="AP72" s="212"/>
      <c r="AQ72" s="212"/>
      <c r="AR72" s="212"/>
      <c r="AS72" s="212"/>
      <c r="AT72" s="212"/>
      <c r="AU72" s="212"/>
      <c r="AV72" s="212"/>
      <c r="AW72" s="212"/>
      <c r="AX72" s="212"/>
      <c r="AY72" s="212"/>
      <c r="AZ72" s="212"/>
      <c r="BA72" s="448"/>
    </row>
    <row r="73" spans="1:53" x14ac:dyDescent="0.2">
      <c r="A73" s="212"/>
      <c r="B73" s="212"/>
      <c r="C73" s="575"/>
      <c r="D73" s="576"/>
      <c r="E73" s="216"/>
      <c r="F73" s="216"/>
      <c r="G73" s="216"/>
      <c r="H73" s="212"/>
      <c r="I73" s="575"/>
      <c r="J73" s="560"/>
      <c r="K73" s="212"/>
      <c r="L73" s="212"/>
      <c r="M73" s="212"/>
      <c r="N73" s="212"/>
      <c r="O73" s="212"/>
      <c r="P73" s="212"/>
      <c r="Q73" s="212"/>
      <c r="R73" s="212"/>
      <c r="S73" s="212"/>
      <c r="T73" s="212"/>
      <c r="U73" s="212"/>
      <c r="V73" s="212"/>
      <c r="W73" s="212"/>
      <c r="X73" s="212"/>
      <c r="Y73" s="212"/>
      <c r="Z73" s="212"/>
      <c r="AA73" s="212"/>
      <c r="AB73" s="212"/>
      <c r="AC73" s="212"/>
      <c r="AD73" s="212"/>
      <c r="AE73" s="212"/>
      <c r="AF73" s="212"/>
      <c r="AG73" s="212"/>
      <c r="AH73" s="212"/>
      <c r="AI73" s="212"/>
      <c r="AJ73" s="212"/>
      <c r="AK73" s="212"/>
      <c r="AL73" s="212"/>
      <c r="AM73" s="212"/>
      <c r="AN73" s="212"/>
      <c r="AO73" s="212"/>
      <c r="AP73" s="212"/>
      <c r="AQ73" s="212"/>
      <c r="AR73" s="212"/>
      <c r="AS73" s="212"/>
      <c r="AT73" s="212"/>
      <c r="AU73" s="212"/>
      <c r="AV73" s="212"/>
      <c r="AW73" s="212"/>
      <c r="AX73" s="212"/>
      <c r="AY73" s="212"/>
      <c r="AZ73" s="212"/>
      <c r="BA73" s="448"/>
    </row>
    <row r="74" spans="1:53" x14ac:dyDescent="0.2">
      <c r="A74" s="212"/>
      <c r="B74" s="212"/>
      <c r="C74" s="575"/>
      <c r="D74" s="576"/>
      <c r="E74" s="216"/>
      <c r="F74" s="216"/>
      <c r="G74" s="216"/>
      <c r="H74" s="212"/>
      <c r="I74" s="575"/>
      <c r="J74" s="560"/>
      <c r="K74" s="212"/>
      <c r="L74" s="212"/>
      <c r="M74" s="212"/>
      <c r="N74" s="212"/>
      <c r="O74" s="212"/>
      <c r="P74" s="212"/>
      <c r="Q74" s="212"/>
      <c r="R74" s="212"/>
      <c r="S74" s="212"/>
      <c r="T74" s="212"/>
      <c r="U74" s="212"/>
      <c r="V74" s="212"/>
      <c r="W74" s="212"/>
      <c r="X74" s="212"/>
      <c r="Y74" s="212"/>
      <c r="Z74" s="212"/>
      <c r="AA74" s="212"/>
      <c r="AB74" s="212"/>
      <c r="AC74" s="212"/>
      <c r="AD74" s="212"/>
      <c r="AE74" s="212"/>
      <c r="AF74" s="212"/>
      <c r="AG74" s="212"/>
      <c r="AH74" s="212"/>
      <c r="AI74" s="212"/>
      <c r="AJ74" s="212"/>
      <c r="AK74" s="212"/>
      <c r="AL74" s="212"/>
      <c r="AM74" s="212"/>
      <c r="AN74" s="212"/>
      <c r="AO74" s="212"/>
      <c r="AP74" s="212"/>
      <c r="AQ74" s="212"/>
      <c r="AR74" s="212"/>
      <c r="AS74" s="212"/>
      <c r="AT74" s="212"/>
      <c r="AU74" s="212"/>
      <c r="AV74" s="212"/>
      <c r="AW74" s="212"/>
      <c r="AX74" s="212"/>
      <c r="AY74" s="212"/>
      <c r="AZ74" s="212"/>
      <c r="BA74" s="448"/>
    </row>
    <row r="75" spans="1:53" x14ac:dyDescent="0.2">
      <c r="A75" s="212"/>
      <c r="B75" s="212"/>
      <c r="C75" s="575"/>
      <c r="D75" s="576"/>
      <c r="E75" s="216"/>
      <c r="F75" s="216"/>
      <c r="G75" s="216"/>
      <c r="H75" s="212"/>
      <c r="I75" s="575"/>
      <c r="J75" s="560"/>
      <c r="K75" s="212"/>
      <c r="L75" s="212"/>
      <c r="M75" s="212"/>
      <c r="N75" s="212"/>
      <c r="O75" s="212"/>
      <c r="P75" s="212"/>
      <c r="Q75" s="212"/>
      <c r="R75" s="212"/>
      <c r="S75" s="212"/>
      <c r="T75" s="212"/>
      <c r="U75" s="212"/>
      <c r="V75" s="212"/>
      <c r="W75" s="212"/>
      <c r="X75" s="212"/>
      <c r="Y75" s="212"/>
      <c r="Z75" s="212"/>
      <c r="AA75" s="212"/>
      <c r="AB75" s="212"/>
      <c r="AC75" s="212"/>
      <c r="AD75" s="212"/>
      <c r="AE75" s="212"/>
      <c r="AF75" s="212"/>
      <c r="AG75" s="212"/>
      <c r="AH75" s="212"/>
      <c r="AI75" s="212"/>
      <c r="AJ75" s="212"/>
      <c r="AK75" s="212"/>
      <c r="AL75" s="212"/>
      <c r="AM75" s="212"/>
      <c r="AN75" s="212"/>
      <c r="AO75" s="212"/>
      <c r="AP75" s="212"/>
      <c r="AQ75" s="212"/>
      <c r="AR75" s="212"/>
      <c r="AS75" s="212"/>
      <c r="AT75" s="212"/>
      <c r="AU75" s="212"/>
      <c r="AV75" s="212"/>
      <c r="AW75" s="212"/>
      <c r="AX75" s="212"/>
      <c r="AY75" s="212"/>
      <c r="AZ75" s="212"/>
      <c r="BA75" s="448"/>
    </row>
    <row r="76" spans="1:53" x14ac:dyDescent="0.2">
      <c r="A76" s="212"/>
      <c r="B76" s="212"/>
      <c r="C76" s="575"/>
      <c r="D76" s="576"/>
      <c r="E76" s="216"/>
      <c r="F76" s="216"/>
      <c r="G76" s="216"/>
      <c r="H76" s="212"/>
      <c r="I76" s="575"/>
      <c r="J76" s="560"/>
      <c r="K76" s="212"/>
      <c r="L76" s="212"/>
      <c r="M76" s="212"/>
      <c r="N76" s="212"/>
      <c r="O76" s="212"/>
      <c r="P76" s="212"/>
      <c r="Q76" s="212"/>
      <c r="R76" s="212"/>
      <c r="S76" s="212"/>
      <c r="T76" s="212"/>
      <c r="U76" s="212"/>
      <c r="V76" s="212"/>
      <c r="W76" s="212"/>
      <c r="X76" s="212"/>
      <c r="Y76" s="212"/>
      <c r="Z76" s="212"/>
      <c r="AA76" s="212"/>
      <c r="AB76" s="212"/>
      <c r="AC76" s="212"/>
      <c r="AD76" s="212"/>
      <c r="AE76" s="212"/>
      <c r="AF76" s="212"/>
      <c r="AG76" s="212"/>
      <c r="AH76" s="212"/>
      <c r="AI76" s="212"/>
      <c r="AJ76" s="212"/>
      <c r="AK76" s="212"/>
      <c r="AL76" s="212"/>
      <c r="AM76" s="212"/>
      <c r="AN76" s="212"/>
      <c r="AO76" s="212"/>
      <c r="AP76" s="212"/>
      <c r="AQ76" s="212"/>
      <c r="AR76" s="212"/>
      <c r="AS76" s="212"/>
      <c r="AT76" s="212"/>
      <c r="AU76" s="212"/>
      <c r="AV76" s="212"/>
      <c r="AW76" s="212"/>
      <c r="AX76" s="212"/>
      <c r="AY76" s="212"/>
      <c r="AZ76" s="212"/>
      <c r="BA76" s="448"/>
    </row>
    <row r="77" spans="1:53" x14ac:dyDescent="0.2">
      <c r="A77" s="212"/>
      <c r="B77" s="212"/>
      <c r="C77" s="575"/>
      <c r="D77" s="576"/>
      <c r="E77" s="216"/>
      <c r="F77" s="216"/>
      <c r="G77" s="216"/>
      <c r="H77" s="212"/>
      <c r="I77" s="575"/>
      <c r="J77" s="560"/>
      <c r="K77" s="212"/>
      <c r="L77" s="212"/>
      <c r="M77" s="212"/>
      <c r="N77" s="212"/>
      <c r="O77" s="212"/>
      <c r="P77" s="212"/>
      <c r="Q77" s="212"/>
      <c r="R77" s="212"/>
      <c r="S77" s="212"/>
      <c r="T77" s="212"/>
      <c r="U77" s="212"/>
      <c r="V77" s="212"/>
      <c r="W77" s="212"/>
      <c r="X77" s="212"/>
      <c r="Y77" s="212"/>
      <c r="Z77" s="212"/>
      <c r="AA77" s="212"/>
      <c r="AB77" s="212"/>
      <c r="AC77" s="212"/>
      <c r="AD77" s="212"/>
      <c r="AE77" s="212"/>
      <c r="AF77" s="212"/>
      <c r="AG77" s="212"/>
      <c r="AH77" s="212"/>
      <c r="AI77" s="212"/>
      <c r="AJ77" s="212"/>
      <c r="AK77" s="212"/>
      <c r="AL77" s="212"/>
      <c r="AM77" s="212"/>
      <c r="AN77" s="212"/>
      <c r="AO77" s="212"/>
      <c r="AP77" s="212"/>
      <c r="AQ77" s="212"/>
      <c r="AR77" s="212"/>
      <c r="AS77" s="212"/>
      <c r="AT77" s="212"/>
      <c r="AU77" s="212"/>
      <c r="AV77" s="212"/>
      <c r="AW77" s="212"/>
      <c r="AX77" s="212"/>
      <c r="AY77" s="212"/>
      <c r="AZ77" s="212"/>
      <c r="BA77" s="448"/>
    </row>
    <row r="78" spans="1:53" x14ac:dyDescent="0.2">
      <c r="A78" s="212"/>
      <c r="B78" s="212"/>
      <c r="C78" s="575"/>
      <c r="D78" s="576"/>
      <c r="E78" s="216"/>
      <c r="F78" s="216"/>
      <c r="G78" s="216"/>
      <c r="H78" s="212"/>
      <c r="I78" s="575"/>
      <c r="J78" s="560"/>
      <c r="K78" s="212"/>
      <c r="L78" s="212"/>
      <c r="M78" s="212"/>
      <c r="N78" s="212"/>
      <c r="O78" s="212"/>
      <c r="P78" s="212"/>
      <c r="Q78" s="212"/>
      <c r="R78" s="212"/>
      <c r="S78" s="212"/>
      <c r="T78" s="212"/>
      <c r="U78" s="212"/>
      <c r="V78" s="212"/>
      <c r="W78" s="212"/>
      <c r="X78" s="212"/>
      <c r="Y78" s="212"/>
      <c r="Z78" s="212"/>
      <c r="AA78" s="212"/>
      <c r="AB78" s="212"/>
      <c r="AC78" s="212"/>
      <c r="AD78" s="212"/>
      <c r="AE78" s="212"/>
      <c r="AF78" s="212"/>
      <c r="AG78" s="212"/>
      <c r="AH78" s="212"/>
      <c r="AI78" s="212"/>
      <c r="AJ78" s="212"/>
      <c r="AK78" s="212"/>
      <c r="AL78" s="212"/>
      <c r="AM78" s="212"/>
      <c r="AN78" s="212"/>
      <c r="AO78" s="212"/>
      <c r="AP78" s="212"/>
      <c r="AQ78" s="212"/>
      <c r="AR78" s="212"/>
      <c r="AS78" s="212"/>
      <c r="AT78" s="212"/>
      <c r="AU78" s="212"/>
      <c r="AV78" s="212"/>
      <c r="AW78" s="212"/>
      <c r="AX78" s="212"/>
      <c r="AY78" s="212"/>
      <c r="AZ78" s="212"/>
      <c r="BA78" s="448"/>
    </row>
    <row r="79" spans="1:53" x14ac:dyDescent="0.2">
      <c r="A79" s="212"/>
      <c r="B79" s="212"/>
      <c r="C79" s="575"/>
      <c r="D79" s="576"/>
      <c r="E79" s="216"/>
      <c r="F79" s="216"/>
      <c r="G79" s="216"/>
      <c r="H79" s="212"/>
      <c r="I79" s="575"/>
      <c r="J79" s="560"/>
      <c r="K79" s="212"/>
      <c r="L79" s="212"/>
      <c r="M79" s="212"/>
      <c r="N79" s="212"/>
      <c r="O79" s="212"/>
      <c r="P79" s="212"/>
      <c r="Q79" s="212"/>
      <c r="R79" s="212"/>
      <c r="S79" s="212"/>
      <c r="T79" s="212"/>
      <c r="U79" s="212"/>
      <c r="V79" s="212"/>
      <c r="W79" s="212"/>
      <c r="X79" s="212"/>
      <c r="Y79" s="212"/>
      <c r="Z79" s="212"/>
      <c r="AA79" s="212"/>
      <c r="AB79" s="212"/>
      <c r="AC79" s="212"/>
      <c r="AD79" s="212"/>
      <c r="AE79" s="212"/>
      <c r="AF79" s="212"/>
      <c r="AG79" s="212"/>
      <c r="AH79" s="212"/>
      <c r="AI79" s="212"/>
      <c r="AJ79" s="212"/>
      <c r="AK79" s="212"/>
      <c r="AL79" s="212"/>
      <c r="AM79" s="212"/>
      <c r="AN79" s="212"/>
      <c r="AO79" s="212"/>
      <c r="AP79" s="212"/>
      <c r="AQ79" s="212"/>
      <c r="AR79" s="212"/>
      <c r="AS79" s="212"/>
      <c r="AT79" s="212"/>
      <c r="AU79" s="212"/>
      <c r="AV79" s="212"/>
      <c r="AW79" s="212"/>
      <c r="AX79" s="212"/>
      <c r="AY79" s="212"/>
      <c r="AZ79" s="212"/>
      <c r="BA79" s="448"/>
    </row>
    <row r="80" spans="1:53" x14ac:dyDescent="0.2">
      <c r="A80" s="212"/>
      <c r="B80" s="212"/>
      <c r="C80" s="575"/>
      <c r="D80" s="576"/>
      <c r="E80" s="216"/>
      <c r="F80" s="216"/>
      <c r="G80" s="216"/>
      <c r="H80" s="212"/>
      <c r="I80" s="575"/>
      <c r="J80" s="560"/>
      <c r="K80" s="212"/>
      <c r="L80" s="212"/>
      <c r="M80" s="212"/>
      <c r="N80" s="212"/>
      <c r="O80" s="212"/>
      <c r="P80" s="212"/>
      <c r="Q80" s="212"/>
      <c r="R80" s="212"/>
      <c r="S80" s="212"/>
      <c r="T80" s="212"/>
      <c r="U80" s="212"/>
      <c r="V80" s="212"/>
      <c r="W80" s="212"/>
      <c r="X80" s="212"/>
      <c r="Y80" s="212"/>
      <c r="Z80" s="212"/>
      <c r="AA80" s="212"/>
      <c r="AB80" s="212"/>
      <c r="AC80" s="212"/>
      <c r="AD80" s="212"/>
      <c r="AE80" s="212"/>
      <c r="AF80" s="212"/>
      <c r="AG80" s="212"/>
      <c r="AH80" s="212"/>
      <c r="AI80" s="212"/>
      <c r="AJ80" s="212"/>
      <c r="AK80" s="212"/>
      <c r="AL80" s="212"/>
      <c r="AM80" s="212"/>
      <c r="AN80" s="212"/>
      <c r="AO80" s="212"/>
      <c r="AP80" s="212"/>
      <c r="AQ80" s="212"/>
      <c r="AR80" s="212"/>
      <c r="AS80" s="212"/>
      <c r="AT80" s="212"/>
      <c r="AU80" s="212"/>
      <c r="AV80" s="212"/>
      <c r="AW80" s="212"/>
      <c r="AX80" s="212"/>
      <c r="AY80" s="212"/>
      <c r="AZ80" s="212"/>
      <c r="BA80" s="448"/>
    </row>
    <row r="81" spans="1:53" x14ac:dyDescent="0.2">
      <c r="A81" s="212"/>
      <c r="B81" s="212"/>
      <c r="C81" s="575"/>
      <c r="D81" s="576"/>
      <c r="E81" s="216"/>
      <c r="F81" s="216"/>
      <c r="G81" s="216"/>
      <c r="H81" s="212"/>
      <c r="I81" s="575"/>
      <c r="J81" s="560"/>
      <c r="K81" s="212"/>
      <c r="L81" s="212"/>
      <c r="M81" s="212"/>
      <c r="N81" s="212"/>
      <c r="O81" s="212"/>
      <c r="P81" s="212"/>
      <c r="Q81" s="212"/>
      <c r="R81" s="212"/>
      <c r="S81" s="212"/>
      <c r="T81" s="212"/>
      <c r="U81" s="212"/>
      <c r="V81" s="212"/>
      <c r="W81" s="212"/>
      <c r="X81" s="212"/>
      <c r="Y81" s="212"/>
      <c r="Z81" s="212"/>
      <c r="AA81" s="212"/>
      <c r="AB81" s="212"/>
      <c r="AC81" s="212"/>
      <c r="AD81" s="212"/>
      <c r="AE81" s="212"/>
      <c r="AF81" s="212"/>
      <c r="AG81" s="212"/>
      <c r="AH81" s="212"/>
      <c r="AI81" s="212"/>
      <c r="AJ81" s="212"/>
      <c r="AK81" s="212"/>
      <c r="AL81" s="212"/>
      <c r="AM81" s="212"/>
      <c r="AN81" s="212"/>
      <c r="AO81" s="212"/>
      <c r="AP81" s="212"/>
      <c r="AQ81" s="212"/>
      <c r="AR81" s="212"/>
      <c r="AS81" s="212"/>
      <c r="AT81" s="212"/>
      <c r="AU81" s="212"/>
      <c r="AV81" s="212"/>
      <c r="AW81" s="212"/>
      <c r="AX81" s="212"/>
      <c r="AY81" s="212"/>
      <c r="AZ81" s="212"/>
      <c r="BA81" s="448"/>
    </row>
    <row r="82" spans="1:53" x14ac:dyDescent="0.2">
      <c r="A82" s="212"/>
      <c r="B82" s="212"/>
      <c r="C82" s="575"/>
      <c r="D82" s="576"/>
      <c r="E82" s="216"/>
      <c r="F82" s="216"/>
      <c r="G82" s="216"/>
      <c r="H82" s="212"/>
      <c r="I82" s="575"/>
      <c r="J82" s="560"/>
      <c r="K82" s="212"/>
      <c r="L82" s="212"/>
      <c r="M82" s="212"/>
      <c r="N82" s="212"/>
      <c r="O82" s="212"/>
      <c r="P82" s="212"/>
      <c r="Q82" s="212"/>
      <c r="R82" s="212"/>
      <c r="S82" s="212"/>
      <c r="T82" s="212"/>
      <c r="U82" s="212"/>
      <c r="V82" s="212"/>
      <c r="W82" s="212"/>
      <c r="X82" s="212"/>
      <c r="Y82" s="212"/>
      <c r="Z82" s="212"/>
      <c r="AA82" s="212"/>
      <c r="AB82" s="212"/>
      <c r="AC82" s="212"/>
      <c r="AD82" s="212"/>
      <c r="AE82" s="212"/>
      <c r="AF82" s="212"/>
      <c r="AG82" s="212"/>
      <c r="AH82" s="212"/>
      <c r="AI82" s="212"/>
      <c r="AJ82" s="212"/>
      <c r="AK82" s="212"/>
      <c r="AL82" s="212"/>
      <c r="AM82" s="212"/>
      <c r="AN82" s="212"/>
      <c r="AO82" s="212"/>
      <c r="AP82" s="212"/>
      <c r="AQ82" s="212"/>
      <c r="AR82" s="212"/>
      <c r="AS82" s="212"/>
      <c r="AT82" s="212"/>
      <c r="AU82" s="212"/>
      <c r="AV82" s="212"/>
      <c r="AW82" s="212"/>
      <c r="AX82" s="212"/>
      <c r="AY82" s="212"/>
      <c r="AZ82" s="212"/>
      <c r="BA82" s="448"/>
    </row>
    <row r="83" spans="1:53" x14ac:dyDescent="0.2">
      <c r="A83" s="212"/>
      <c r="B83" s="212"/>
      <c r="C83" s="575"/>
      <c r="D83" s="576"/>
      <c r="E83" s="216"/>
      <c r="F83" s="216"/>
      <c r="G83" s="216"/>
      <c r="H83" s="212"/>
      <c r="I83" s="575"/>
      <c r="J83" s="560"/>
      <c r="K83" s="212"/>
      <c r="L83" s="212"/>
      <c r="M83" s="212"/>
      <c r="N83" s="212"/>
      <c r="O83" s="212"/>
      <c r="P83" s="212"/>
      <c r="Q83" s="212"/>
      <c r="R83" s="212"/>
      <c r="S83" s="212"/>
      <c r="T83" s="212"/>
      <c r="U83" s="212"/>
      <c r="V83" s="212"/>
      <c r="W83" s="212"/>
      <c r="X83" s="212"/>
      <c r="Y83" s="212"/>
      <c r="Z83" s="212"/>
      <c r="AA83" s="212"/>
      <c r="AB83" s="212"/>
      <c r="AC83" s="212"/>
      <c r="AD83" s="212"/>
      <c r="AE83" s="212"/>
      <c r="AF83" s="212"/>
      <c r="AG83" s="212"/>
      <c r="AH83" s="212"/>
      <c r="AI83" s="212"/>
      <c r="AJ83" s="212"/>
      <c r="AK83" s="212"/>
      <c r="AL83" s="212"/>
      <c r="AM83" s="212"/>
      <c r="AN83" s="212"/>
      <c r="AO83" s="212"/>
      <c r="AP83" s="212"/>
      <c r="AQ83" s="212"/>
      <c r="AR83" s="212"/>
      <c r="AS83" s="212"/>
      <c r="AT83" s="212"/>
      <c r="AU83" s="212"/>
      <c r="AV83" s="212"/>
      <c r="AW83" s="212"/>
      <c r="AX83" s="212"/>
      <c r="AY83" s="212"/>
      <c r="AZ83" s="212"/>
      <c r="BA83" s="448"/>
    </row>
    <row r="84" spans="1:53" x14ac:dyDescent="0.2">
      <c r="A84" s="212"/>
      <c r="B84" s="212"/>
      <c r="C84" s="575"/>
      <c r="D84" s="576"/>
      <c r="E84" s="216"/>
      <c r="F84" s="216"/>
      <c r="G84" s="216"/>
      <c r="H84" s="212"/>
      <c r="I84" s="575"/>
      <c r="J84" s="560"/>
      <c r="K84" s="212"/>
      <c r="L84" s="212"/>
      <c r="M84" s="212"/>
      <c r="N84" s="212"/>
      <c r="O84" s="212"/>
      <c r="P84" s="212"/>
      <c r="Q84" s="212"/>
      <c r="R84" s="212"/>
      <c r="S84" s="212"/>
      <c r="T84" s="212"/>
      <c r="U84" s="212"/>
      <c r="V84" s="212"/>
      <c r="W84" s="212"/>
      <c r="X84" s="212"/>
      <c r="Y84" s="212"/>
      <c r="Z84" s="212"/>
      <c r="AA84" s="212"/>
      <c r="AB84" s="212"/>
      <c r="AC84" s="212"/>
      <c r="AD84" s="212"/>
      <c r="AE84" s="212"/>
      <c r="AF84" s="212"/>
      <c r="AG84" s="212"/>
      <c r="AH84" s="212"/>
      <c r="AI84" s="212"/>
      <c r="AJ84" s="212"/>
      <c r="AK84" s="212"/>
      <c r="AL84" s="212"/>
      <c r="AM84" s="212"/>
      <c r="AN84" s="212"/>
      <c r="AO84" s="212"/>
      <c r="AP84" s="212"/>
      <c r="AQ84" s="212"/>
      <c r="AR84" s="212"/>
      <c r="AS84" s="212"/>
      <c r="AT84" s="212"/>
      <c r="AU84" s="212"/>
      <c r="AV84" s="212"/>
      <c r="AW84" s="212"/>
      <c r="AX84" s="212"/>
      <c r="AY84" s="212"/>
      <c r="AZ84" s="212"/>
      <c r="BA84" s="448"/>
    </row>
    <row r="85" spans="1:53" x14ac:dyDescent="0.2">
      <c r="A85" s="212"/>
      <c r="B85" s="212"/>
      <c r="C85" s="575"/>
      <c r="D85" s="576"/>
      <c r="E85" s="216"/>
      <c r="F85" s="216"/>
      <c r="G85" s="216"/>
      <c r="H85" s="212"/>
      <c r="I85" s="575"/>
      <c r="J85" s="560"/>
      <c r="K85" s="212"/>
      <c r="L85" s="212"/>
      <c r="M85" s="212"/>
      <c r="N85" s="212"/>
      <c r="O85" s="212"/>
      <c r="P85" s="212"/>
      <c r="Q85" s="212"/>
      <c r="R85" s="212"/>
      <c r="S85" s="212"/>
      <c r="T85" s="212"/>
      <c r="U85" s="212"/>
      <c r="V85" s="212"/>
      <c r="W85" s="212"/>
      <c r="X85" s="212"/>
      <c r="Y85" s="212"/>
      <c r="Z85" s="212"/>
      <c r="AA85" s="212"/>
      <c r="AB85" s="212"/>
      <c r="AC85" s="212"/>
      <c r="AD85" s="212"/>
      <c r="AE85" s="212"/>
      <c r="AF85" s="212"/>
      <c r="AG85" s="212"/>
      <c r="AH85" s="212"/>
      <c r="AI85" s="212"/>
      <c r="AJ85" s="212"/>
      <c r="AK85" s="212"/>
      <c r="AL85" s="212"/>
      <c r="AM85" s="212"/>
      <c r="AN85" s="212"/>
      <c r="AO85" s="212"/>
      <c r="AP85" s="212"/>
      <c r="AQ85" s="212"/>
      <c r="AR85" s="212"/>
      <c r="AS85" s="212"/>
      <c r="AT85" s="212"/>
      <c r="AU85" s="212"/>
      <c r="AV85" s="212"/>
      <c r="AW85" s="212"/>
      <c r="AX85" s="212"/>
      <c r="AY85" s="212"/>
      <c r="AZ85" s="212"/>
      <c r="BA85" s="448"/>
    </row>
    <row r="86" spans="1:53" x14ac:dyDescent="0.2">
      <c r="A86" s="212"/>
      <c r="B86" s="212"/>
      <c r="C86" s="575"/>
      <c r="D86" s="576"/>
      <c r="E86" s="216"/>
      <c r="F86" s="216"/>
      <c r="G86" s="216"/>
      <c r="H86" s="212"/>
      <c r="I86" s="575"/>
      <c r="J86" s="560"/>
      <c r="K86" s="212"/>
      <c r="L86" s="212"/>
      <c r="M86" s="212"/>
      <c r="N86" s="212"/>
      <c r="O86" s="212"/>
      <c r="P86" s="212"/>
      <c r="Q86" s="212"/>
      <c r="R86" s="212"/>
      <c r="S86" s="212"/>
      <c r="T86" s="212"/>
      <c r="U86" s="212"/>
      <c r="V86" s="212"/>
      <c r="W86" s="212"/>
      <c r="X86" s="212"/>
      <c r="Y86" s="212"/>
      <c r="Z86" s="212"/>
      <c r="AA86" s="212"/>
      <c r="AB86" s="212"/>
      <c r="AC86" s="212"/>
      <c r="AD86" s="212"/>
      <c r="AE86" s="212"/>
      <c r="AF86" s="212"/>
      <c r="AG86" s="212"/>
      <c r="AH86" s="212"/>
      <c r="AI86" s="212"/>
      <c r="AJ86" s="212"/>
      <c r="AK86" s="212"/>
      <c r="AL86" s="212"/>
      <c r="AM86" s="212"/>
      <c r="AN86" s="212"/>
      <c r="AO86" s="212"/>
      <c r="AP86" s="212"/>
      <c r="AQ86" s="212"/>
      <c r="AR86" s="212"/>
      <c r="AS86" s="212"/>
      <c r="AT86" s="212"/>
      <c r="AU86" s="212"/>
      <c r="AV86" s="212"/>
      <c r="AW86" s="212"/>
      <c r="AX86" s="212"/>
      <c r="AY86" s="212"/>
      <c r="AZ86" s="212"/>
      <c r="BA86" s="448"/>
    </row>
    <row r="87" spans="1:53" x14ac:dyDescent="0.2">
      <c r="A87" s="212"/>
      <c r="B87" s="212"/>
      <c r="C87" s="575"/>
      <c r="D87" s="576"/>
      <c r="E87" s="216"/>
      <c r="F87" s="216"/>
      <c r="G87" s="216"/>
      <c r="H87" s="212"/>
      <c r="I87" s="575"/>
      <c r="J87" s="560"/>
      <c r="K87" s="212"/>
      <c r="L87" s="212"/>
      <c r="M87" s="212"/>
      <c r="N87" s="212"/>
      <c r="O87" s="212"/>
      <c r="P87" s="212"/>
      <c r="Q87" s="212"/>
      <c r="R87" s="212"/>
      <c r="S87" s="212"/>
      <c r="T87" s="212"/>
      <c r="U87" s="212"/>
      <c r="V87" s="212"/>
      <c r="W87" s="212"/>
      <c r="X87" s="212"/>
      <c r="Y87" s="212"/>
      <c r="Z87" s="212"/>
      <c r="AA87" s="212"/>
      <c r="AB87" s="212"/>
      <c r="AC87" s="212"/>
      <c r="AD87" s="212"/>
      <c r="AE87" s="212"/>
      <c r="AF87" s="212"/>
      <c r="AG87" s="212"/>
      <c r="AH87" s="212"/>
      <c r="AI87" s="212"/>
      <c r="AJ87" s="212"/>
      <c r="AK87" s="212"/>
      <c r="AL87" s="212"/>
      <c r="AM87" s="212"/>
      <c r="AN87" s="212"/>
      <c r="AO87" s="212"/>
      <c r="AP87" s="212"/>
      <c r="AQ87" s="212"/>
      <c r="AR87" s="212"/>
      <c r="AS87" s="212"/>
      <c r="AT87" s="212"/>
      <c r="AU87" s="212"/>
      <c r="AV87" s="212"/>
      <c r="AW87" s="212"/>
      <c r="AX87" s="212"/>
      <c r="AY87" s="212"/>
      <c r="AZ87" s="212"/>
      <c r="BA87" s="448"/>
    </row>
    <row r="88" spans="1:53" x14ac:dyDescent="0.2">
      <c r="A88" s="212"/>
      <c r="B88" s="212"/>
      <c r="C88" s="575"/>
      <c r="D88" s="576"/>
      <c r="E88" s="216"/>
      <c r="F88" s="216"/>
      <c r="G88" s="216"/>
      <c r="H88" s="212"/>
      <c r="I88" s="575"/>
      <c r="J88" s="560"/>
      <c r="K88" s="212"/>
      <c r="L88" s="212"/>
      <c r="M88" s="212"/>
      <c r="N88" s="212"/>
      <c r="O88" s="212"/>
      <c r="P88" s="212"/>
      <c r="Q88" s="212"/>
      <c r="R88" s="212"/>
      <c r="S88" s="212"/>
      <c r="T88" s="212"/>
      <c r="U88" s="212"/>
      <c r="V88" s="212"/>
      <c r="W88" s="212"/>
      <c r="X88" s="212"/>
      <c r="Y88" s="212"/>
      <c r="Z88" s="212"/>
      <c r="AA88" s="212"/>
      <c r="AB88" s="212"/>
      <c r="AC88" s="212"/>
      <c r="AD88" s="212"/>
      <c r="AE88" s="212"/>
      <c r="AF88" s="212"/>
      <c r="AG88" s="212"/>
      <c r="AH88" s="212"/>
      <c r="AI88" s="212"/>
      <c r="AJ88" s="212"/>
      <c r="AK88" s="212"/>
      <c r="AL88" s="212"/>
      <c r="AM88" s="212"/>
      <c r="AN88" s="212"/>
      <c r="AO88" s="212"/>
      <c r="AP88" s="212"/>
      <c r="AQ88" s="212"/>
      <c r="AR88" s="212"/>
      <c r="AS88" s="212"/>
      <c r="AT88" s="212"/>
      <c r="AU88" s="212"/>
      <c r="AV88" s="212"/>
      <c r="AW88" s="212"/>
      <c r="AX88" s="212"/>
      <c r="AY88" s="212"/>
      <c r="AZ88" s="212"/>
      <c r="BA88" s="448"/>
    </row>
    <row r="89" spans="1:53" x14ac:dyDescent="0.2">
      <c r="A89" s="212"/>
      <c r="B89" s="212"/>
      <c r="C89" s="575"/>
      <c r="D89" s="576"/>
      <c r="E89" s="216"/>
      <c r="F89" s="216"/>
      <c r="G89" s="216"/>
      <c r="H89" s="212"/>
      <c r="I89" s="575"/>
      <c r="J89" s="560"/>
      <c r="K89" s="212"/>
      <c r="L89" s="212"/>
      <c r="M89" s="212"/>
      <c r="N89" s="212"/>
      <c r="O89" s="212"/>
      <c r="P89" s="212"/>
      <c r="Q89" s="212"/>
      <c r="R89" s="212"/>
      <c r="S89" s="212"/>
      <c r="T89" s="212"/>
      <c r="U89" s="212"/>
      <c r="V89" s="212"/>
      <c r="W89" s="212"/>
      <c r="X89" s="212"/>
      <c r="Y89" s="212"/>
      <c r="Z89" s="212"/>
      <c r="AA89" s="212"/>
      <c r="AB89" s="212"/>
      <c r="AC89" s="212"/>
      <c r="AD89" s="212"/>
      <c r="AE89" s="212"/>
      <c r="AF89" s="212"/>
      <c r="AG89" s="212"/>
      <c r="AH89" s="212"/>
      <c r="AI89" s="212"/>
      <c r="AJ89" s="212"/>
      <c r="AK89" s="212"/>
      <c r="AL89" s="212"/>
      <c r="AM89" s="212"/>
      <c r="AN89" s="212"/>
      <c r="AO89" s="212"/>
      <c r="AP89" s="212"/>
      <c r="AQ89" s="212"/>
      <c r="AR89" s="212"/>
      <c r="AS89" s="212"/>
      <c r="AT89" s="212"/>
      <c r="AU89" s="212"/>
      <c r="AV89" s="212"/>
      <c r="AW89" s="212"/>
      <c r="AX89" s="212"/>
      <c r="AY89" s="212"/>
      <c r="AZ89" s="212"/>
      <c r="BA89" s="448"/>
    </row>
    <row r="90" spans="1:53" x14ac:dyDescent="0.2">
      <c r="A90" s="212"/>
      <c r="B90" s="212"/>
      <c r="C90" s="575"/>
      <c r="D90" s="576"/>
      <c r="E90" s="216"/>
      <c r="F90" s="216"/>
      <c r="G90" s="216"/>
      <c r="H90" s="212"/>
      <c r="I90" s="575"/>
      <c r="J90" s="560"/>
      <c r="K90" s="212"/>
      <c r="L90" s="212"/>
      <c r="M90" s="212"/>
      <c r="N90" s="212"/>
      <c r="O90" s="212"/>
      <c r="P90" s="212"/>
      <c r="Q90" s="212"/>
      <c r="R90" s="212"/>
      <c r="S90" s="212"/>
      <c r="T90" s="212"/>
      <c r="U90" s="212"/>
      <c r="V90" s="212"/>
      <c r="W90" s="212"/>
      <c r="X90" s="212"/>
      <c r="Y90" s="212"/>
      <c r="Z90" s="212"/>
      <c r="AA90" s="212"/>
      <c r="AB90" s="212"/>
      <c r="AC90" s="212"/>
      <c r="AD90" s="212"/>
      <c r="AE90" s="212"/>
      <c r="AF90" s="212"/>
      <c r="AG90" s="212"/>
      <c r="AH90" s="212"/>
      <c r="AI90" s="212"/>
      <c r="AJ90" s="212"/>
      <c r="AK90" s="212"/>
      <c r="AL90" s="212"/>
      <c r="AM90" s="212"/>
      <c r="AN90" s="212"/>
      <c r="AO90" s="212"/>
      <c r="AP90" s="212"/>
      <c r="AQ90" s="212"/>
      <c r="AR90" s="212"/>
      <c r="AS90" s="212"/>
      <c r="AT90" s="212"/>
      <c r="AU90" s="212"/>
      <c r="AV90" s="212"/>
      <c r="AW90" s="212"/>
      <c r="AX90" s="212"/>
      <c r="AY90" s="212"/>
      <c r="AZ90" s="212"/>
      <c r="BA90" s="448"/>
    </row>
    <row r="91" spans="1:53" x14ac:dyDescent="0.2">
      <c r="A91" s="212"/>
      <c r="B91" s="212"/>
      <c r="C91" s="575"/>
      <c r="D91" s="576"/>
      <c r="E91" s="216"/>
      <c r="F91" s="216"/>
      <c r="G91" s="216"/>
      <c r="H91" s="212"/>
      <c r="I91" s="575"/>
      <c r="J91" s="560"/>
      <c r="K91" s="212"/>
      <c r="L91" s="212"/>
      <c r="M91" s="212"/>
      <c r="N91" s="212"/>
      <c r="O91" s="212"/>
      <c r="P91" s="212"/>
      <c r="Q91" s="212"/>
      <c r="R91" s="212"/>
      <c r="S91" s="212"/>
      <c r="T91" s="212"/>
      <c r="U91" s="212"/>
      <c r="V91" s="212"/>
      <c r="W91" s="212"/>
      <c r="X91" s="212"/>
      <c r="Y91" s="212"/>
      <c r="Z91" s="212"/>
      <c r="AA91" s="212"/>
      <c r="AB91" s="212"/>
      <c r="AC91" s="212"/>
      <c r="AD91" s="212"/>
      <c r="AE91" s="212"/>
      <c r="AF91" s="212"/>
      <c r="AG91" s="212"/>
      <c r="AH91" s="212"/>
      <c r="AI91" s="212"/>
      <c r="AJ91" s="212"/>
      <c r="AK91" s="212"/>
      <c r="AL91" s="212"/>
      <c r="AM91" s="212"/>
      <c r="AN91" s="212"/>
      <c r="AO91" s="212"/>
      <c r="AP91" s="212"/>
      <c r="AQ91" s="212"/>
      <c r="AR91" s="212"/>
      <c r="AS91" s="212"/>
      <c r="AT91" s="212"/>
      <c r="AU91" s="212"/>
      <c r="AV91" s="212"/>
      <c r="AW91" s="212"/>
      <c r="AX91" s="212"/>
      <c r="AY91" s="212"/>
      <c r="AZ91" s="212"/>
      <c r="BA91" s="448"/>
    </row>
    <row r="92" spans="1:53" x14ac:dyDescent="0.2">
      <c r="A92" s="212"/>
      <c r="B92" s="212"/>
      <c r="C92" s="575"/>
      <c r="D92" s="576"/>
      <c r="E92" s="216"/>
      <c r="F92" s="216"/>
      <c r="G92" s="216"/>
      <c r="H92" s="212"/>
      <c r="I92" s="575"/>
      <c r="J92" s="560"/>
      <c r="K92" s="212"/>
      <c r="L92" s="212"/>
      <c r="M92" s="212"/>
      <c r="N92" s="212"/>
      <c r="O92" s="212"/>
      <c r="P92" s="212"/>
      <c r="Q92" s="212"/>
      <c r="R92" s="212"/>
      <c r="S92" s="212"/>
      <c r="T92" s="212"/>
      <c r="U92" s="212"/>
      <c r="V92" s="212"/>
      <c r="W92" s="212"/>
      <c r="X92" s="212"/>
      <c r="Y92" s="212"/>
      <c r="Z92" s="212"/>
      <c r="AA92" s="212"/>
      <c r="AB92" s="212"/>
      <c r="AC92" s="212"/>
      <c r="AD92" s="212"/>
      <c r="AE92" s="212"/>
      <c r="AF92" s="212"/>
      <c r="AG92" s="212"/>
      <c r="AH92" s="212"/>
      <c r="AI92" s="212"/>
      <c r="AJ92" s="212"/>
      <c r="AK92" s="212"/>
      <c r="AL92" s="212"/>
      <c r="AM92" s="212"/>
      <c r="AN92" s="212"/>
      <c r="AO92" s="212"/>
      <c r="AP92" s="212"/>
      <c r="AQ92" s="212"/>
      <c r="AR92" s="212"/>
      <c r="AS92" s="212"/>
      <c r="AT92" s="212"/>
      <c r="AU92" s="212"/>
      <c r="AV92" s="212"/>
      <c r="AW92" s="212"/>
      <c r="AX92" s="212"/>
      <c r="AY92" s="212"/>
      <c r="AZ92" s="212"/>
      <c r="BA92" s="448"/>
    </row>
    <row r="93" spans="1:53" x14ac:dyDescent="0.2">
      <c r="A93" s="212"/>
      <c r="B93" s="212"/>
      <c r="C93" s="575"/>
      <c r="D93" s="576"/>
      <c r="E93" s="216"/>
      <c r="F93" s="216"/>
      <c r="G93" s="216"/>
      <c r="H93" s="212"/>
      <c r="I93" s="575"/>
      <c r="J93" s="560"/>
      <c r="K93" s="212"/>
      <c r="L93" s="212"/>
      <c r="M93" s="212"/>
      <c r="N93" s="212"/>
      <c r="O93" s="212"/>
      <c r="P93" s="212"/>
      <c r="Q93" s="212"/>
      <c r="R93" s="212"/>
      <c r="S93" s="212"/>
      <c r="T93" s="212"/>
      <c r="U93" s="212"/>
      <c r="V93" s="212"/>
      <c r="W93" s="212"/>
      <c r="X93" s="212"/>
      <c r="Y93" s="212"/>
      <c r="Z93" s="212"/>
      <c r="AA93" s="212"/>
      <c r="AB93" s="212"/>
      <c r="AC93" s="212"/>
      <c r="AD93" s="212"/>
      <c r="AE93" s="212"/>
      <c r="AF93" s="212"/>
      <c r="AG93" s="212"/>
      <c r="AH93" s="212"/>
      <c r="AI93" s="212"/>
      <c r="AJ93" s="212"/>
      <c r="AK93" s="212"/>
      <c r="AL93" s="212"/>
      <c r="AM93" s="212"/>
      <c r="AN93" s="212"/>
      <c r="AO93" s="212"/>
      <c r="AP93" s="212"/>
      <c r="AQ93" s="212"/>
      <c r="AR93" s="212"/>
      <c r="AS93" s="212"/>
      <c r="AT93" s="212"/>
      <c r="AU93" s="212"/>
      <c r="AV93" s="212"/>
      <c r="AW93" s="212"/>
      <c r="AX93" s="212"/>
      <c r="AY93" s="212"/>
      <c r="AZ93" s="212"/>
      <c r="BA93" s="448"/>
    </row>
    <row r="94" spans="1:53" x14ac:dyDescent="0.2">
      <c r="A94" s="212"/>
      <c r="B94" s="212"/>
      <c r="C94" s="575"/>
      <c r="D94" s="576"/>
      <c r="E94" s="216"/>
      <c r="F94" s="216"/>
      <c r="G94" s="216"/>
      <c r="H94" s="212"/>
      <c r="I94" s="575"/>
      <c r="J94" s="560"/>
      <c r="K94" s="212"/>
      <c r="L94" s="212"/>
      <c r="M94" s="212"/>
      <c r="N94" s="212"/>
      <c r="O94" s="212"/>
      <c r="P94" s="212"/>
      <c r="Q94" s="212"/>
      <c r="R94" s="212"/>
      <c r="S94" s="212"/>
      <c r="T94" s="212"/>
      <c r="U94" s="212"/>
      <c r="V94" s="212"/>
      <c r="W94" s="212"/>
      <c r="X94" s="212"/>
      <c r="Y94" s="212"/>
      <c r="Z94" s="212"/>
      <c r="AA94" s="212"/>
      <c r="AB94" s="212"/>
      <c r="AC94" s="212"/>
      <c r="AD94" s="212"/>
      <c r="AE94" s="212"/>
      <c r="AF94" s="212"/>
      <c r="AG94" s="212"/>
      <c r="AH94" s="212"/>
      <c r="AI94" s="212"/>
      <c r="AJ94" s="212"/>
      <c r="AK94" s="212"/>
      <c r="AL94" s="212"/>
      <c r="AM94" s="212"/>
      <c r="AN94" s="212"/>
      <c r="AO94" s="212"/>
      <c r="AP94" s="212"/>
      <c r="AQ94" s="212"/>
      <c r="AR94" s="212"/>
      <c r="AS94" s="212"/>
      <c r="AT94" s="212"/>
      <c r="AU94" s="212"/>
      <c r="AV94" s="212"/>
      <c r="AW94" s="212"/>
      <c r="AX94" s="212"/>
      <c r="AY94" s="212"/>
      <c r="AZ94" s="212"/>
      <c r="BA94" s="448"/>
    </row>
    <row r="95" spans="1:53" x14ac:dyDescent="0.2">
      <c r="A95" s="212"/>
      <c r="B95" s="212"/>
      <c r="C95" s="575"/>
      <c r="D95" s="576"/>
      <c r="E95" s="216"/>
      <c r="F95" s="216"/>
      <c r="G95" s="216"/>
      <c r="H95" s="212"/>
      <c r="I95" s="575"/>
      <c r="J95" s="560"/>
      <c r="K95" s="212"/>
      <c r="L95" s="212"/>
      <c r="M95" s="212"/>
      <c r="N95" s="212"/>
      <c r="O95" s="212"/>
      <c r="P95" s="212"/>
      <c r="Q95" s="212"/>
      <c r="R95" s="212"/>
      <c r="S95" s="212"/>
      <c r="T95" s="212"/>
      <c r="U95" s="212"/>
      <c r="V95" s="212"/>
      <c r="W95" s="212"/>
      <c r="X95" s="212"/>
      <c r="Y95" s="212"/>
      <c r="Z95" s="212"/>
      <c r="AA95" s="212"/>
      <c r="AB95" s="212"/>
      <c r="AC95" s="212"/>
      <c r="AD95" s="212"/>
      <c r="AE95" s="212"/>
      <c r="AF95" s="212"/>
      <c r="AG95" s="212"/>
      <c r="AH95" s="212"/>
      <c r="AI95" s="212"/>
      <c r="AJ95" s="212"/>
      <c r="AK95" s="212"/>
      <c r="AL95" s="212"/>
      <c r="AM95" s="212"/>
      <c r="AN95" s="212"/>
      <c r="AO95" s="212"/>
      <c r="AP95" s="212"/>
      <c r="AQ95" s="212"/>
      <c r="AR95" s="212"/>
      <c r="AS95" s="212"/>
      <c r="AT95" s="212"/>
      <c r="AU95" s="212"/>
      <c r="AV95" s="212"/>
      <c r="AW95" s="212"/>
      <c r="AX95" s="212"/>
      <c r="AY95" s="212"/>
      <c r="AZ95" s="212"/>
      <c r="BA95" s="448"/>
    </row>
    <row r="96" spans="1:53" x14ac:dyDescent="0.2">
      <c r="A96" s="212"/>
      <c r="B96" s="212"/>
      <c r="C96" s="575"/>
      <c r="D96" s="576"/>
      <c r="E96" s="216"/>
      <c r="F96" s="216"/>
      <c r="G96" s="216"/>
      <c r="H96" s="212"/>
      <c r="I96" s="575"/>
      <c r="J96" s="560"/>
      <c r="K96" s="212"/>
      <c r="L96" s="212"/>
      <c r="M96" s="212"/>
      <c r="N96" s="212"/>
      <c r="O96" s="212"/>
      <c r="P96" s="212"/>
      <c r="Q96" s="212"/>
      <c r="R96" s="212"/>
      <c r="S96" s="212"/>
      <c r="T96" s="212"/>
      <c r="U96" s="212"/>
      <c r="V96" s="212"/>
      <c r="W96" s="212"/>
      <c r="X96" s="212"/>
      <c r="Y96" s="212"/>
      <c r="Z96" s="212"/>
      <c r="AA96" s="212"/>
      <c r="AB96" s="212"/>
      <c r="AC96" s="212"/>
      <c r="AD96" s="212"/>
      <c r="AE96" s="212"/>
      <c r="AF96" s="212"/>
      <c r="AG96" s="212"/>
      <c r="AH96" s="212"/>
      <c r="AI96" s="212"/>
      <c r="AJ96" s="212"/>
      <c r="AK96" s="212"/>
      <c r="AL96" s="212"/>
      <c r="AM96" s="212"/>
      <c r="AN96" s="212"/>
      <c r="AO96" s="212"/>
      <c r="AP96" s="212"/>
      <c r="AQ96" s="212"/>
      <c r="AR96" s="212"/>
      <c r="AS96" s="212"/>
      <c r="AT96" s="212"/>
      <c r="AU96" s="212"/>
      <c r="AV96" s="212"/>
      <c r="AW96" s="212"/>
      <c r="AX96" s="212"/>
      <c r="AY96" s="212"/>
      <c r="AZ96" s="212"/>
      <c r="BA96" s="448"/>
    </row>
    <row r="97" spans="1:53" x14ac:dyDescent="0.2">
      <c r="A97" s="212"/>
      <c r="B97" s="212"/>
      <c r="C97" s="575"/>
      <c r="D97" s="576"/>
      <c r="E97" s="216"/>
      <c r="F97" s="216"/>
      <c r="G97" s="216"/>
      <c r="H97" s="212"/>
      <c r="I97" s="575"/>
      <c r="J97" s="560"/>
      <c r="K97" s="212"/>
      <c r="L97" s="212"/>
      <c r="M97" s="212"/>
      <c r="N97" s="212"/>
      <c r="O97" s="212"/>
      <c r="P97" s="212"/>
      <c r="Q97" s="212"/>
      <c r="R97" s="212"/>
      <c r="S97" s="212"/>
      <c r="T97" s="212"/>
      <c r="U97" s="212"/>
      <c r="V97" s="212"/>
      <c r="W97" s="212"/>
      <c r="X97" s="212"/>
      <c r="Y97" s="212"/>
      <c r="Z97" s="212"/>
      <c r="AA97" s="212"/>
      <c r="AB97" s="212"/>
      <c r="AC97" s="212"/>
      <c r="AD97" s="212"/>
      <c r="AE97" s="212"/>
      <c r="AF97" s="212"/>
      <c r="AG97" s="212"/>
      <c r="AH97" s="212"/>
      <c r="AI97" s="212"/>
      <c r="AJ97" s="212"/>
      <c r="AK97" s="212"/>
      <c r="AL97" s="212"/>
      <c r="AM97" s="212"/>
      <c r="AN97" s="212"/>
      <c r="AO97" s="212"/>
      <c r="AP97" s="212"/>
      <c r="AQ97" s="212"/>
      <c r="AR97" s="212"/>
      <c r="AS97" s="212"/>
      <c r="AT97" s="212"/>
      <c r="AU97" s="212"/>
      <c r="AV97" s="212"/>
      <c r="AW97" s="212"/>
      <c r="AX97" s="212"/>
      <c r="AY97" s="212"/>
      <c r="AZ97" s="212"/>
      <c r="BA97" s="448"/>
    </row>
    <row r="98" spans="1:53" x14ac:dyDescent="0.2">
      <c r="A98" s="212"/>
      <c r="B98" s="212"/>
      <c r="C98" s="575"/>
      <c r="D98" s="576"/>
      <c r="E98" s="216"/>
      <c r="F98" s="216"/>
      <c r="G98" s="216"/>
      <c r="H98" s="212"/>
      <c r="I98" s="575"/>
      <c r="J98" s="560"/>
      <c r="K98" s="212"/>
      <c r="L98" s="212"/>
      <c r="M98" s="212"/>
      <c r="N98" s="212"/>
      <c r="O98" s="212"/>
      <c r="P98" s="212"/>
      <c r="Q98" s="212"/>
      <c r="R98" s="212"/>
      <c r="S98" s="212"/>
      <c r="T98" s="212"/>
      <c r="U98" s="212"/>
      <c r="V98" s="212"/>
      <c r="W98" s="212"/>
      <c r="X98" s="212"/>
      <c r="Y98" s="212"/>
      <c r="Z98" s="212"/>
      <c r="AA98" s="212"/>
      <c r="AB98" s="212"/>
      <c r="AC98" s="212"/>
      <c r="AD98" s="212"/>
      <c r="AE98" s="212"/>
      <c r="AF98" s="212"/>
      <c r="AG98" s="212"/>
      <c r="AH98" s="212"/>
      <c r="AI98" s="212"/>
      <c r="AJ98" s="212"/>
      <c r="AK98" s="212"/>
      <c r="AL98" s="212"/>
      <c r="AM98" s="212"/>
      <c r="AN98" s="212"/>
      <c r="AO98" s="212"/>
      <c r="AP98" s="212"/>
      <c r="AQ98" s="212"/>
      <c r="AR98" s="212"/>
      <c r="AS98" s="212"/>
      <c r="AT98" s="212"/>
      <c r="AU98" s="212"/>
      <c r="AV98" s="212"/>
      <c r="AW98" s="212"/>
      <c r="AX98" s="212"/>
      <c r="AY98" s="212"/>
      <c r="AZ98" s="212"/>
      <c r="BA98" s="448"/>
    </row>
    <row r="99" spans="1:53" x14ac:dyDescent="0.2">
      <c r="A99" s="212"/>
      <c r="B99" s="212"/>
      <c r="C99" s="575"/>
      <c r="D99" s="576"/>
      <c r="E99" s="216"/>
      <c r="F99" s="216"/>
      <c r="G99" s="216"/>
      <c r="H99" s="212"/>
      <c r="I99" s="575"/>
      <c r="J99" s="560"/>
      <c r="K99" s="212"/>
      <c r="L99" s="212"/>
      <c r="M99" s="212"/>
      <c r="N99" s="212"/>
      <c r="O99" s="212"/>
      <c r="P99" s="212"/>
      <c r="Q99" s="212"/>
      <c r="R99" s="212"/>
      <c r="S99" s="212"/>
      <c r="T99" s="212"/>
      <c r="U99" s="212"/>
      <c r="V99" s="212"/>
      <c r="W99" s="212"/>
      <c r="X99" s="212"/>
      <c r="Y99" s="212"/>
      <c r="Z99" s="212"/>
      <c r="AA99" s="212"/>
      <c r="AB99" s="212"/>
      <c r="AC99" s="212"/>
      <c r="AD99" s="212"/>
      <c r="AE99" s="212"/>
      <c r="AF99" s="212"/>
      <c r="AG99" s="212"/>
      <c r="AH99" s="212"/>
      <c r="AI99" s="212"/>
      <c r="AJ99" s="212"/>
      <c r="AK99" s="212"/>
      <c r="AL99" s="212"/>
      <c r="AM99" s="212"/>
      <c r="AN99" s="212"/>
      <c r="AO99" s="212"/>
      <c r="AP99" s="212"/>
      <c r="AQ99" s="212"/>
      <c r="AR99" s="212"/>
      <c r="AS99" s="212"/>
      <c r="AT99" s="212"/>
      <c r="AU99" s="212"/>
      <c r="AV99" s="212"/>
      <c r="AW99" s="212"/>
      <c r="AX99" s="212"/>
      <c r="AY99" s="212"/>
      <c r="AZ99" s="212"/>
      <c r="BA99" s="448"/>
    </row>
    <row r="100" spans="1:53" x14ac:dyDescent="0.2">
      <c r="A100" s="212"/>
      <c r="B100" s="212"/>
      <c r="C100" s="575"/>
      <c r="D100" s="576"/>
      <c r="E100" s="216"/>
      <c r="F100" s="216"/>
      <c r="G100" s="216"/>
      <c r="H100" s="212"/>
      <c r="I100" s="575"/>
      <c r="J100" s="560"/>
      <c r="K100" s="212"/>
      <c r="L100" s="212"/>
      <c r="M100" s="212"/>
      <c r="N100" s="212"/>
      <c r="O100" s="212"/>
      <c r="P100" s="212"/>
      <c r="Q100" s="212"/>
      <c r="R100" s="212"/>
      <c r="S100" s="212"/>
      <c r="T100" s="212"/>
      <c r="U100" s="212"/>
      <c r="V100" s="212"/>
      <c r="W100" s="212"/>
      <c r="X100" s="212"/>
      <c r="Y100" s="212"/>
      <c r="Z100" s="212"/>
      <c r="AA100" s="212"/>
      <c r="AB100" s="212"/>
      <c r="AC100" s="212"/>
      <c r="AD100" s="212"/>
      <c r="AE100" s="212"/>
      <c r="AF100" s="212"/>
      <c r="AG100" s="212"/>
      <c r="AH100" s="212"/>
      <c r="AI100" s="212"/>
      <c r="AJ100" s="212"/>
      <c r="AK100" s="212"/>
      <c r="AL100" s="212"/>
      <c r="AM100" s="212"/>
      <c r="AN100" s="212"/>
      <c r="AO100" s="212"/>
      <c r="AP100" s="212"/>
      <c r="AQ100" s="212"/>
      <c r="AR100" s="212"/>
      <c r="AS100" s="212"/>
      <c r="AT100" s="212"/>
      <c r="AU100" s="212"/>
      <c r="AV100" s="212"/>
      <c r="AW100" s="212"/>
      <c r="AX100" s="212"/>
      <c r="AY100" s="212"/>
      <c r="AZ100" s="212"/>
      <c r="BA100" s="448"/>
    </row>
    <row r="101" spans="1:53" x14ac:dyDescent="0.2">
      <c r="A101" s="212"/>
      <c r="B101" s="212"/>
      <c r="C101" s="575"/>
      <c r="D101" s="576"/>
      <c r="E101" s="216"/>
      <c r="F101" s="216"/>
      <c r="G101" s="216"/>
      <c r="H101" s="212"/>
      <c r="I101" s="575"/>
      <c r="J101" s="560"/>
      <c r="K101" s="212"/>
      <c r="L101" s="212"/>
      <c r="M101" s="212"/>
      <c r="N101" s="212"/>
      <c r="O101" s="212"/>
      <c r="P101" s="212"/>
      <c r="Q101" s="212"/>
      <c r="R101" s="212"/>
      <c r="S101" s="212"/>
      <c r="T101" s="212"/>
      <c r="U101" s="212"/>
      <c r="V101" s="212"/>
      <c r="W101" s="212"/>
      <c r="X101" s="212"/>
      <c r="Y101" s="212"/>
      <c r="Z101" s="212"/>
      <c r="AA101" s="212"/>
      <c r="AB101" s="212"/>
      <c r="AC101" s="212"/>
      <c r="AD101" s="212"/>
      <c r="AE101" s="212"/>
      <c r="AF101" s="212"/>
      <c r="AG101" s="212"/>
      <c r="AH101" s="212"/>
      <c r="AI101" s="212"/>
      <c r="AJ101" s="212"/>
      <c r="AK101" s="212"/>
      <c r="AL101" s="212"/>
      <c r="AM101" s="212"/>
      <c r="AN101" s="212"/>
      <c r="AO101" s="212"/>
      <c r="AP101" s="212"/>
      <c r="AQ101" s="212"/>
      <c r="AR101" s="212"/>
      <c r="AS101" s="212"/>
      <c r="AT101" s="212"/>
      <c r="AU101" s="212"/>
      <c r="AV101" s="212"/>
      <c r="AW101" s="212"/>
      <c r="AX101" s="212"/>
      <c r="AY101" s="212"/>
      <c r="AZ101" s="212"/>
      <c r="BA101" s="448"/>
    </row>
    <row r="102" spans="1:53" x14ac:dyDescent="0.2">
      <c r="A102" s="212"/>
      <c r="B102" s="212"/>
      <c r="C102" s="575"/>
      <c r="D102" s="576"/>
      <c r="E102" s="216"/>
      <c r="F102" s="216"/>
      <c r="G102" s="216"/>
      <c r="H102" s="212"/>
      <c r="I102" s="575"/>
      <c r="J102" s="560"/>
      <c r="K102" s="212"/>
      <c r="L102" s="212"/>
      <c r="M102" s="212"/>
      <c r="N102" s="212"/>
      <c r="O102" s="212"/>
      <c r="P102" s="212"/>
      <c r="Q102" s="212"/>
      <c r="R102" s="212"/>
      <c r="S102" s="212"/>
      <c r="T102" s="212"/>
      <c r="U102" s="212"/>
      <c r="V102" s="212"/>
      <c r="W102" s="212"/>
      <c r="X102" s="212"/>
      <c r="Y102" s="212"/>
      <c r="Z102" s="212"/>
      <c r="AA102" s="212"/>
      <c r="AB102" s="212"/>
      <c r="AC102" s="212"/>
      <c r="AD102" s="212"/>
      <c r="AE102" s="212"/>
      <c r="AF102" s="212"/>
      <c r="AG102" s="212"/>
      <c r="AH102" s="212"/>
      <c r="AI102" s="212"/>
      <c r="AJ102" s="212"/>
      <c r="AK102" s="212"/>
      <c r="AL102" s="212"/>
      <c r="AM102" s="212"/>
      <c r="AN102" s="212"/>
      <c r="AO102" s="212"/>
      <c r="AP102" s="212"/>
      <c r="AQ102" s="212"/>
      <c r="AR102" s="212"/>
      <c r="AS102" s="212"/>
      <c r="AT102" s="212"/>
      <c r="AU102" s="212"/>
      <c r="AV102" s="212"/>
      <c r="AW102" s="212"/>
      <c r="AX102" s="212"/>
      <c r="AY102" s="212"/>
      <c r="AZ102" s="212"/>
      <c r="BA102" s="448"/>
    </row>
    <row r="103" spans="1:53" x14ac:dyDescent="0.2">
      <c r="A103" s="212"/>
      <c r="B103" s="212"/>
      <c r="C103" s="575"/>
      <c r="D103" s="576"/>
      <c r="E103" s="216"/>
      <c r="F103" s="216"/>
      <c r="G103" s="216"/>
      <c r="H103" s="212"/>
      <c r="I103" s="575"/>
      <c r="J103" s="560"/>
      <c r="K103" s="212"/>
      <c r="L103" s="212"/>
      <c r="M103" s="212"/>
      <c r="N103" s="212"/>
      <c r="O103" s="212"/>
      <c r="P103" s="212"/>
      <c r="Q103" s="212"/>
      <c r="R103" s="212"/>
      <c r="S103" s="212"/>
      <c r="T103" s="212"/>
      <c r="U103" s="212"/>
      <c r="V103" s="212"/>
      <c r="W103" s="212"/>
      <c r="X103" s="212"/>
      <c r="Y103" s="212"/>
      <c r="Z103" s="212"/>
      <c r="AA103" s="212"/>
      <c r="AB103" s="212"/>
      <c r="AC103" s="212"/>
      <c r="AD103" s="212"/>
      <c r="AE103" s="212"/>
      <c r="AF103" s="212"/>
      <c r="AG103" s="212"/>
      <c r="AH103" s="212"/>
      <c r="AI103" s="212"/>
      <c r="AJ103" s="212"/>
      <c r="AK103" s="212"/>
      <c r="AL103" s="212"/>
      <c r="AM103" s="212"/>
      <c r="AN103" s="212"/>
      <c r="AO103" s="212"/>
      <c r="AP103" s="212"/>
      <c r="AQ103" s="212"/>
      <c r="AR103" s="212"/>
      <c r="AS103" s="212"/>
      <c r="AT103" s="212"/>
      <c r="AU103" s="212"/>
      <c r="AV103" s="212"/>
      <c r="AW103" s="212"/>
      <c r="AX103" s="212"/>
      <c r="AY103" s="212"/>
      <c r="AZ103" s="212"/>
      <c r="BA103" s="448"/>
    </row>
    <row r="104" spans="1:53" x14ac:dyDescent="0.2">
      <c r="A104" s="212"/>
      <c r="B104" s="212"/>
      <c r="C104" s="575"/>
      <c r="D104" s="576"/>
      <c r="E104" s="216"/>
      <c r="F104" s="216"/>
      <c r="G104" s="216"/>
      <c r="H104" s="212"/>
      <c r="I104" s="575"/>
      <c r="J104" s="560"/>
      <c r="K104" s="212"/>
      <c r="L104" s="212"/>
      <c r="M104" s="212"/>
      <c r="N104" s="212"/>
      <c r="O104" s="212"/>
      <c r="P104" s="212"/>
      <c r="Q104" s="212"/>
      <c r="R104" s="212"/>
      <c r="S104" s="212"/>
      <c r="T104" s="212"/>
      <c r="U104" s="212"/>
      <c r="V104" s="212"/>
      <c r="W104" s="212"/>
      <c r="X104" s="212"/>
      <c r="Y104" s="212"/>
      <c r="Z104" s="212"/>
      <c r="AA104" s="212"/>
      <c r="AB104" s="212"/>
      <c r="AC104" s="212"/>
      <c r="AD104" s="212"/>
      <c r="AE104" s="212"/>
      <c r="AF104" s="212"/>
      <c r="AG104" s="212"/>
      <c r="AH104" s="212"/>
      <c r="AI104" s="212"/>
      <c r="AJ104" s="212"/>
      <c r="AK104" s="212"/>
      <c r="AL104" s="212"/>
      <c r="AM104" s="212"/>
      <c r="AN104" s="212"/>
      <c r="AO104" s="212"/>
      <c r="AP104" s="212"/>
      <c r="AQ104" s="212"/>
      <c r="AR104" s="212"/>
      <c r="AS104" s="212"/>
      <c r="AT104" s="212"/>
      <c r="AU104" s="212"/>
      <c r="AV104" s="212"/>
      <c r="AW104" s="212"/>
      <c r="AX104" s="212"/>
      <c r="AY104" s="212"/>
      <c r="AZ104" s="212"/>
      <c r="BA104" s="448"/>
    </row>
    <row r="105" spans="1:53" x14ac:dyDescent="0.2">
      <c r="A105" s="212"/>
      <c r="B105" s="212"/>
      <c r="C105" s="575"/>
      <c r="D105" s="576"/>
      <c r="E105" s="216"/>
      <c r="F105" s="216"/>
      <c r="G105" s="216"/>
      <c r="H105" s="212"/>
      <c r="I105" s="575"/>
      <c r="J105" s="560"/>
      <c r="K105" s="212"/>
      <c r="L105" s="212"/>
      <c r="M105" s="212"/>
      <c r="N105" s="212"/>
      <c r="O105" s="212"/>
      <c r="P105" s="212"/>
      <c r="Q105" s="212"/>
      <c r="R105" s="212"/>
      <c r="S105" s="212"/>
      <c r="T105" s="212"/>
      <c r="U105" s="212"/>
      <c r="V105" s="212"/>
      <c r="W105" s="212"/>
      <c r="X105" s="212"/>
      <c r="Y105" s="212"/>
      <c r="Z105" s="212"/>
      <c r="AA105" s="212"/>
      <c r="AB105" s="212"/>
      <c r="AC105" s="212"/>
      <c r="AD105" s="212"/>
      <c r="AE105" s="212"/>
      <c r="AF105" s="212"/>
      <c r="AG105" s="212"/>
      <c r="AH105" s="212"/>
      <c r="AI105" s="212"/>
      <c r="AJ105" s="212"/>
      <c r="AK105" s="212"/>
      <c r="AL105" s="212"/>
      <c r="AM105" s="212"/>
      <c r="AN105" s="212"/>
      <c r="AO105" s="212"/>
      <c r="AP105" s="212"/>
      <c r="AQ105" s="212"/>
      <c r="AR105" s="212"/>
      <c r="AS105" s="212"/>
      <c r="AT105" s="212"/>
      <c r="AU105" s="212"/>
      <c r="AV105" s="212"/>
      <c r="AW105" s="212"/>
      <c r="AX105" s="212"/>
      <c r="AY105" s="212"/>
      <c r="AZ105" s="212"/>
      <c r="BA105" s="448"/>
    </row>
    <row r="106" spans="1:53" x14ac:dyDescent="0.2">
      <c r="A106" s="212"/>
      <c r="B106" s="212"/>
      <c r="C106" s="575"/>
      <c r="D106" s="576"/>
      <c r="E106" s="216"/>
      <c r="F106" s="216"/>
      <c r="G106" s="216"/>
      <c r="H106" s="212"/>
      <c r="I106" s="575"/>
      <c r="J106" s="560"/>
      <c r="K106" s="212"/>
      <c r="L106" s="212"/>
      <c r="M106" s="212"/>
      <c r="N106" s="212"/>
      <c r="O106" s="212"/>
      <c r="P106" s="212"/>
      <c r="Q106" s="212"/>
      <c r="R106" s="212"/>
      <c r="S106" s="212"/>
      <c r="T106" s="212"/>
      <c r="U106" s="212"/>
      <c r="V106" s="212"/>
      <c r="W106" s="212"/>
      <c r="X106" s="212"/>
      <c r="Y106" s="212"/>
      <c r="Z106" s="212"/>
      <c r="AA106" s="212"/>
      <c r="AB106" s="212"/>
      <c r="AC106" s="212"/>
      <c r="AD106" s="212"/>
      <c r="AE106" s="212"/>
      <c r="AF106" s="212"/>
      <c r="AG106" s="212"/>
      <c r="AH106" s="212"/>
      <c r="AI106" s="212"/>
      <c r="AJ106" s="212"/>
      <c r="AK106" s="212"/>
      <c r="AL106" s="212"/>
      <c r="AM106" s="212"/>
      <c r="AN106" s="212"/>
      <c r="AO106" s="212"/>
      <c r="AP106" s="212"/>
      <c r="AQ106" s="212"/>
      <c r="AR106" s="212"/>
      <c r="AS106" s="212"/>
      <c r="AT106" s="212"/>
      <c r="AU106" s="212"/>
      <c r="AV106" s="212"/>
      <c r="AW106" s="212"/>
      <c r="AX106" s="212"/>
      <c r="AY106" s="212"/>
      <c r="AZ106" s="212"/>
      <c r="BA106" s="448"/>
    </row>
    <row r="107" spans="1:53" x14ac:dyDescent="0.2">
      <c r="A107" s="212"/>
      <c r="B107" s="212"/>
      <c r="C107" s="575"/>
      <c r="D107" s="576"/>
      <c r="E107" s="216"/>
      <c r="F107" s="216"/>
      <c r="G107" s="216"/>
      <c r="H107" s="212"/>
      <c r="I107" s="575"/>
      <c r="J107" s="560"/>
      <c r="K107" s="212"/>
      <c r="L107" s="212"/>
      <c r="M107" s="212"/>
      <c r="N107" s="212"/>
      <c r="O107" s="212"/>
      <c r="P107" s="212"/>
      <c r="Q107" s="212"/>
      <c r="R107" s="212"/>
      <c r="S107" s="212"/>
      <c r="T107" s="212"/>
      <c r="U107" s="212"/>
      <c r="V107" s="212"/>
      <c r="W107" s="212"/>
      <c r="X107" s="212"/>
      <c r="Y107" s="212"/>
      <c r="Z107" s="212"/>
      <c r="AA107" s="212"/>
      <c r="AB107" s="212"/>
      <c r="AC107" s="212"/>
      <c r="AD107" s="212"/>
      <c r="AE107" s="212"/>
      <c r="AF107" s="212"/>
      <c r="AG107" s="212"/>
      <c r="AH107" s="212"/>
      <c r="AI107" s="212"/>
      <c r="AJ107" s="212"/>
      <c r="AK107" s="212"/>
      <c r="AL107" s="212"/>
      <c r="AM107" s="212"/>
      <c r="AN107" s="212"/>
      <c r="AO107" s="212"/>
      <c r="AP107" s="212"/>
      <c r="AQ107" s="212"/>
      <c r="AR107" s="212"/>
      <c r="AS107" s="212"/>
      <c r="AT107" s="212"/>
      <c r="AU107" s="212"/>
      <c r="AV107" s="212"/>
      <c r="AW107" s="212"/>
      <c r="AX107" s="212"/>
      <c r="AY107" s="212"/>
      <c r="AZ107" s="212"/>
      <c r="BA107" s="448"/>
    </row>
    <row r="108" spans="1:53" x14ac:dyDescent="0.2">
      <c r="A108" s="212"/>
      <c r="B108" s="212"/>
      <c r="C108" s="575"/>
      <c r="D108" s="576"/>
      <c r="E108" s="216"/>
      <c r="F108" s="216"/>
      <c r="G108" s="216"/>
      <c r="H108" s="212"/>
      <c r="I108" s="575"/>
      <c r="J108" s="560"/>
      <c r="K108" s="212"/>
      <c r="L108" s="212"/>
      <c r="M108" s="212"/>
      <c r="N108" s="212"/>
      <c r="O108" s="212"/>
      <c r="P108" s="212"/>
      <c r="Q108" s="212"/>
      <c r="R108" s="212"/>
      <c r="S108" s="212"/>
      <c r="T108" s="212"/>
      <c r="U108" s="212"/>
      <c r="V108" s="212"/>
      <c r="W108" s="212"/>
      <c r="X108" s="212"/>
      <c r="Y108" s="212"/>
      <c r="Z108" s="212"/>
      <c r="AA108" s="212"/>
      <c r="AB108" s="212"/>
      <c r="AC108" s="212"/>
      <c r="AD108" s="212"/>
      <c r="AE108" s="212"/>
      <c r="AF108" s="212"/>
      <c r="AG108" s="212"/>
      <c r="AH108" s="212"/>
      <c r="AI108" s="212"/>
      <c r="AJ108" s="212"/>
      <c r="AK108" s="212"/>
      <c r="AL108" s="212"/>
      <c r="AM108" s="212"/>
      <c r="AN108" s="212"/>
      <c r="AO108" s="212"/>
      <c r="AP108" s="212"/>
      <c r="AQ108" s="212"/>
      <c r="AR108" s="212"/>
      <c r="AS108" s="212"/>
      <c r="AT108" s="212"/>
      <c r="AU108" s="212"/>
      <c r="AV108" s="212"/>
      <c r="AW108" s="212"/>
      <c r="AX108" s="212"/>
      <c r="AY108" s="212"/>
      <c r="AZ108" s="212"/>
      <c r="BA108" s="448"/>
    </row>
    <row r="109" spans="1:53" x14ac:dyDescent="0.2">
      <c r="A109" s="212"/>
      <c r="B109" s="212"/>
      <c r="C109" s="575"/>
      <c r="D109" s="576"/>
      <c r="E109" s="216"/>
      <c r="F109" s="216"/>
      <c r="G109" s="216"/>
      <c r="H109" s="212"/>
      <c r="I109" s="575"/>
      <c r="J109" s="560"/>
      <c r="K109" s="212"/>
      <c r="L109" s="212"/>
      <c r="M109" s="212"/>
      <c r="N109" s="212"/>
      <c r="O109" s="212"/>
      <c r="P109" s="212"/>
      <c r="Q109" s="212"/>
      <c r="R109" s="212"/>
      <c r="S109" s="212"/>
      <c r="T109" s="212"/>
      <c r="U109" s="212"/>
      <c r="V109" s="212"/>
      <c r="W109" s="212"/>
      <c r="X109" s="212"/>
      <c r="Y109" s="212"/>
      <c r="Z109" s="212"/>
      <c r="AA109" s="212"/>
      <c r="AB109" s="212"/>
      <c r="AC109" s="212"/>
      <c r="AD109" s="212"/>
      <c r="AE109" s="212"/>
      <c r="AF109" s="212"/>
      <c r="AG109" s="212"/>
      <c r="AH109" s="212"/>
      <c r="AI109" s="212"/>
      <c r="AJ109" s="212"/>
      <c r="AK109" s="212"/>
      <c r="AL109" s="212"/>
      <c r="AM109" s="212"/>
      <c r="AN109" s="212"/>
      <c r="AO109" s="212"/>
      <c r="AP109" s="212"/>
      <c r="AQ109" s="212"/>
      <c r="AR109" s="212"/>
      <c r="AS109" s="212"/>
      <c r="AT109" s="212"/>
      <c r="AU109" s="212"/>
      <c r="AV109" s="212"/>
      <c r="AW109" s="212"/>
      <c r="AX109" s="212"/>
      <c r="AY109" s="212"/>
      <c r="AZ109" s="212"/>
      <c r="BA109" s="448"/>
    </row>
    <row r="110" spans="1:53" x14ac:dyDescent="0.2">
      <c r="A110" s="212"/>
      <c r="B110" s="212"/>
      <c r="C110" s="575"/>
      <c r="D110" s="576"/>
      <c r="E110" s="216"/>
      <c r="F110" s="216"/>
      <c r="G110" s="216"/>
      <c r="H110" s="212"/>
      <c r="I110" s="575"/>
      <c r="J110" s="560"/>
      <c r="K110" s="212"/>
      <c r="L110" s="212"/>
      <c r="M110" s="212"/>
      <c r="N110" s="212"/>
      <c r="O110" s="212"/>
      <c r="P110" s="212"/>
      <c r="Q110" s="212"/>
      <c r="R110" s="212"/>
      <c r="S110" s="212"/>
      <c r="T110" s="212"/>
      <c r="U110" s="212"/>
      <c r="V110" s="212"/>
      <c r="W110" s="212"/>
      <c r="X110" s="212"/>
      <c r="Y110" s="212"/>
      <c r="Z110" s="212"/>
      <c r="AA110" s="212"/>
      <c r="AB110" s="212"/>
      <c r="AC110" s="212"/>
      <c r="AD110" s="212"/>
      <c r="AE110" s="212"/>
      <c r="AF110" s="212"/>
      <c r="AG110" s="212"/>
      <c r="AH110" s="212"/>
      <c r="AI110" s="212"/>
      <c r="AJ110" s="212"/>
      <c r="AK110" s="212"/>
      <c r="AL110" s="212"/>
      <c r="AM110" s="212"/>
      <c r="AN110" s="212"/>
      <c r="AO110" s="212"/>
      <c r="AP110" s="212"/>
      <c r="AQ110" s="212"/>
      <c r="AR110" s="212"/>
      <c r="AS110" s="212"/>
      <c r="AT110" s="212"/>
      <c r="AU110" s="212"/>
      <c r="AV110" s="212"/>
      <c r="AW110" s="212"/>
      <c r="AX110" s="212"/>
      <c r="AY110" s="212"/>
      <c r="AZ110" s="212"/>
      <c r="BA110" s="448"/>
    </row>
    <row r="111" spans="1:53" x14ac:dyDescent="0.2">
      <c r="A111" s="212"/>
      <c r="B111" s="212"/>
      <c r="C111" s="575"/>
      <c r="D111" s="576"/>
      <c r="E111" s="216"/>
      <c r="F111" s="216"/>
      <c r="G111" s="216"/>
      <c r="H111" s="212"/>
      <c r="I111" s="575"/>
      <c r="J111" s="560"/>
      <c r="K111" s="212"/>
      <c r="L111" s="212"/>
      <c r="M111" s="212"/>
      <c r="N111" s="212"/>
      <c r="O111" s="212"/>
      <c r="P111" s="212"/>
      <c r="Q111" s="212"/>
      <c r="R111" s="212"/>
      <c r="S111" s="212"/>
      <c r="T111" s="212"/>
      <c r="U111" s="212"/>
      <c r="V111" s="212"/>
      <c r="W111" s="212"/>
      <c r="X111" s="212"/>
      <c r="Y111" s="212"/>
      <c r="Z111" s="212"/>
      <c r="AA111" s="212"/>
      <c r="AB111" s="212"/>
      <c r="AC111" s="212"/>
      <c r="AD111" s="212"/>
      <c r="AE111" s="212"/>
      <c r="AF111" s="212"/>
      <c r="AG111" s="212"/>
      <c r="AH111" s="212"/>
      <c r="AI111" s="212"/>
      <c r="AJ111" s="212"/>
      <c r="AK111" s="212"/>
      <c r="AL111" s="212"/>
      <c r="AM111" s="212"/>
      <c r="AN111" s="212"/>
      <c r="AO111" s="212"/>
      <c r="AP111" s="212"/>
      <c r="AQ111" s="212"/>
      <c r="AR111" s="212"/>
      <c r="AS111" s="212"/>
      <c r="AT111" s="212"/>
      <c r="AU111" s="212"/>
      <c r="AV111" s="212"/>
      <c r="AW111" s="212"/>
      <c r="AX111" s="212"/>
      <c r="AY111" s="212"/>
      <c r="AZ111" s="212"/>
      <c r="BA111" s="448"/>
    </row>
    <row r="112" spans="1:53" x14ac:dyDescent="0.2">
      <c r="A112" s="212"/>
      <c r="B112" s="212"/>
      <c r="C112" s="575"/>
      <c r="D112" s="576"/>
      <c r="E112" s="216"/>
      <c r="F112" s="216"/>
      <c r="G112" s="216"/>
      <c r="H112" s="212"/>
      <c r="I112" s="575"/>
      <c r="J112" s="560"/>
      <c r="K112" s="212"/>
      <c r="L112" s="212"/>
      <c r="M112" s="212"/>
      <c r="N112" s="212"/>
      <c r="O112" s="212"/>
      <c r="P112" s="212"/>
      <c r="Q112" s="212"/>
      <c r="R112" s="212"/>
      <c r="S112" s="212"/>
      <c r="T112" s="212"/>
      <c r="U112" s="212"/>
      <c r="V112" s="212"/>
      <c r="W112" s="212"/>
      <c r="X112" s="212"/>
      <c r="Y112" s="212"/>
      <c r="Z112" s="212"/>
      <c r="AA112" s="212"/>
      <c r="AB112" s="212"/>
      <c r="AC112" s="212"/>
      <c r="AD112" s="212"/>
      <c r="AE112" s="212"/>
      <c r="AF112" s="212"/>
      <c r="AG112" s="212"/>
      <c r="AH112" s="212"/>
      <c r="AI112" s="212"/>
      <c r="AJ112" s="212"/>
      <c r="AK112" s="212"/>
      <c r="AL112" s="212"/>
      <c r="AM112" s="212"/>
      <c r="AN112" s="212"/>
      <c r="AO112" s="212"/>
      <c r="AP112" s="212"/>
      <c r="AQ112" s="212"/>
      <c r="AR112" s="212"/>
      <c r="AS112" s="212"/>
      <c r="AT112" s="212"/>
      <c r="AU112" s="212"/>
      <c r="AV112" s="212"/>
      <c r="AW112" s="212"/>
      <c r="AX112" s="212"/>
      <c r="AY112" s="212"/>
      <c r="AZ112" s="212"/>
      <c r="BA112" s="448"/>
    </row>
    <row r="113" spans="1:53" x14ac:dyDescent="0.2">
      <c r="A113" s="212"/>
      <c r="B113" s="212"/>
      <c r="C113" s="575"/>
      <c r="D113" s="576"/>
      <c r="E113" s="216"/>
      <c r="F113" s="216"/>
      <c r="G113" s="216"/>
      <c r="H113" s="212"/>
      <c r="I113" s="575"/>
      <c r="J113" s="560"/>
      <c r="K113" s="212"/>
      <c r="L113" s="212"/>
      <c r="M113" s="212"/>
      <c r="N113" s="212"/>
      <c r="O113" s="212"/>
      <c r="P113" s="212"/>
      <c r="Q113" s="212"/>
      <c r="R113" s="212"/>
      <c r="S113" s="212"/>
      <c r="T113" s="212"/>
      <c r="U113" s="212"/>
      <c r="V113" s="212"/>
      <c r="W113" s="212"/>
      <c r="X113" s="212"/>
      <c r="Y113" s="212"/>
      <c r="Z113" s="212"/>
      <c r="AA113" s="212"/>
      <c r="AB113" s="212"/>
      <c r="AC113" s="212"/>
      <c r="AD113" s="212"/>
      <c r="AE113" s="212"/>
      <c r="AF113" s="212"/>
      <c r="AG113" s="212"/>
      <c r="AH113" s="212"/>
      <c r="AI113" s="212"/>
      <c r="AJ113" s="212"/>
      <c r="AK113" s="212"/>
      <c r="AL113" s="212"/>
      <c r="AM113" s="212"/>
      <c r="AN113" s="212"/>
      <c r="AO113" s="212"/>
      <c r="AP113" s="212"/>
      <c r="AQ113" s="212"/>
      <c r="AR113" s="212"/>
      <c r="AS113" s="212"/>
      <c r="AT113" s="212"/>
      <c r="AU113" s="212"/>
      <c r="AV113" s="212"/>
      <c r="AW113" s="212"/>
      <c r="AX113" s="212"/>
      <c r="AY113" s="212"/>
      <c r="AZ113" s="212"/>
      <c r="BA113" s="448"/>
    </row>
    <row r="114" spans="1:53" x14ac:dyDescent="0.2">
      <c r="A114" s="212"/>
      <c r="B114" s="212"/>
      <c r="C114" s="575"/>
      <c r="D114" s="576"/>
      <c r="E114" s="216"/>
      <c r="F114" s="216"/>
      <c r="G114" s="216"/>
      <c r="H114" s="212"/>
      <c r="I114" s="575"/>
      <c r="J114" s="560"/>
      <c r="K114" s="212"/>
      <c r="L114" s="212"/>
      <c r="M114" s="212"/>
      <c r="N114" s="212"/>
      <c r="O114" s="212"/>
      <c r="P114" s="212"/>
      <c r="Q114" s="212"/>
      <c r="R114" s="212"/>
      <c r="S114" s="212"/>
      <c r="T114" s="212"/>
      <c r="U114" s="212"/>
      <c r="V114" s="212"/>
      <c r="W114" s="212"/>
      <c r="X114" s="212"/>
      <c r="Y114" s="212"/>
      <c r="Z114" s="212"/>
      <c r="AA114" s="212"/>
      <c r="AB114" s="212"/>
      <c r="AC114" s="212"/>
      <c r="AD114" s="212"/>
      <c r="AE114" s="212"/>
      <c r="AF114" s="212"/>
      <c r="AG114" s="212"/>
      <c r="AH114" s="212"/>
      <c r="AI114" s="212"/>
      <c r="AJ114" s="212"/>
      <c r="AK114" s="212"/>
      <c r="AL114" s="212"/>
      <c r="AM114" s="212"/>
      <c r="AN114" s="212"/>
      <c r="AO114" s="212"/>
      <c r="AP114" s="212"/>
      <c r="AQ114" s="212"/>
      <c r="AR114" s="212"/>
      <c r="AS114" s="212"/>
      <c r="AT114" s="212"/>
      <c r="AU114" s="212"/>
      <c r="AV114" s="212"/>
      <c r="AW114" s="212"/>
      <c r="AX114" s="212"/>
      <c r="AY114" s="212"/>
      <c r="AZ114" s="212"/>
      <c r="BA114" s="448"/>
    </row>
    <row r="115" spans="1:53" x14ac:dyDescent="0.2">
      <c r="A115" s="212"/>
      <c r="B115" s="212"/>
      <c r="C115" s="575"/>
      <c r="D115" s="576"/>
      <c r="E115" s="216"/>
      <c r="F115" s="216"/>
      <c r="G115" s="216"/>
      <c r="H115" s="212"/>
      <c r="I115" s="575"/>
      <c r="J115" s="560"/>
      <c r="K115" s="212"/>
      <c r="L115" s="212"/>
      <c r="M115" s="212"/>
      <c r="N115" s="212"/>
      <c r="O115" s="212"/>
      <c r="P115" s="212"/>
      <c r="Q115" s="212"/>
      <c r="R115" s="212"/>
      <c r="S115" s="212"/>
      <c r="T115" s="212"/>
      <c r="U115" s="212"/>
      <c r="V115" s="212"/>
      <c r="W115" s="212"/>
      <c r="X115" s="212"/>
      <c r="Y115" s="212"/>
      <c r="Z115" s="212"/>
      <c r="AA115" s="212"/>
      <c r="AB115" s="212"/>
      <c r="AC115" s="212"/>
      <c r="AD115" s="212"/>
      <c r="AE115" s="212"/>
      <c r="AF115" s="212"/>
      <c r="AG115" s="212"/>
      <c r="AH115" s="212"/>
      <c r="AI115" s="212"/>
      <c r="AJ115" s="212"/>
      <c r="AK115" s="212"/>
      <c r="AL115" s="212"/>
      <c r="AM115" s="212"/>
      <c r="AN115" s="212"/>
      <c r="AO115" s="212"/>
      <c r="AP115" s="212"/>
      <c r="AQ115" s="212"/>
      <c r="AR115" s="212"/>
      <c r="AS115" s="212"/>
      <c r="AT115" s="212"/>
      <c r="AU115" s="212"/>
      <c r="AV115" s="212"/>
      <c r="AW115" s="212"/>
      <c r="AX115" s="212"/>
      <c r="AY115" s="212"/>
      <c r="AZ115" s="212"/>
      <c r="BA115" s="448"/>
    </row>
    <row r="116" spans="1:53" x14ac:dyDescent="0.2">
      <c r="A116" s="212"/>
      <c r="B116" s="212"/>
      <c r="C116" s="575"/>
      <c r="D116" s="576"/>
      <c r="E116" s="216"/>
      <c r="F116" s="216"/>
      <c r="G116" s="216"/>
      <c r="H116" s="212"/>
      <c r="I116" s="575"/>
      <c r="J116" s="560"/>
      <c r="K116" s="212"/>
      <c r="L116" s="212"/>
      <c r="M116" s="212"/>
      <c r="N116" s="212"/>
      <c r="O116" s="212"/>
      <c r="P116" s="212"/>
      <c r="Q116" s="212"/>
      <c r="R116" s="212"/>
      <c r="S116" s="212"/>
      <c r="T116" s="212"/>
      <c r="U116" s="212"/>
      <c r="V116" s="212"/>
      <c r="W116" s="212"/>
      <c r="X116" s="212"/>
      <c r="Y116" s="212"/>
      <c r="Z116" s="212"/>
      <c r="AA116" s="212"/>
      <c r="AB116" s="212"/>
      <c r="AC116" s="212"/>
      <c r="AD116" s="212"/>
      <c r="AE116" s="212"/>
      <c r="AF116" s="212"/>
      <c r="AG116" s="212"/>
      <c r="AH116" s="212"/>
      <c r="AI116" s="212"/>
      <c r="AJ116" s="212"/>
      <c r="AK116" s="212"/>
      <c r="AL116" s="212"/>
      <c r="AM116" s="212"/>
      <c r="AN116" s="212"/>
      <c r="AO116" s="212"/>
      <c r="AP116" s="212"/>
      <c r="AQ116" s="212"/>
      <c r="AR116" s="212"/>
      <c r="AS116" s="212"/>
      <c r="AT116" s="212"/>
      <c r="AU116" s="212"/>
      <c r="AV116" s="212"/>
      <c r="AW116" s="212"/>
      <c r="AX116" s="212"/>
      <c r="AY116" s="212"/>
      <c r="AZ116" s="212"/>
      <c r="BA116" s="448"/>
    </row>
    <row r="117" spans="1:53" x14ac:dyDescent="0.2">
      <c r="A117" s="212"/>
      <c r="B117" s="212"/>
      <c r="C117" s="575"/>
      <c r="D117" s="576"/>
      <c r="E117" s="216"/>
      <c r="F117" s="216"/>
      <c r="G117" s="216"/>
      <c r="H117" s="212"/>
      <c r="I117" s="575"/>
      <c r="J117" s="560"/>
      <c r="K117" s="212"/>
      <c r="L117" s="212"/>
      <c r="M117" s="212"/>
      <c r="N117" s="212"/>
      <c r="O117" s="212"/>
      <c r="P117" s="212"/>
      <c r="Q117" s="212"/>
      <c r="R117" s="212"/>
      <c r="S117" s="212"/>
      <c r="T117" s="212"/>
      <c r="U117" s="212"/>
      <c r="V117" s="212"/>
      <c r="W117" s="212"/>
      <c r="X117" s="212"/>
      <c r="Y117" s="212"/>
      <c r="Z117" s="212"/>
      <c r="AA117" s="212"/>
      <c r="AB117" s="212"/>
      <c r="AC117" s="212"/>
      <c r="AD117" s="212"/>
      <c r="AE117" s="212"/>
      <c r="AF117" s="212"/>
      <c r="AG117" s="212"/>
      <c r="AH117" s="212"/>
      <c r="AI117" s="212"/>
      <c r="AJ117" s="212"/>
      <c r="AK117" s="212"/>
      <c r="AL117" s="212"/>
      <c r="AM117" s="212"/>
      <c r="AN117" s="212"/>
      <c r="AO117" s="212"/>
      <c r="AP117" s="212"/>
      <c r="AQ117" s="212"/>
      <c r="AR117" s="212"/>
      <c r="AS117" s="212"/>
      <c r="AT117" s="212"/>
      <c r="AU117" s="212"/>
      <c r="AV117" s="212"/>
      <c r="AW117" s="212"/>
      <c r="AX117" s="212"/>
      <c r="AY117" s="212"/>
      <c r="AZ117" s="212"/>
      <c r="BA117" s="448"/>
    </row>
    <row r="118" spans="1:53" x14ac:dyDescent="0.2">
      <c r="A118" s="212"/>
      <c r="B118" s="212"/>
      <c r="C118" s="575"/>
      <c r="D118" s="576"/>
      <c r="E118" s="216"/>
      <c r="F118" s="216"/>
      <c r="G118" s="216"/>
      <c r="H118" s="212"/>
      <c r="I118" s="575"/>
      <c r="J118" s="560"/>
      <c r="K118" s="212"/>
      <c r="L118" s="212"/>
      <c r="M118" s="212"/>
      <c r="N118" s="212"/>
      <c r="O118" s="212"/>
      <c r="P118" s="212"/>
      <c r="Q118" s="212"/>
      <c r="R118" s="212"/>
      <c r="S118" s="212"/>
      <c r="T118" s="212"/>
      <c r="U118" s="212"/>
      <c r="V118" s="212"/>
      <c r="W118" s="212"/>
      <c r="X118" s="212"/>
      <c r="Y118" s="212"/>
      <c r="Z118" s="212"/>
      <c r="AA118" s="212"/>
      <c r="AB118" s="212"/>
      <c r="AC118" s="212"/>
      <c r="AD118" s="212"/>
      <c r="AE118" s="212"/>
      <c r="AF118" s="212"/>
      <c r="AG118" s="212"/>
      <c r="AH118" s="212"/>
      <c r="AI118" s="212"/>
      <c r="AJ118" s="212"/>
      <c r="AK118" s="212"/>
      <c r="AL118" s="212"/>
      <c r="AM118" s="212"/>
      <c r="AN118" s="212"/>
      <c r="AO118" s="212"/>
      <c r="AP118" s="212"/>
      <c r="AQ118" s="212"/>
      <c r="AR118" s="212"/>
      <c r="AS118" s="212"/>
      <c r="AT118" s="212"/>
      <c r="AU118" s="212"/>
      <c r="AV118" s="212"/>
      <c r="AW118" s="212"/>
      <c r="AX118" s="212"/>
      <c r="AY118" s="212"/>
      <c r="AZ118" s="212"/>
      <c r="BA118" s="448"/>
    </row>
    <row r="119" spans="1:53" x14ac:dyDescent="0.2">
      <c r="A119" s="212"/>
      <c r="B119" s="212"/>
      <c r="C119" s="575"/>
      <c r="D119" s="576"/>
      <c r="E119" s="216"/>
      <c r="F119" s="216"/>
      <c r="G119" s="216"/>
      <c r="H119" s="212"/>
      <c r="I119" s="575"/>
      <c r="J119" s="560"/>
      <c r="K119" s="212"/>
      <c r="L119" s="212"/>
      <c r="M119" s="212"/>
      <c r="N119" s="212"/>
      <c r="O119" s="212"/>
      <c r="P119" s="212"/>
      <c r="Q119" s="212"/>
      <c r="R119" s="212"/>
      <c r="S119" s="212"/>
      <c r="T119" s="212"/>
      <c r="U119" s="212"/>
      <c r="V119" s="212"/>
      <c r="W119" s="212"/>
      <c r="X119" s="212"/>
      <c r="Y119" s="212"/>
      <c r="Z119" s="212"/>
      <c r="AA119" s="212"/>
      <c r="AB119" s="212"/>
      <c r="AC119" s="212"/>
      <c r="AD119" s="212"/>
      <c r="AE119" s="212"/>
      <c r="AF119" s="212"/>
      <c r="AG119" s="212"/>
      <c r="AH119" s="212"/>
      <c r="AI119" s="212"/>
      <c r="AJ119" s="212"/>
      <c r="AK119" s="212"/>
      <c r="AL119" s="212"/>
      <c r="AM119" s="212"/>
      <c r="AN119" s="212"/>
      <c r="AO119" s="212"/>
      <c r="AP119" s="212"/>
      <c r="AQ119" s="212"/>
      <c r="AR119" s="212"/>
      <c r="AS119" s="212"/>
      <c r="AT119" s="212"/>
      <c r="AU119" s="212"/>
      <c r="AV119" s="212"/>
      <c r="AW119" s="212"/>
      <c r="AX119" s="212"/>
      <c r="AY119" s="212"/>
      <c r="AZ119" s="212"/>
      <c r="BA119" s="448"/>
    </row>
    <row r="120" spans="1:53" x14ac:dyDescent="0.2">
      <c r="A120" s="212"/>
      <c r="B120" s="212"/>
      <c r="C120" s="575"/>
      <c r="D120" s="576"/>
      <c r="E120" s="216"/>
      <c r="F120" s="216"/>
      <c r="G120" s="216"/>
      <c r="H120" s="212"/>
      <c r="I120" s="575"/>
      <c r="J120" s="560"/>
      <c r="K120" s="212"/>
      <c r="L120" s="212"/>
      <c r="M120" s="212"/>
      <c r="N120" s="212"/>
      <c r="O120" s="212"/>
      <c r="P120" s="212"/>
      <c r="Q120" s="212"/>
      <c r="R120" s="212"/>
      <c r="S120" s="212"/>
      <c r="T120" s="212"/>
      <c r="U120" s="212"/>
      <c r="V120" s="212"/>
      <c r="W120" s="212"/>
      <c r="X120" s="212"/>
      <c r="Y120" s="212"/>
      <c r="Z120" s="212"/>
      <c r="AA120" s="212"/>
      <c r="AB120" s="212"/>
      <c r="AC120" s="212"/>
      <c r="AD120" s="212"/>
      <c r="AE120" s="212"/>
      <c r="AF120" s="212"/>
      <c r="AG120" s="212"/>
      <c r="AH120" s="212"/>
      <c r="AI120" s="212"/>
      <c r="AJ120" s="212"/>
      <c r="AK120" s="212"/>
      <c r="AL120" s="212"/>
      <c r="AM120" s="212"/>
      <c r="AN120" s="212"/>
      <c r="AO120" s="212"/>
      <c r="AP120" s="212"/>
      <c r="AQ120" s="212"/>
      <c r="AR120" s="212"/>
      <c r="AS120" s="212"/>
      <c r="AT120" s="212"/>
      <c r="AU120" s="212"/>
      <c r="AV120" s="212"/>
      <c r="AW120" s="212"/>
      <c r="AX120" s="212"/>
      <c r="AY120" s="212"/>
      <c r="AZ120" s="212"/>
      <c r="BA120" s="448"/>
    </row>
    <row r="121" spans="1:53" x14ac:dyDescent="0.2">
      <c r="A121" s="212"/>
      <c r="B121" s="212"/>
      <c r="C121" s="575"/>
      <c r="D121" s="576"/>
      <c r="E121" s="216"/>
      <c r="F121" s="216"/>
      <c r="G121" s="216"/>
      <c r="H121" s="212"/>
      <c r="I121" s="575"/>
      <c r="J121" s="560"/>
      <c r="K121" s="212"/>
      <c r="L121" s="212"/>
      <c r="M121" s="212"/>
      <c r="N121" s="212"/>
      <c r="O121" s="212"/>
      <c r="P121" s="212"/>
      <c r="Q121" s="212"/>
      <c r="R121" s="212"/>
      <c r="S121" s="212"/>
      <c r="T121" s="212"/>
      <c r="U121" s="212"/>
      <c r="V121" s="212"/>
      <c r="W121" s="212"/>
      <c r="X121" s="212"/>
      <c r="Y121" s="212"/>
      <c r="Z121" s="212"/>
      <c r="AA121" s="212"/>
      <c r="AB121" s="212"/>
      <c r="AC121" s="212"/>
      <c r="AD121" s="212"/>
      <c r="AE121" s="212"/>
      <c r="AF121" s="212"/>
      <c r="AG121" s="212"/>
      <c r="AH121" s="212"/>
      <c r="AI121" s="212"/>
      <c r="AJ121" s="212"/>
      <c r="AK121" s="212"/>
      <c r="AL121" s="212"/>
      <c r="AM121" s="212"/>
      <c r="AN121" s="212"/>
      <c r="AO121" s="212"/>
      <c r="AP121" s="212"/>
      <c r="AQ121" s="212"/>
      <c r="AR121" s="212"/>
      <c r="AS121" s="212"/>
      <c r="AT121" s="212"/>
      <c r="AU121" s="212"/>
      <c r="AV121" s="212"/>
      <c r="AW121" s="212"/>
      <c r="AX121" s="212"/>
      <c r="AY121" s="212"/>
      <c r="AZ121" s="212"/>
      <c r="BA121" s="448"/>
    </row>
    <row r="122" spans="1:53" x14ac:dyDescent="0.2">
      <c r="A122" s="212"/>
      <c r="B122" s="212"/>
      <c r="C122" s="575"/>
      <c r="D122" s="576"/>
      <c r="E122" s="216"/>
      <c r="F122" s="216"/>
      <c r="G122" s="216"/>
      <c r="H122" s="212"/>
      <c r="I122" s="575"/>
      <c r="J122" s="560"/>
      <c r="K122" s="212"/>
      <c r="L122" s="212"/>
      <c r="M122" s="212"/>
      <c r="N122" s="212"/>
      <c r="O122" s="212"/>
      <c r="P122" s="212"/>
      <c r="Q122" s="212"/>
      <c r="R122" s="212"/>
      <c r="S122" s="212"/>
      <c r="T122" s="212"/>
      <c r="U122" s="212"/>
      <c r="V122" s="212"/>
      <c r="W122" s="212"/>
      <c r="X122" s="212"/>
      <c r="Y122" s="212"/>
      <c r="Z122" s="212"/>
      <c r="AA122" s="212"/>
      <c r="AB122" s="212"/>
      <c r="AC122" s="212"/>
      <c r="AD122" s="212"/>
      <c r="AE122" s="212"/>
      <c r="AF122" s="212"/>
      <c r="AG122" s="212"/>
      <c r="AH122" s="212"/>
      <c r="AI122" s="212"/>
      <c r="AJ122" s="212"/>
      <c r="AK122" s="212"/>
      <c r="AL122" s="212"/>
      <c r="AM122" s="212"/>
      <c r="AN122" s="212"/>
      <c r="AO122" s="212"/>
      <c r="AP122" s="212"/>
      <c r="AQ122" s="212"/>
      <c r="AR122" s="212"/>
      <c r="AS122" s="212"/>
      <c r="AT122" s="212"/>
      <c r="AU122" s="212"/>
      <c r="AV122" s="212"/>
      <c r="AW122" s="212"/>
      <c r="AX122" s="212"/>
      <c r="AY122" s="212"/>
      <c r="AZ122" s="212"/>
      <c r="BA122" s="448"/>
    </row>
    <row r="123" spans="1:53" x14ac:dyDescent="0.2">
      <c r="A123" s="212"/>
      <c r="B123" s="212"/>
      <c r="C123" s="575"/>
      <c r="D123" s="576"/>
      <c r="E123" s="216"/>
      <c r="F123" s="216"/>
      <c r="G123" s="216"/>
      <c r="H123" s="212"/>
      <c r="I123" s="575"/>
      <c r="J123" s="560"/>
      <c r="K123" s="212"/>
      <c r="L123" s="212"/>
      <c r="M123" s="212"/>
      <c r="N123" s="212"/>
      <c r="O123" s="212"/>
      <c r="P123" s="212"/>
      <c r="Q123" s="212"/>
      <c r="R123" s="212"/>
      <c r="S123" s="212"/>
      <c r="T123" s="212"/>
      <c r="U123" s="212"/>
      <c r="V123" s="212"/>
      <c r="W123" s="212"/>
      <c r="X123" s="212"/>
      <c r="Y123" s="212"/>
      <c r="Z123" s="212"/>
      <c r="AA123" s="212"/>
      <c r="AB123" s="212"/>
      <c r="AC123" s="212"/>
      <c r="AD123" s="212"/>
      <c r="AE123" s="212"/>
      <c r="AF123" s="212"/>
      <c r="AG123" s="212"/>
      <c r="AH123" s="212"/>
      <c r="AI123" s="212"/>
      <c r="AJ123" s="212"/>
      <c r="AK123" s="212"/>
      <c r="AL123" s="212"/>
      <c r="AM123" s="212"/>
      <c r="AN123" s="212"/>
      <c r="AO123" s="212"/>
      <c r="AP123" s="212"/>
      <c r="AQ123" s="212"/>
      <c r="AR123" s="212"/>
      <c r="AS123" s="212"/>
      <c r="AT123" s="212"/>
      <c r="AU123" s="212"/>
      <c r="AV123" s="212"/>
      <c r="AW123" s="212"/>
      <c r="AX123" s="212"/>
      <c r="AY123" s="212"/>
      <c r="AZ123" s="212"/>
      <c r="BA123" s="448"/>
    </row>
    <row r="124" spans="1:53" x14ac:dyDescent="0.2">
      <c r="A124" s="212"/>
      <c r="B124" s="212"/>
      <c r="C124" s="575"/>
      <c r="D124" s="576"/>
      <c r="E124" s="216"/>
      <c r="F124" s="216"/>
      <c r="G124" s="216"/>
      <c r="H124" s="212"/>
      <c r="I124" s="575"/>
      <c r="J124" s="560"/>
      <c r="K124" s="212"/>
      <c r="L124" s="212"/>
      <c r="M124" s="212"/>
      <c r="N124" s="212"/>
      <c r="O124" s="212"/>
      <c r="P124" s="212"/>
      <c r="Q124" s="212"/>
      <c r="R124" s="212"/>
      <c r="S124" s="212"/>
      <c r="T124" s="212"/>
      <c r="U124" s="212"/>
      <c r="V124" s="212"/>
      <c r="W124" s="212"/>
      <c r="X124" s="212"/>
      <c r="Y124" s="212"/>
      <c r="Z124" s="212"/>
      <c r="AA124" s="212"/>
      <c r="AB124" s="212"/>
      <c r="AC124" s="212"/>
      <c r="AD124" s="212"/>
      <c r="AE124" s="212"/>
      <c r="AF124" s="212"/>
      <c r="AG124" s="212"/>
      <c r="AH124" s="212"/>
      <c r="AI124" s="212"/>
      <c r="AJ124" s="212"/>
      <c r="AK124" s="212"/>
      <c r="AL124" s="212"/>
      <c r="AM124" s="212"/>
      <c r="AN124" s="212"/>
      <c r="AO124" s="212"/>
      <c r="AP124" s="212"/>
      <c r="AQ124" s="212"/>
      <c r="AR124" s="212"/>
      <c r="AS124" s="212"/>
      <c r="AT124" s="212"/>
      <c r="AU124" s="212"/>
      <c r="AV124" s="212"/>
      <c r="AW124" s="212"/>
      <c r="AX124" s="212"/>
      <c r="AY124" s="212"/>
      <c r="AZ124" s="212"/>
      <c r="BA124" s="448"/>
    </row>
    <row r="125" spans="1:53" x14ac:dyDescent="0.2">
      <c r="A125" s="212"/>
      <c r="B125" s="212"/>
      <c r="C125" s="575"/>
      <c r="D125" s="576"/>
      <c r="E125" s="216"/>
      <c r="F125" s="216"/>
      <c r="G125" s="216"/>
      <c r="H125" s="212"/>
      <c r="I125" s="575"/>
      <c r="J125" s="560"/>
      <c r="K125" s="212"/>
      <c r="L125" s="212"/>
      <c r="M125" s="212"/>
      <c r="N125" s="212"/>
      <c r="O125" s="212"/>
      <c r="P125" s="212"/>
      <c r="Q125" s="212"/>
      <c r="R125" s="212"/>
      <c r="S125" s="212"/>
      <c r="T125" s="212"/>
      <c r="U125" s="212"/>
      <c r="V125" s="212"/>
      <c r="W125" s="212"/>
      <c r="X125" s="212"/>
      <c r="Y125" s="212"/>
      <c r="Z125" s="212"/>
      <c r="AA125" s="212"/>
      <c r="AB125" s="212"/>
      <c r="AC125" s="212"/>
      <c r="AD125" s="212"/>
      <c r="AE125" s="212"/>
      <c r="AF125" s="212"/>
      <c r="AG125" s="212"/>
      <c r="AH125" s="212"/>
      <c r="AI125" s="212"/>
      <c r="AJ125" s="212"/>
      <c r="AK125" s="212"/>
      <c r="AL125" s="212"/>
      <c r="AM125" s="212"/>
      <c r="AN125" s="212"/>
      <c r="AO125" s="212"/>
      <c r="AP125" s="212"/>
      <c r="AQ125" s="212"/>
      <c r="AR125" s="212"/>
      <c r="AS125" s="212"/>
      <c r="AT125" s="212"/>
      <c r="AU125" s="212"/>
      <c r="AV125" s="212"/>
      <c r="AW125" s="212"/>
      <c r="AX125" s="212"/>
      <c r="AY125" s="212"/>
      <c r="AZ125" s="212"/>
      <c r="BA125" s="448"/>
    </row>
    <row r="126" spans="1:53" x14ac:dyDescent="0.2">
      <c r="A126" s="212"/>
      <c r="B126" s="212"/>
      <c r="C126" s="575"/>
      <c r="D126" s="576"/>
      <c r="E126" s="216"/>
      <c r="F126" s="216"/>
      <c r="G126" s="216"/>
      <c r="H126" s="212"/>
      <c r="I126" s="575"/>
      <c r="J126" s="560"/>
      <c r="K126" s="212"/>
      <c r="L126" s="212"/>
      <c r="M126" s="212"/>
      <c r="N126" s="212"/>
      <c r="O126" s="212"/>
      <c r="P126" s="212"/>
      <c r="Q126" s="212"/>
      <c r="R126" s="212"/>
      <c r="S126" s="212"/>
      <c r="T126" s="212"/>
      <c r="U126" s="212"/>
      <c r="V126" s="212"/>
      <c r="W126" s="212"/>
      <c r="X126" s="212"/>
      <c r="Y126" s="212"/>
      <c r="Z126" s="212"/>
      <c r="AA126" s="212"/>
      <c r="AB126" s="212"/>
      <c r="AC126" s="212"/>
      <c r="AD126" s="212"/>
      <c r="AE126" s="212"/>
      <c r="AF126" s="212"/>
      <c r="AG126" s="212"/>
      <c r="AH126" s="212"/>
      <c r="AI126" s="212"/>
      <c r="AJ126" s="212"/>
      <c r="AK126" s="212"/>
      <c r="AL126" s="212"/>
      <c r="AM126" s="212"/>
      <c r="AN126" s="212"/>
      <c r="AO126" s="212"/>
      <c r="AP126" s="212"/>
      <c r="AQ126" s="212"/>
      <c r="AR126" s="212"/>
      <c r="AS126" s="212"/>
      <c r="AT126" s="212"/>
      <c r="AU126" s="212"/>
      <c r="AV126" s="212"/>
      <c r="AW126" s="212"/>
      <c r="AX126" s="212"/>
      <c r="AY126" s="212"/>
      <c r="AZ126" s="212"/>
      <c r="BA126" s="448"/>
    </row>
    <row r="127" spans="1:53" x14ac:dyDescent="0.2">
      <c r="A127" s="212"/>
      <c r="B127" s="212"/>
      <c r="C127" s="575"/>
      <c r="D127" s="576"/>
      <c r="E127" s="216"/>
      <c r="F127" s="216"/>
      <c r="G127" s="216"/>
      <c r="H127" s="212"/>
      <c r="I127" s="575"/>
      <c r="J127" s="560"/>
      <c r="K127" s="212"/>
      <c r="L127" s="212"/>
      <c r="M127" s="212"/>
      <c r="N127" s="212"/>
      <c r="O127" s="212"/>
      <c r="P127" s="212"/>
      <c r="Q127" s="212"/>
      <c r="R127" s="212"/>
      <c r="S127" s="212"/>
      <c r="T127" s="212"/>
      <c r="U127" s="212"/>
      <c r="V127" s="212"/>
      <c r="W127" s="212"/>
      <c r="X127" s="212"/>
      <c r="Y127" s="212"/>
      <c r="Z127" s="212"/>
      <c r="AA127" s="212"/>
      <c r="AB127" s="212"/>
      <c r="AC127" s="212"/>
      <c r="AD127" s="212"/>
      <c r="AE127" s="212"/>
      <c r="AF127" s="212"/>
      <c r="AG127" s="212"/>
      <c r="AH127" s="212"/>
      <c r="AI127" s="212"/>
      <c r="AJ127" s="212"/>
      <c r="AK127" s="212"/>
      <c r="AL127" s="212"/>
      <c r="AM127" s="212"/>
      <c r="AN127" s="212"/>
      <c r="AO127" s="212"/>
      <c r="AP127" s="212"/>
      <c r="AQ127" s="212"/>
      <c r="AR127" s="212"/>
      <c r="AS127" s="212"/>
      <c r="AT127" s="212"/>
      <c r="AU127" s="212"/>
      <c r="AV127" s="212"/>
      <c r="AW127" s="212"/>
      <c r="AX127" s="212"/>
      <c r="AY127" s="212"/>
      <c r="AZ127" s="212"/>
      <c r="BA127" s="448"/>
    </row>
    <row r="128" spans="1:53" x14ac:dyDescent="0.2">
      <c r="A128" s="212"/>
      <c r="B128" s="212"/>
      <c r="C128" s="575"/>
      <c r="D128" s="576"/>
      <c r="E128" s="216"/>
      <c r="F128" s="216"/>
      <c r="G128" s="216"/>
      <c r="H128" s="212"/>
      <c r="I128" s="575"/>
      <c r="J128" s="560"/>
      <c r="K128" s="212"/>
      <c r="L128" s="212"/>
      <c r="M128" s="212"/>
      <c r="N128" s="212"/>
      <c r="O128" s="212"/>
      <c r="P128" s="212"/>
      <c r="Q128" s="212"/>
      <c r="R128" s="212"/>
      <c r="S128" s="212"/>
      <c r="T128" s="212"/>
      <c r="U128" s="212"/>
      <c r="V128" s="212"/>
      <c r="W128" s="212"/>
      <c r="X128" s="212"/>
      <c r="Y128" s="212"/>
      <c r="Z128" s="212"/>
      <c r="AA128" s="212"/>
      <c r="AB128" s="212"/>
      <c r="AC128" s="212"/>
      <c r="AD128" s="212"/>
      <c r="AE128" s="212"/>
      <c r="AF128" s="212"/>
      <c r="AG128" s="212"/>
      <c r="AH128" s="212"/>
      <c r="AI128" s="212"/>
      <c r="AJ128" s="212"/>
      <c r="AK128" s="212"/>
      <c r="AL128" s="212"/>
      <c r="AM128" s="212"/>
      <c r="AN128" s="212"/>
      <c r="AO128" s="212"/>
      <c r="AP128" s="212"/>
      <c r="AQ128" s="212"/>
      <c r="AR128" s="212"/>
      <c r="AS128" s="212"/>
      <c r="AT128" s="212"/>
      <c r="AU128" s="212"/>
      <c r="AV128" s="212"/>
      <c r="AW128" s="212"/>
      <c r="AX128" s="212"/>
      <c r="AY128" s="212"/>
      <c r="AZ128" s="212"/>
      <c r="BA128" s="448"/>
    </row>
    <row r="129" spans="1:53" x14ac:dyDescent="0.2">
      <c r="A129" s="212"/>
      <c r="B129" s="212"/>
      <c r="C129" s="575"/>
      <c r="D129" s="576"/>
      <c r="E129" s="216"/>
      <c r="F129" s="216"/>
      <c r="G129" s="216"/>
      <c r="H129" s="212"/>
      <c r="I129" s="575"/>
      <c r="J129" s="560"/>
      <c r="K129" s="212"/>
      <c r="L129" s="212"/>
      <c r="M129" s="212"/>
      <c r="N129" s="212"/>
      <c r="O129" s="212"/>
      <c r="P129" s="212"/>
      <c r="Q129" s="212"/>
      <c r="R129" s="212"/>
      <c r="S129" s="212"/>
      <c r="T129" s="212"/>
      <c r="U129" s="212"/>
      <c r="V129" s="212"/>
      <c r="W129" s="212"/>
      <c r="X129" s="212"/>
      <c r="Y129" s="212"/>
      <c r="Z129" s="212"/>
      <c r="AA129" s="212"/>
      <c r="AB129" s="212"/>
      <c r="AC129" s="212"/>
      <c r="AD129" s="212"/>
      <c r="AE129" s="212"/>
      <c r="AF129" s="212"/>
      <c r="AG129" s="212"/>
      <c r="AH129" s="212"/>
      <c r="AI129" s="212"/>
      <c r="AJ129" s="212"/>
      <c r="AK129" s="212"/>
      <c r="AL129" s="212"/>
      <c r="AM129" s="212"/>
      <c r="AN129" s="212"/>
      <c r="AO129" s="212"/>
      <c r="AP129" s="212"/>
      <c r="AQ129" s="212"/>
      <c r="AR129" s="212"/>
      <c r="AS129" s="212"/>
      <c r="AT129" s="212"/>
      <c r="AU129" s="212"/>
      <c r="AV129" s="212"/>
      <c r="AW129" s="212"/>
      <c r="AX129" s="212"/>
      <c r="AY129" s="212"/>
      <c r="AZ129" s="212"/>
      <c r="BA129" s="448"/>
    </row>
    <row r="130" spans="1:53" x14ac:dyDescent="0.2">
      <c r="A130" s="212"/>
      <c r="B130" s="212"/>
      <c r="C130" s="575"/>
      <c r="D130" s="576"/>
      <c r="E130" s="216"/>
      <c r="F130" s="216"/>
      <c r="G130" s="216"/>
      <c r="H130" s="212"/>
      <c r="I130" s="575"/>
      <c r="J130" s="560"/>
      <c r="K130" s="212"/>
      <c r="L130" s="212"/>
      <c r="M130" s="212"/>
      <c r="N130" s="212"/>
      <c r="O130" s="212"/>
      <c r="P130" s="212"/>
      <c r="Q130" s="212"/>
      <c r="R130" s="212"/>
      <c r="S130" s="212"/>
      <c r="T130" s="212"/>
      <c r="U130" s="212"/>
      <c r="V130" s="212"/>
      <c r="W130" s="212"/>
      <c r="X130" s="212"/>
      <c r="Y130" s="212"/>
      <c r="Z130" s="212"/>
      <c r="AA130" s="212"/>
      <c r="AB130" s="212"/>
      <c r="AC130" s="212"/>
      <c r="AD130" s="212"/>
      <c r="AE130" s="212"/>
      <c r="AF130" s="212"/>
      <c r="AG130" s="212"/>
      <c r="AH130" s="212"/>
      <c r="AI130" s="212"/>
      <c r="AJ130" s="212"/>
      <c r="AK130" s="212"/>
      <c r="AL130" s="212"/>
      <c r="AM130" s="212"/>
      <c r="AN130" s="212"/>
      <c r="AO130" s="212"/>
      <c r="AP130" s="212"/>
      <c r="AQ130" s="212"/>
      <c r="AR130" s="212"/>
      <c r="AS130" s="212"/>
      <c r="AT130" s="212"/>
      <c r="AU130" s="212"/>
      <c r="AV130" s="212"/>
      <c r="AW130" s="212"/>
      <c r="AX130" s="212"/>
      <c r="AY130" s="212"/>
      <c r="AZ130" s="212"/>
      <c r="BA130" s="448"/>
    </row>
    <row r="131" spans="1:53" x14ac:dyDescent="0.2">
      <c r="A131" s="212"/>
      <c r="B131" s="212"/>
      <c r="C131" s="575"/>
      <c r="D131" s="576"/>
      <c r="E131" s="216"/>
      <c r="F131" s="216"/>
      <c r="G131" s="216"/>
      <c r="H131" s="212"/>
      <c r="I131" s="575"/>
      <c r="J131" s="560"/>
      <c r="K131" s="212"/>
      <c r="L131" s="212"/>
      <c r="M131" s="212"/>
      <c r="N131" s="212"/>
      <c r="O131" s="212"/>
      <c r="P131" s="212"/>
      <c r="Q131" s="212"/>
      <c r="R131" s="212"/>
      <c r="S131" s="212"/>
      <c r="T131" s="212"/>
      <c r="U131" s="212"/>
      <c r="V131" s="212"/>
      <c r="W131" s="212"/>
      <c r="X131" s="212"/>
      <c r="Y131" s="212"/>
      <c r="Z131" s="212"/>
      <c r="AA131" s="212"/>
      <c r="AB131" s="212"/>
      <c r="AC131" s="212"/>
      <c r="AD131" s="212"/>
      <c r="AE131" s="212"/>
      <c r="AF131" s="212"/>
      <c r="AG131" s="212"/>
      <c r="AH131" s="212"/>
      <c r="AI131" s="212"/>
      <c r="AJ131" s="212"/>
      <c r="AK131" s="212"/>
      <c r="AL131" s="212"/>
      <c r="AM131" s="212"/>
      <c r="AN131" s="212"/>
      <c r="AO131" s="212"/>
      <c r="AP131" s="212"/>
      <c r="AQ131" s="212"/>
      <c r="AR131" s="212"/>
      <c r="AS131" s="212"/>
      <c r="AT131" s="212"/>
      <c r="AU131" s="212"/>
      <c r="AV131" s="212"/>
      <c r="AW131" s="212"/>
      <c r="AX131" s="212"/>
      <c r="AY131" s="212"/>
      <c r="AZ131" s="212"/>
      <c r="BA131" s="448"/>
    </row>
    <row r="132" spans="1:53" x14ac:dyDescent="0.2">
      <c r="A132" s="212"/>
      <c r="B132" s="212"/>
      <c r="C132" s="575"/>
      <c r="D132" s="576"/>
      <c r="E132" s="216"/>
      <c r="F132" s="216"/>
      <c r="G132" s="216"/>
      <c r="H132" s="212"/>
      <c r="I132" s="575"/>
      <c r="J132" s="560"/>
      <c r="K132" s="212"/>
      <c r="L132" s="212"/>
      <c r="M132" s="212"/>
      <c r="N132" s="212"/>
      <c r="O132" s="212"/>
      <c r="P132" s="212"/>
      <c r="Q132" s="212"/>
      <c r="R132" s="212"/>
      <c r="S132" s="212"/>
      <c r="T132" s="212"/>
      <c r="U132" s="212"/>
      <c r="V132" s="212"/>
      <c r="W132" s="212"/>
      <c r="X132" s="212"/>
      <c r="Y132" s="212"/>
      <c r="Z132" s="212"/>
      <c r="AA132" s="212"/>
      <c r="AB132" s="212"/>
      <c r="AC132" s="212"/>
      <c r="AD132" s="212"/>
      <c r="AE132" s="212"/>
      <c r="AF132" s="212"/>
      <c r="AG132" s="212"/>
      <c r="AH132" s="212"/>
      <c r="AI132" s="212"/>
      <c r="AJ132" s="212"/>
      <c r="AK132" s="212"/>
      <c r="AL132" s="212"/>
      <c r="AM132" s="212"/>
      <c r="AN132" s="212"/>
      <c r="AO132" s="212"/>
      <c r="AP132" s="212"/>
      <c r="AQ132" s="212"/>
      <c r="AR132" s="212"/>
      <c r="AS132" s="212"/>
      <c r="AT132" s="212"/>
      <c r="AU132" s="212"/>
      <c r="AV132" s="212"/>
      <c r="AW132" s="212"/>
      <c r="AX132" s="212"/>
      <c r="AY132" s="212"/>
      <c r="AZ132" s="212"/>
      <c r="BA132" s="448"/>
    </row>
    <row r="133" spans="1:53" x14ac:dyDescent="0.2">
      <c r="A133" s="212"/>
      <c r="B133" s="212"/>
      <c r="C133" s="575"/>
      <c r="D133" s="576"/>
      <c r="E133" s="216"/>
      <c r="F133" s="216"/>
      <c r="G133" s="216"/>
      <c r="H133" s="212"/>
      <c r="I133" s="575"/>
      <c r="J133" s="560"/>
      <c r="K133" s="212"/>
      <c r="L133" s="212"/>
      <c r="M133" s="212"/>
      <c r="N133" s="212"/>
      <c r="O133" s="212"/>
      <c r="P133" s="212"/>
      <c r="Q133" s="212"/>
      <c r="R133" s="212"/>
      <c r="S133" s="212"/>
      <c r="T133" s="212"/>
      <c r="U133" s="212"/>
      <c r="V133" s="212"/>
      <c r="W133" s="212"/>
      <c r="X133" s="212"/>
      <c r="Y133" s="212"/>
      <c r="Z133" s="212"/>
      <c r="AA133" s="212"/>
      <c r="AB133" s="212"/>
      <c r="AC133" s="212"/>
      <c r="AD133" s="212"/>
      <c r="AE133" s="212"/>
      <c r="AF133" s="212"/>
      <c r="AG133" s="212"/>
      <c r="AH133" s="212"/>
      <c r="AI133" s="212"/>
      <c r="AJ133" s="212"/>
      <c r="AK133" s="212"/>
      <c r="AL133" s="212"/>
      <c r="AM133" s="212"/>
      <c r="AN133" s="212"/>
      <c r="AO133" s="212"/>
      <c r="AP133" s="212"/>
      <c r="AQ133" s="212"/>
      <c r="AR133" s="212"/>
      <c r="AS133" s="212"/>
      <c r="AT133" s="212"/>
      <c r="AU133" s="212"/>
      <c r="AV133" s="212"/>
      <c r="AW133" s="212"/>
      <c r="AX133" s="212"/>
      <c r="AY133" s="212"/>
      <c r="AZ133" s="212"/>
      <c r="BA133" s="448"/>
    </row>
    <row r="134" spans="1:53" x14ac:dyDescent="0.2">
      <c r="A134" s="212"/>
      <c r="B134" s="212"/>
      <c r="C134" s="575"/>
      <c r="D134" s="576"/>
      <c r="E134" s="216"/>
      <c r="F134" s="216"/>
      <c r="G134" s="216"/>
      <c r="H134" s="212"/>
      <c r="I134" s="575"/>
      <c r="J134" s="560"/>
      <c r="K134" s="212"/>
      <c r="L134" s="212"/>
      <c r="M134" s="212"/>
      <c r="N134" s="212"/>
      <c r="O134" s="212"/>
      <c r="P134" s="212"/>
      <c r="Q134" s="212"/>
      <c r="R134" s="212"/>
      <c r="S134" s="212"/>
      <c r="T134" s="212"/>
      <c r="U134" s="212"/>
      <c r="V134" s="212"/>
      <c r="W134" s="212"/>
      <c r="X134" s="212"/>
      <c r="Y134" s="212"/>
      <c r="Z134" s="212"/>
      <c r="AA134" s="212"/>
      <c r="AB134" s="212"/>
      <c r="AC134" s="212"/>
      <c r="AD134" s="212"/>
      <c r="AE134" s="212"/>
      <c r="AF134" s="212"/>
      <c r="AG134" s="212"/>
      <c r="AH134" s="212"/>
      <c r="AI134" s="212"/>
      <c r="AJ134" s="212"/>
      <c r="AK134" s="212"/>
      <c r="AL134" s="212"/>
      <c r="AM134" s="212"/>
      <c r="AN134" s="212"/>
      <c r="AO134" s="212"/>
      <c r="AP134" s="212"/>
      <c r="AQ134" s="212"/>
      <c r="AR134" s="212"/>
      <c r="AS134" s="212"/>
      <c r="AT134" s="212"/>
      <c r="AU134" s="212"/>
      <c r="AV134" s="212"/>
      <c r="AW134" s="212"/>
      <c r="AX134" s="212"/>
      <c r="AY134" s="212"/>
      <c r="AZ134" s="212"/>
      <c r="BA134" s="448"/>
    </row>
    <row r="135" spans="1:53" x14ac:dyDescent="0.2">
      <c r="A135" s="212"/>
      <c r="B135" s="212"/>
      <c r="C135" s="575"/>
      <c r="D135" s="576"/>
      <c r="E135" s="216"/>
      <c r="F135" s="216"/>
      <c r="G135" s="216"/>
      <c r="H135" s="212"/>
      <c r="I135" s="575"/>
      <c r="J135" s="560"/>
      <c r="K135" s="212"/>
      <c r="L135" s="212"/>
      <c r="M135" s="212"/>
      <c r="N135" s="212"/>
      <c r="O135" s="212"/>
      <c r="P135" s="212"/>
      <c r="Q135" s="212"/>
      <c r="R135" s="212"/>
      <c r="S135" s="212"/>
      <c r="T135" s="212"/>
      <c r="U135" s="212"/>
      <c r="V135" s="212"/>
      <c r="W135" s="212"/>
      <c r="X135" s="212"/>
      <c r="Y135" s="212"/>
      <c r="Z135" s="212"/>
      <c r="AA135" s="212"/>
      <c r="AB135" s="212"/>
      <c r="AC135" s="212"/>
      <c r="AD135" s="212"/>
      <c r="AE135" s="212"/>
      <c r="AF135" s="212"/>
      <c r="AG135" s="212"/>
      <c r="AH135" s="212"/>
      <c r="AI135" s="212"/>
      <c r="AJ135" s="212"/>
      <c r="AK135" s="212"/>
      <c r="AL135" s="212"/>
      <c r="AM135" s="212"/>
      <c r="AN135" s="212"/>
      <c r="AO135" s="212"/>
      <c r="AP135" s="212"/>
      <c r="AQ135" s="212"/>
      <c r="AR135" s="212"/>
      <c r="AS135" s="212"/>
      <c r="AT135" s="212"/>
      <c r="AU135" s="212"/>
      <c r="AV135" s="212"/>
      <c r="AW135" s="212"/>
      <c r="AX135" s="212"/>
      <c r="AY135" s="212"/>
      <c r="AZ135" s="212"/>
      <c r="BA135" s="448"/>
    </row>
    <row r="136" spans="1:53" x14ac:dyDescent="0.2">
      <c r="A136" s="212"/>
      <c r="B136" s="212"/>
      <c r="C136" s="575"/>
      <c r="D136" s="576"/>
      <c r="E136" s="216"/>
      <c r="F136" s="216"/>
      <c r="G136" s="216"/>
      <c r="H136" s="212"/>
      <c r="I136" s="575"/>
      <c r="J136" s="560"/>
      <c r="K136" s="212"/>
      <c r="L136" s="212"/>
      <c r="M136" s="212"/>
      <c r="N136" s="212"/>
      <c r="O136" s="212"/>
      <c r="P136" s="212"/>
      <c r="Q136" s="212"/>
      <c r="R136" s="212"/>
      <c r="S136" s="212"/>
      <c r="T136" s="212"/>
      <c r="U136" s="212"/>
      <c r="V136" s="212"/>
      <c r="W136" s="212"/>
      <c r="X136" s="212"/>
      <c r="Y136" s="212"/>
      <c r="Z136" s="212"/>
      <c r="AA136" s="212"/>
      <c r="AB136" s="212"/>
      <c r="AC136" s="212"/>
      <c r="AD136" s="212"/>
      <c r="AE136" s="212"/>
      <c r="AF136" s="212"/>
      <c r="AG136" s="212"/>
      <c r="AH136" s="212"/>
      <c r="AI136" s="212"/>
      <c r="AJ136" s="212"/>
      <c r="AK136" s="212"/>
      <c r="AL136" s="212"/>
      <c r="AM136" s="212"/>
      <c r="AN136" s="212"/>
      <c r="AO136" s="212"/>
      <c r="AP136" s="212"/>
      <c r="AQ136" s="212"/>
      <c r="AR136" s="212"/>
      <c r="AS136" s="212"/>
      <c r="AT136" s="212"/>
      <c r="AU136" s="212"/>
      <c r="AV136" s="212"/>
      <c r="AW136" s="212"/>
      <c r="AX136" s="212"/>
      <c r="AY136" s="212"/>
      <c r="AZ136" s="212"/>
      <c r="BA136" s="448"/>
    </row>
    <row r="137" spans="1:53" x14ac:dyDescent="0.2">
      <c r="A137" s="212"/>
      <c r="B137" s="212"/>
      <c r="C137" s="575"/>
      <c r="D137" s="576"/>
      <c r="E137" s="216"/>
      <c r="F137" s="216"/>
      <c r="G137" s="216"/>
      <c r="H137" s="212"/>
      <c r="I137" s="575"/>
      <c r="J137" s="560"/>
      <c r="K137" s="212"/>
      <c r="L137" s="212"/>
      <c r="M137" s="212"/>
      <c r="N137" s="212"/>
      <c r="O137" s="212"/>
      <c r="P137" s="212"/>
      <c r="Q137" s="212"/>
      <c r="R137" s="212"/>
      <c r="S137" s="212"/>
      <c r="T137" s="212"/>
      <c r="U137" s="212"/>
      <c r="V137" s="212"/>
      <c r="W137" s="212"/>
      <c r="X137" s="212"/>
      <c r="Y137" s="212"/>
      <c r="Z137" s="212"/>
      <c r="AA137" s="212"/>
      <c r="AB137" s="212"/>
      <c r="AC137" s="212"/>
      <c r="AD137" s="212"/>
      <c r="AE137" s="212"/>
      <c r="AF137" s="212"/>
      <c r="AG137" s="212"/>
      <c r="AH137" s="212"/>
      <c r="AI137" s="212"/>
      <c r="AJ137" s="212"/>
      <c r="AK137" s="212"/>
      <c r="AL137" s="212"/>
      <c r="AM137" s="212"/>
      <c r="AN137" s="212"/>
      <c r="AO137" s="212"/>
      <c r="AP137" s="212"/>
      <c r="AQ137" s="212"/>
      <c r="AR137" s="212"/>
      <c r="AS137" s="212"/>
      <c r="AT137" s="212"/>
      <c r="AU137" s="212"/>
      <c r="AV137" s="212"/>
      <c r="AW137" s="212"/>
      <c r="AX137" s="212"/>
      <c r="AY137" s="212"/>
      <c r="AZ137" s="212"/>
      <c r="BA137" s="448"/>
    </row>
    <row r="138" spans="1:53" x14ac:dyDescent="0.2">
      <c r="A138" s="212"/>
      <c r="B138" s="212"/>
      <c r="C138" s="575"/>
      <c r="D138" s="576"/>
      <c r="E138" s="216"/>
      <c r="F138" s="216"/>
      <c r="G138" s="216"/>
      <c r="H138" s="212"/>
      <c r="I138" s="575"/>
      <c r="J138" s="560"/>
      <c r="K138" s="212"/>
      <c r="L138" s="212"/>
      <c r="M138" s="212"/>
      <c r="N138" s="212"/>
      <c r="O138" s="212"/>
      <c r="P138" s="212"/>
      <c r="Q138" s="212"/>
      <c r="R138" s="212"/>
      <c r="S138" s="212"/>
      <c r="T138" s="212"/>
      <c r="U138" s="212"/>
      <c r="V138" s="212"/>
      <c r="W138" s="212"/>
      <c r="X138" s="212"/>
      <c r="Y138" s="212"/>
      <c r="Z138" s="212"/>
      <c r="AA138" s="212"/>
      <c r="AB138" s="212"/>
      <c r="AC138" s="212"/>
      <c r="AD138" s="212"/>
      <c r="AE138" s="212"/>
      <c r="AF138" s="212"/>
      <c r="AG138" s="212"/>
      <c r="AH138" s="212"/>
      <c r="AI138" s="212"/>
      <c r="AJ138" s="212"/>
      <c r="AK138" s="212"/>
      <c r="AL138" s="212"/>
      <c r="AM138" s="212"/>
      <c r="AN138" s="212"/>
      <c r="AO138" s="212"/>
      <c r="AP138" s="212"/>
      <c r="AQ138" s="212"/>
      <c r="AR138" s="212"/>
      <c r="AS138" s="212"/>
      <c r="AT138" s="212"/>
      <c r="AU138" s="212"/>
      <c r="AV138" s="212"/>
      <c r="AW138" s="212"/>
      <c r="AX138" s="212"/>
      <c r="AY138" s="212"/>
      <c r="AZ138" s="212"/>
      <c r="BA138" s="448"/>
    </row>
    <row r="139" spans="1:53" x14ac:dyDescent="0.2">
      <c r="A139" s="212"/>
      <c r="B139" s="212"/>
      <c r="C139" s="575"/>
      <c r="D139" s="576"/>
      <c r="E139" s="216"/>
      <c r="F139" s="216"/>
      <c r="G139" s="216"/>
      <c r="H139" s="212"/>
      <c r="I139" s="575"/>
      <c r="J139" s="560"/>
      <c r="K139" s="212"/>
      <c r="L139" s="212"/>
      <c r="M139" s="212"/>
      <c r="N139" s="212"/>
      <c r="O139" s="212"/>
      <c r="P139" s="212"/>
      <c r="Q139" s="212"/>
      <c r="R139" s="212"/>
      <c r="S139" s="212"/>
      <c r="T139" s="212"/>
      <c r="U139" s="212"/>
      <c r="V139" s="212"/>
      <c r="W139" s="212"/>
      <c r="X139" s="212"/>
      <c r="Y139" s="212"/>
      <c r="Z139" s="212"/>
      <c r="AA139" s="212"/>
      <c r="AB139" s="212"/>
      <c r="AC139" s="212"/>
      <c r="AD139" s="212"/>
      <c r="AE139" s="212"/>
      <c r="AF139" s="212"/>
      <c r="AG139" s="212"/>
      <c r="AH139" s="212"/>
      <c r="AI139" s="212"/>
      <c r="AJ139" s="212"/>
      <c r="AK139" s="212"/>
      <c r="AL139" s="212"/>
      <c r="AM139" s="212"/>
      <c r="AN139" s="212"/>
      <c r="AO139" s="212"/>
      <c r="AP139" s="212"/>
      <c r="AQ139" s="212"/>
      <c r="AR139" s="212"/>
      <c r="AS139" s="212"/>
      <c r="AT139" s="212"/>
      <c r="AU139" s="212"/>
      <c r="AV139" s="212"/>
      <c r="AW139" s="212"/>
      <c r="AX139" s="212"/>
      <c r="AY139" s="212"/>
      <c r="AZ139" s="212"/>
      <c r="BA139" s="448"/>
    </row>
    <row r="140" spans="1:53" x14ac:dyDescent="0.2">
      <c r="A140" s="212"/>
      <c r="B140" s="212"/>
      <c r="C140" s="575"/>
      <c r="D140" s="576"/>
      <c r="E140" s="216"/>
      <c r="F140" s="216"/>
      <c r="G140" s="216"/>
      <c r="H140" s="212"/>
      <c r="I140" s="575"/>
      <c r="J140" s="560"/>
      <c r="K140" s="212"/>
      <c r="L140" s="212"/>
      <c r="M140" s="212"/>
      <c r="N140" s="212"/>
      <c r="O140" s="212"/>
      <c r="P140" s="212"/>
      <c r="Q140" s="212"/>
      <c r="R140" s="212"/>
      <c r="S140" s="212"/>
      <c r="T140" s="212"/>
      <c r="U140" s="212"/>
      <c r="V140" s="212"/>
      <c r="W140" s="212"/>
      <c r="X140" s="212"/>
      <c r="Y140" s="212"/>
      <c r="Z140" s="212"/>
      <c r="AA140" s="212"/>
      <c r="AB140" s="212"/>
      <c r="AC140" s="212"/>
      <c r="AD140" s="212"/>
      <c r="AE140" s="212"/>
      <c r="AF140" s="212"/>
      <c r="AG140" s="212"/>
      <c r="AH140" s="212"/>
      <c r="AI140" s="212"/>
      <c r="AJ140" s="212"/>
      <c r="AK140" s="212"/>
      <c r="AL140" s="212"/>
      <c r="AM140" s="212"/>
      <c r="AN140" s="212"/>
      <c r="AO140" s="212"/>
      <c r="AP140" s="212"/>
      <c r="AQ140" s="212"/>
      <c r="AR140" s="212"/>
      <c r="AS140" s="212"/>
      <c r="AT140" s="212"/>
      <c r="AU140" s="212"/>
      <c r="AV140" s="212"/>
      <c r="AW140" s="212"/>
      <c r="AX140" s="212"/>
      <c r="AY140" s="212"/>
      <c r="AZ140" s="212"/>
      <c r="BA140" s="448"/>
    </row>
    <row r="141" spans="1:53" x14ac:dyDescent="0.2">
      <c r="A141" s="212"/>
      <c r="B141" s="212"/>
      <c r="C141" s="575"/>
      <c r="D141" s="576"/>
      <c r="E141" s="216"/>
      <c r="F141" s="216"/>
      <c r="G141" s="216"/>
      <c r="H141" s="212"/>
      <c r="I141" s="575"/>
      <c r="J141" s="560"/>
      <c r="K141" s="212"/>
      <c r="L141" s="212"/>
      <c r="M141" s="212"/>
      <c r="N141" s="212"/>
      <c r="O141" s="212"/>
      <c r="P141" s="212"/>
      <c r="Q141" s="212"/>
      <c r="R141" s="212"/>
      <c r="S141" s="212"/>
      <c r="T141" s="212"/>
      <c r="U141" s="212"/>
      <c r="V141" s="212"/>
      <c r="W141" s="212"/>
      <c r="X141" s="212"/>
      <c r="Y141" s="212"/>
      <c r="Z141" s="212"/>
      <c r="AA141" s="212"/>
      <c r="AB141" s="212"/>
      <c r="AC141" s="212"/>
      <c r="AD141" s="212"/>
      <c r="AE141" s="212"/>
      <c r="AF141" s="212"/>
      <c r="AG141" s="212"/>
      <c r="AH141" s="212"/>
      <c r="AI141" s="212"/>
      <c r="AJ141" s="212"/>
      <c r="AK141" s="212"/>
      <c r="AL141" s="212"/>
      <c r="AM141" s="212"/>
      <c r="AN141" s="212"/>
      <c r="AO141" s="212"/>
      <c r="AP141" s="212"/>
      <c r="AQ141" s="212"/>
      <c r="AR141" s="212"/>
      <c r="AS141" s="212"/>
      <c r="AT141" s="212"/>
      <c r="AU141" s="212"/>
      <c r="AV141" s="212"/>
      <c r="AW141" s="212"/>
      <c r="AX141" s="212"/>
      <c r="AY141" s="212"/>
      <c r="AZ141" s="212"/>
      <c r="BA141" s="448"/>
    </row>
    <row r="142" spans="1:53" x14ac:dyDescent="0.2">
      <c r="A142" s="212"/>
      <c r="B142" s="212"/>
      <c r="C142" s="575"/>
      <c r="D142" s="576"/>
      <c r="E142" s="216"/>
      <c r="F142" s="216"/>
      <c r="G142" s="216"/>
      <c r="H142" s="212"/>
      <c r="I142" s="575"/>
      <c r="J142" s="560"/>
      <c r="K142" s="212"/>
      <c r="L142" s="212"/>
      <c r="M142" s="212"/>
      <c r="N142" s="212"/>
      <c r="O142" s="212"/>
      <c r="P142" s="212"/>
      <c r="Q142" s="212"/>
      <c r="R142" s="212"/>
      <c r="S142" s="212"/>
      <c r="T142" s="212"/>
      <c r="U142" s="212"/>
      <c r="V142" s="212"/>
      <c r="W142" s="212"/>
      <c r="X142" s="212"/>
      <c r="Y142" s="212"/>
      <c r="Z142" s="212"/>
      <c r="AA142" s="212"/>
      <c r="AB142" s="212"/>
      <c r="AC142" s="212"/>
      <c r="AD142" s="212"/>
      <c r="AE142" s="212"/>
      <c r="AF142" s="212"/>
      <c r="AG142" s="212"/>
      <c r="AH142" s="212"/>
      <c r="AI142" s="212"/>
      <c r="AJ142" s="212"/>
      <c r="AK142" s="212"/>
      <c r="AL142" s="212"/>
      <c r="AM142" s="212"/>
      <c r="AN142" s="212"/>
      <c r="AO142" s="212"/>
      <c r="AP142" s="212"/>
      <c r="AQ142" s="212"/>
      <c r="AR142" s="212"/>
      <c r="AS142" s="212"/>
      <c r="AT142" s="212"/>
      <c r="AU142" s="212"/>
      <c r="AV142" s="212"/>
      <c r="AW142" s="212"/>
      <c r="AX142" s="212"/>
      <c r="AY142" s="212"/>
      <c r="AZ142" s="212"/>
      <c r="BA142" s="448"/>
    </row>
    <row r="143" spans="1:53" x14ac:dyDescent="0.2">
      <c r="A143" s="212"/>
      <c r="B143" s="212"/>
      <c r="C143" s="575"/>
      <c r="D143" s="576"/>
      <c r="E143" s="216"/>
      <c r="F143" s="216"/>
      <c r="G143" s="216"/>
      <c r="H143" s="212"/>
      <c r="I143" s="575"/>
      <c r="J143" s="560"/>
      <c r="K143" s="212"/>
      <c r="L143" s="212"/>
      <c r="M143" s="212"/>
      <c r="N143" s="212"/>
      <c r="O143" s="212"/>
      <c r="P143" s="212"/>
      <c r="Q143" s="212"/>
      <c r="R143" s="212"/>
      <c r="S143" s="212"/>
      <c r="T143" s="212"/>
      <c r="U143" s="212"/>
      <c r="V143" s="212"/>
      <c r="W143" s="212"/>
      <c r="X143" s="212"/>
      <c r="Y143" s="212"/>
      <c r="Z143" s="212"/>
      <c r="AA143" s="212"/>
      <c r="AB143" s="212"/>
      <c r="AC143" s="212"/>
      <c r="AD143" s="212"/>
      <c r="AE143" s="212"/>
      <c r="AF143" s="212"/>
      <c r="AG143" s="212"/>
      <c r="AH143" s="212"/>
      <c r="AI143" s="212"/>
      <c r="AJ143" s="212"/>
      <c r="AK143" s="212"/>
      <c r="AL143" s="212"/>
      <c r="AM143" s="212"/>
      <c r="AN143" s="212"/>
      <c r="AO143" s="212"/>
      <c r="AP143" s="212"/>
      <c r="AQ143" s="212"/>
      <c r="AR143" s="212"/>
      <c r="AS143" s="212"/>
      <c r="AT143" s="212"/>
      <c r="AU143" s="212"/>
      <c r="AV143" s="212"/>
      <c r="AW143" s="212"/>
      <c r="AX143" s="212"/>
      <c r="AY143" s="212"/>
      <c r="AZ143" s="212"/>
      <c r="BA143" s="448"/>
    </row>
    <row r="144" spans="1:53" x14ac:dyDescent="0.2">
      <c r="H144" s="212"/>
      <c r="I144" s="575"/>
      <c r="J144" s="560"/>
      <c r="K144" s="212"/>
      <c r="L144" s="212"/>
      <c r="M144" s="212"/>
      <c r="N144" s="212"/>
      <c r="O144" s="212"/>
      <c r="P144" s="212"/>
      <c r="Q144" s="212"/>
      <c r="R144" s="212"/>
      <c r="S144" s="212"/>
      <c r="T144" s="212"/>
      <c r="U144" s="212"/>
      <c r="V144" s="212"/>
      <c r="W144" s="212"/>
      <c r="X144" s="212"/>
      <c r="Y144" s="212"/>
      <c r="Z144" s="212"/>
      <c r="AA144" s="212"/>
      <c r="AB144" s="212"/>
      <c r="AC144" s="212"/>
      <c r="AD144" s="212"/>
      <c r="AE144" s="212"/>
      <c r="AF144" s="212"/>
      <c r="AG144" s="212"/>
      <c r="AH144" s="212"/>
      <c r="AI144" s="212"/>
      <c r="AJ144" s="212"/>
      <c r="AK144" s="212"/>
      <c r="AL144" s="212"/>
      <c r="AM144" s="212"/>
      <c r="AN144" s="212"/>
      <c r="AO144" s="212"/>
      <c r="AP144" s="212"/>
      <c r="AQ144" s="212"/>
      <c r="AR144" s="212"/>
      <c r="AS144" s="212"/>
      <c r="AT144" s="212"/>
      <c r="AU144" s="212"/>
      <c r="AV144" s="212"/>
      <c r="AW144" s="212"/>
      <c r="AX144" s="212"/>
      <c r="AY144" s="212"/>
      <c r="AZ144" s="212"/>
      <c r="BA144" s="448"/>
    </row>
    <row r="145" spans="8:53" x14ac:dyDescent="0.2">
      <c r="H145" s="212"/>
      <c r="I145" s="575"/>
      <c r="J145" s="560"/>
      <c r="K145" s="212"/>
      <c r="L145" s="212"/>
      <c r="M145" s="212"/>
      <c r="N145" s="212"/>
      <c r="O145" s="212"/>
      <c r="P145" s="212"/>
      <c r="Q145" s="212"/>
      <c r="R145" s="212"/>
      <c r="S145" s="212"/>
      <c r="T145" s="212"/>
      <c r="U145" s="212"/>
      <c r="V145" s="212"/>
      <c r="W145" s="212"/>
      <c r="X145" s="212"/>
      <c r="Y145" s="212"/>
      <c r="Z145" s="212"/>
      <c r="AA145" s="212"/>
      <c r="AB145" s="212"/>
      <c r="AC145" s="212"/>
      <c r="AD145" s="212"/>
      <c r="AE145" s="212"/>
      <c r="AF145" s="212"/>
      <c r="AG145" s="212"/>
      <c r="AH145" s="212"/>
      <c r="AI145" s="212"/>
      <c r="AJ145" s="212"/>
      <c r="AK145" s="212"/>
      <c r="AL145" s="212"/>
      <c r="AM145" s="212"/>
      <c r="AN145" s="212"/>
      <c r="AO145" s="212"/>
      <c r="AP145" s="212"/>
      <c r="AQ145" s="212"/>
      <c r="AR145" s="212"/>
      <c r="AS145" s="212"/>
      <c r="AT145" s="212"/>
      <c r="AU145" s="212"/>
      <c r="AV145" s="212"/>
      <c r="AW145" s="212"/>
      <c r="AX145" s="212"/>
      <c r="AY145" s="212"/>
      <c r="AZ145" s="212"/>
      <c r="BA145" s="448"/>
    </row>
    <row r="146" spans="8:53" x14ac:dyDescent="0.2">
      <c r="J146" s="560"/>
      <c r="N146" s="212"/>
      <c r="O146" s="212"/>
      <c r="P146" s="212"/>
      <c r="Q146" s="212"/>
      <c r="R146" s="212"/>
      <c r="S146" s="212"/>
      <c r="T146" s="212"/>
      <c r="U146" s="212"/>
      <c r="V146" s="212"/>
      <c r="W146" s="212"/>
      <c r="X146" s="212"/>
      <c r="Y146" s="212"/>
      <c r="Z146" s="212"/>
      <c r="AA146" s="212"/>
      <c r="AB146" s="212"/>
      <c r="AC146" s="212"/>
      <c r="AD146" s="212"/>
      <c r="AE146" s="212"/>
      <c r="AF146" s="212"/>
      <c r="AG146" s="212"/>
      <c r="AH146" s="212"/>
      <c r="AI146" s="212"/>
      <c r="AJ146" s="212"/>
      <c r="AK146" s="212"/>
      <c r="AL146" s="212"/>
      <c r="AM146" s="212"/>
      <c r="AN146" s="212"/>
      <c r="AO146" s="212"/>
      <c r="AP146" s="212"/>
      <c r="AQ146" s="212"/>
      <c r="AR146" s="212"/>
      <c r="AS146" s="212"/>
      <c r="AT146" s="212"/>
      <c r="AU146" s="212"/>
      <c r="AV146" s="212"/>
      <c r="AW146" s="212"/>
      <c r="AX146" s="212"/>
      <c r="AY146" s="212"/>
      <c r="AZ146" s="212"/>
      <c r="BA146" s="448"/>
    </row>
    <row r="147" spans="8:53" x14ac:dyDescent="0.2">
      <c r="J147" s="560"/>
      <c r="N147" s="212"/>
      <c r="O147" s="212"/>
      <c r="P147" s="212"/>
      <c r="Q147" s="212"/>
      <c r="R147" s="212"/>
      <c r="S147" s="212"/>
      <c r="T147" s="212"/>
      <c r="U147" s="212"/>
      <c r="V147" s="212"/>
      <c r="W147" s="212"/>
      <c r="X147" s="212"/>
      <c r="Y147" s="212"/>
      <c r="Z147" s="212"/>
      <c r="AA147" s="212"/>
      <c r="AB147" s="212"/>
      <c r="AC147" s="212"/>
      <c r="AD147" s="212"/>
      <c r="AE147" s="212"/>
      <c r="AF147" s="212"/>
      <c r="AG147" s="212"/>
      <c r="AH147" s="212"/>
      <c r="AI147" s="212"/>
      <c r="AJ147" s="212"/>
      <c r="AK147" s="212"/>
      <c r="AL147" s="212"/>
      <c r="AM147" s="212"/>
      <c r="AN147" s="212"/>
      <c r="AO147" s="212"/>
      <c r="AP147" s="212"/>
      <c r="AQ147" s="212"/>
      <c r="AR147" s="212"/>
      <c r="AS147" s="212"/>
      <c r="AT147" s="212"/>
      <c r="AU147" s="212"/>
      <c r="AV147" s="212"/>
      <c r="AW147" s="212"/>
      <c r="AX147" s="212"/>
      <c r="AY147" s="212"/>
      <c r="AZ147" s="212"/>
      <c r="BA147" s="448"/>
    </row>
  </sheetData>
  <sheetProtection algorithmName="SHA-512" hashValue="EtIVF/myKd5Z6JVSZC30yNiSEhaWPbExpVna5f5HFTg559vhbOHEHDnb3F+bc10JTubgJfVu9L15HyvWBs+6qw==" saltValue="cNJdyrjQ1RTCnnlC2YleVQ==" spinCount="100000" sheet="1" formatColumns="0" formatRows="0" insertColumns="0" insertRows="0"/>
  <mergeCells count="3">
    <mergeCell ref="E4:F4"/>
    <mergeCell ref="N4:O4"/>
    <mergeCell ref="C41:D41"/>
  </mergeCells>
  <dataValidations disablePrompts="1" count="4">
    <dataValidation type="whole" operator="lessThan" allowBlank="1" showInputMessage="1" showErrorMessage="1" sqref="M27:M30 H31:H34 G27:G35 H27:J30 M9:M25 I22:I25 G9:H25 J9:J25 I9:I14 K64:K80 K9:L10" xr:uid="{2EBB94E3-1522-4CB6-93B4-4917F7FD815E}">
      <formula1>-9999</formula1>
    </dataValidation>
    <dataValidation type="decimal" operator="lessThanOrEqual" allowBlank="1" showInputMessage="1" showErrorMessage="1" sqref="D7 N7" xr:uid="{321C0710-0C34-4F0C-9EEE-DFD5A2F1247A}">
      <formula1>600</formula1>
    </dataValidation>
    <dataValidation type="whole" operator="lessThan" allowBlank="1" showInputMessage="1" showErrorMessage="1" sqref="O1" xr:uid="{17A1BB20-A709-482B-B4E2-EAEF37B57E51}">
      <formula1>-999</formula1>
    </dataValidation>
    <dataValidation operator="lessThan" allowBlank="1" showInputMessage="1" showErrorMessage="1" sqref="L64:L72 I15:I21" xr:uid="{8341D8D5-AD3A-42AF-9142-BFA194C4EC4A}"/>
  </dataValidations>
  <printOptions horizontalCentered="1"/>
  <pageMargins left="0.59055118110236227" right="0.39370078740157483" top="0.78740157480314965" bottom="0.59055118110236227" header="0.31496062992125984" footer="0.31496062992125984"/>
  <pageSetup paperSize="9" scale="67"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42015" r:id="rId4" name="Drop Down 31">
              <controlPr locked="0" defaultSize="0" autoLine="0" autoPict="0">
                <anchor moveWithCells="1">
                  <from>
                    <xdr:col>0</xdr:col>
                    <xdr:colOff>133350</xdr:colOff>
                    <xdr:row>14</xdr:row>
                    <xdr:rowOff>9525</xdr:rowOff>
                  </from>
                  <to>
                    <xdr:col>1</xdr:col>
                    <xdr:colOff>76200</xdr:colOff>
                    <xdr:row>15</xdr:row>
                    <xdr:rowOff>9525</xdr:rowOff>
                  </to>
                </anchor>
              </controlPr>
            </control>
          </mc:Choice>
        </mc:AlternateContent>
        <mc:AlternateContent xmlns:mc="http://schemas.openxmlformats.org/markup-compatibility/2006">
          <mc:Choice Requires="x14">
            <control shapeId="42022" r:id="rId5" name="Drop Down 38">
              <controlPr locked="0" defaultSize="0" autoLine="0" autoPict="0">
                <anchor moveWithCells="1">
                  <from>
                    <xdr:col>0</xdr:col>
                    <xdr:colOff>133350</xdr:colOff>
                    <xdr:row>15</xdr:row>
                    <xdr:rowOff>9525</xdr:rowOff>
                  </from>
                  <to>
                    <xdr:col>1</xdr:col>
                    <xdr:colOff>76200</xdr:colOff>
                    <xdr:row>16</xdr:row>
                    <xdr:rowOff>19050</xdr:rowOff>
                  </to>
                </anchor>
              </controlPr>
            </control>
          </mc:Choice>
        </mc:AlternateContent>
        <mc:AlternateContent xmlns:mc="http://schemas.openxmlformats.org/markup-compatibility/2006">
          <mc:Choice Requires="x14">
            <control shapeId="42023" r:id="rId6" name="Drop Down 39">
              <controlPr locked="0" defaultSize="0" autoLine="0" autoPict="0">
                <anchor moveWithCells="1">
                  <from>
                    <xdr:col>0</xdr:col>
                    <xdr:colOff>133350</xdr:colOff>
                    <xdr:row>16</xdr:row>
                    <xdr:rowOff>9525</xdr:rowOff>
                  </from>
                  <to>
                    <xdr:col>1</xdr:col>
                    <xdr:colOff>76200</xdr:colOff>
                    <xdr:row>17</xdr:row>
                    <xdr:rowOff>9525</xdr:rowOff>
                  </to>
                </anchor>
              </controlPr>
            </control>
          </mc:Choice>
        </mc:AlternateContent>
        <mc:AlternateContent xmlns:mc="http://schemas.openxmlformats.org/markup-compatibility/2006">
          <mc:Choice Requires="x14">
            <control shapeId="42024" r:id="rId7" name="Drop Down 40">
              <controlPr locked="0" defaultSize="0" autoLine="0" autoPict="0">
                <anchor moveWithCells="1">
                  <from>
                    <xdr:col>0</xdr:col>
                    <xdr:colOff>133350</xdr:colOff>
                    <xdr:row>17</xdr:row>
                    <xdr:rowOff>9525</xdr:rowOff>
                  </from>
                  <to>
                    <xdr:col>1</xdr:col>
                    <xdr:colOff>76200</xdr:colOff>
                    <xdr:row>18</xdr:row>
                    <xdr:rowOff>9525</xdr:rowOff>
                  </to>
                </anchor>
              </controlPr>
            </control>
          </mc:Choice>
        </mc:AlternateContent>
        <mc:AlternateContent xmlns:mc="http://schemas.openxmlformats.org/markup-compatibility/2006">
          <mc:Choice Requires="x14">
            <control shapeId="42025" r:id="rId8" name="Drop Down 41">
              <controlPr locked="0" defaultSize="0" autoLine="0" autoPict="0">
                <anchor moveWithCells="1">
                  <from>
                    <xdr:col>0</xdr:col>
                    <xdr:colOff>133350</xdr:colOff>
                    <xdr:row>18</xdr:row>
                    <xdr:rowOff>9525</xdr:rowOff>
                  </from>
                  <to>
                    <xdr:col>1</xdr:col>
                    <xdr:colOff>76200</xdr:colOff>
                    <xdr:row>19</xdr:row>
                    <xdr:rowOff>9525</xdr:rowOff>
                  </to>
                </anchor>
              </controlPr>
            </control>
          </mc:Choice>
        </mc:AlternateContent>
        <mc:AlternateContent xmlns:mc="http://schemas.openxmlformats.org/markup-compatibility/2006">
          <mc:Choice Requires="x14">
            <control shapeId="42026" r:id="rId9" name="Drop Down 42">
              <controlPr locked="0" defaultSize="0" autoLine="0" autoPict="0">
                <anchor moveWithCells="1">
                  <from>
                    <xdr:col>0</xdr:col>
                    <xdr:colOff>133350</xdr:colOff>
                    <xdr:row>19</xdr:row>
                    <xdr:rowOff>0</xdr:rowOff>
                  </from>
                  <to>
                    <xdr:col>1</xdr:col>
                    <xdr:colOff>76200</xdr:colOff>
                    <xdr:row>20</xdr:row>
                    <xdr:rowOff>0</xdr:rowOff>
                  </to>
                </anchor>
              </controlPr>
            </control>
          </mc:Choice>
        </mc:AlternateContent>
        <mc:AlternateContent xmlns:mc="http://schemas.openxmlformats.org/markup-compatibility/2006">
          <mc:Choice Requires="x14">
            <control shapeId="42027" r:id="rId10" name="Drop Down 43">
              <controlPr locked="0" defaultSize="0" autoLine="0" autoPict="0">
                <anchor moveWithCells="1">
                  <from>
                    <xdr:col>0</xdr:col>
                    <xdr:colOff>133350</xdr:colOff>
                    <xdr:row>19</xdr:row>
                    <xdr:rowOff>228600</xdr:rowOff>
                  </from>
                  <to>
                    <xdr:col>1</xdr:col>
                    <xdr:colOff>76200</xdr:colOff>
                    <xdr:row>21</xdr:row>
                    <xdr:rowOff>0</xdr:rowOff>
                  </to>
                </anchor>
              </controlPr>
            </control>
          </mc:Choice>
        </mc:AlternateContent>
        <mc:AlternateContent xmlns:mc="http://schemas.openxmlformats.org/markup-compatibility/2006">
          <mc:Choice Requires="x14">
            <control shapeId="42028" r:id="rId11" name="Drop Down 44">
              <controlPr locked="0" defaultSize="0" autoLine="0" autoPict="0">
                <anchor moveWithCells="1">
                  <from>
                    <xdr:col>0</xdr:col>
                    <xdr:colOff>133350</xdr:colOff>
                    <xdr:row>15</xdr:row>
                    <xdr:rowOff>9525</xdr:rowOff>
                  </from>
                  <to>
                    <xdr:col>1</xdr:col>
                    <xdr:colOff>76200</xdr:colOff>
                    <xdr:row>16</xdr:row>
                    <xdr:rowOff>19050</xdr:rowOff>
                  </to>
                </anchor>
              </controlPr>
            </control>
          </mc:Choice>
        </mc:AlternateContent>
        <mc:AlternateContent xmlns:mc="http://schemas.openxmlformats.org/markup-compatibility/2006">
          <mc:Choice Requires="x14">
            <control shapeId="42029" r:id="rId12" name="Drop Down 45">
              <controlPr locked="0" defaultSize="0" autoLine="0" autoPict="0">
                <anchor moveWithCells="1">
                  <from>
                    <xdr:col>0</xdr:col>
                    <xdr:colOff>133350</xdr:colOff>
                    <xdr:row>16</xdr:row>
                    <xdr:rowOff>9525</xdr:rowOff>
                  </from>
                  <to>
                    <xdr:col>1</xdr:col>
                    <xdr:colOff>76200</xdr:colOff>
                    <xdr:row>17</xdr:row>
                    <xdr:rowOff>9525</xdr:rowOff>
                  </to>
                </anchor>
              </controlPr>
            </control>
          </mc:Choice>
        </mc:AlternateContent>
        <mc:AlternateContent xmlns:mc="http://schemas.openxmlformats.org/markup-compatibility/2006">
          <mc:Choice Requires="x14">
            <control shapeId="42030" r:id="rId13" name="Drop Down 46">
              <controlPr locked="0" defaultSize="0" autoLine="0" autoPict="0">
                <anchor moveWithCells="1">
                  <from>
                    <xdr:col>0</xdr:col>
                    <xdr:colOff>133350</xdr:colOff>
                    <xdr:row>17</xdr:row>
                    <xdr:rowOff>9525</xdr:rowOff>
                  </from>
                  <to>
                    <xdr:col>1</xdr:col>
                    <xdr:colOff>76200</xdr:colOff>
                    <xdr:row>18</xdr:row>
                    <xdr:rowOff>9525</xdr:rowOff>
                  </to>
                </anchor>
              </controlPr>
            </control>
          </mc:Choice>
        </mc:AlternateContent>
        <mc:AlternateContent xmlns:mc="http://schemas.openxmlformats.org/markup-compatibility/2006">
          <mc:Choice Requires="x14">
            <control shapeId="42031" r:id="rId14" name="Drop Down 47">
              <controlPr locked="0" defaultSize="0" autoLine="0" autoPict="0">
                <anchor moveWithCells="1">
                  <from>
                    <xdr:col>0</xdr:col>
                    <xdr:colOff>133350</xdr:colOff>
                    <xdr:row>18</xdr:row>
                    <xdr:rowOff>9525</xdr:rowOff>
                  </from>
                  <to>
                    <xdr:col>1</xdr:col>
                    <xdr:colOff>76200</xdr:colOff>
                    <xdr:row>19</xdr:row>
                    <xdr:rowOff>9525</xdr:rowOff>
                  </to>
                </anchor>
              </controlPr>
            </control>
          </mc:Choice>
        </mc:AlternateContent>
        <mc:AlternateContent xmlns:mc="http://schemas.openxmlformats.org/markup-compatibility/2006">
          <mc:Choice Requires="x14">
            <control shapeId="42032" r:id="rId15" name="Drop Down 48">
              <controlPr locked="0" defaultSize="0" autoLine="0" autoPict="0">
                <anchor moveWithCells="1">
                  <from>
                    <xdr:col>0</xdr:col>
                    <xdr:colOff>133350</xdr:colOff>
                    <xdr:row>19</xdr:row>
                    <xdr:rowOff>9525</xdr:rowOff>
                  </from>
                  <to>
                    <xdr:col>1</xdr:col>
                    <xdr:colOff>76200</xdr:colOff>
                    <xdr:row>20</xdr:row>
                    <xdr:rowOff>9525</xdr:rowOff>
                  </to>
                </anchor>
              </controlPr>
            </control>
          </mc:Choice>
        </mc:AlternateContent>
        <mc:AlternateContent xmlns:mc="http://schemas.openxmlformats.org/markup-compatibility/2006">
          <mc:Choice Requires="x14">
            <control shapeId="42033" r:id="rId16" name="Drop Down 49">
              <controlPr locked="0" defaultSize="0" autoLine="0" autoPict="0">
                <anchor moveWithCells="1">
                  <from>
                    <xdr:col>0</xdr:col>
                    <xdr:colOff>133350</xdr:colOff>
                    <xdr:row>20</xdr:row>
                    <xdr:rowOff>9525</xdr:rowOff>
                  </from>
                  <to>
                    <xdr:col>1</xdr:col>
                    <xdr:colOff>76200</xdr:colOff>
                    <xdr:row>21</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94</vt:i4>
      </vt:variant>
    </vt:vector>
  </HeadingPairs>
  <TitlesOfParts>
    <vt:vector size="112" baseType="lpstr">
      <vt:lpstr>User-INFO</vt:lpstr>
      <vt:lpstr>Stammblatt</vt:lpstr>
      <vt:lpstr>Zusammenfassung</vt:lpstr>
      <vt:lpstr>Finanzierungsplan</vt:lpstr>
      <vt:lpstr>Recoupment AT</vt:lpstr>
      <vt:lpstr>Kalkulation Herstellungskosten</vt:lpstr>
      <vt:lpstr>Kollektivvertrag</vt:lpstr>
      <vt:lpstr>ILV</vt:lpstr>
      <vt:lpstr>GREEN FILMING Mehrkosten</vt:lpstr>
      <vt:lpstr>Stab_Ö_Lohnnebenkosten</vt:lpstr>
      <vt:lpstr>BERECHNUNGSSÄTZE</vt:lpstr>
      <vt:lpstr>CONTROLLING-DATA</vt:lpstr>
      <vt:lpstr>DarstellerInnen</vt:lpstr>
      <vt:lpstr>Motivliste</vt:lpstr>
      <vt:lpstr>Stab_Cast_Ö_Reisekosten</vt:lpstr>
      <vt:lpstr>Zu 10 (Reise-, Transportkosten)</vt:lpstr>
      <vt:lpstr>Richt- und Höchstsätze</vt:lpstr>
      <vt:lpstr>Tages- und Nächtigungsgelder</vt:lpstr>
      <vt:lpstr>Absperrhilfen</vt:lpstr>
      <vt:lpstr>Baumaterial</vt:lpstr>
      <vt:lpstr>Bem_End</vt:lpstr>
      <vt:lpstr>Bem_Plan</vt:lpstr>
      <vt:lpstr>Bond</vt:lpstr>
      <vt:lpstr>DB</vt:lpstr>
      <vt:lpstr>Diäten_Ausl</vt:lpstr>
      <vt:lpstr>Diäten_Ö</vt:lpstr>
      <vt:lpstr>Diäten_W</vt:lpstr>
      <vt:lpstr>Drehbuch_Richtsatz</vt:lpstr>
      <vt:lpstr>BERECHNUNGSSÄTZE!Druckbereich</vt:lpstr>
      <vt:lpstr>'CONTROLLING-DATA'!Druckbereich</vt:lpstr>
      <vt:lpstr>DarstellerInnen!Druckbereich</vt:lpstr>
      <vt:lpstr>Finanzierungsplan!Druckbereich</vt:lpstr>
      <vt:lpstr>'GREEN FILMING Mehrkosten'!Druckbereich</vt:lpstr>
      <vt:lpstr>ILV!Druckbereich</vt:lpstr>
      <vt:lpstr>'Kalkulation Herstellungskosten'!Druckbereich</vt:lpstr>
      <vt:lpstr>Kollektivvertrag!Druckbereich</vt:lpstr>
      <vt:lpstr>Motivliste!Druckbereich</vt:lpstr>
      <vt:lpstr>'Richt- und Höchstsätze'!Druckbereich</vt:lpstr>
      <vt:lpstr>Stab_Cast_Ö_Reisekosten!Druckbereich</vt:lpstr>
      <vt:lpstr>Stab_Ö_Lohnnebenkosten!Druckbereich</vt:lpstr>
      <vt:lpstr>Stammblatt!Druckbereich</vt:lpstr>
      <vt:lpstr>'User-INFO'!Druckbereich</vt:lpstr>
      <vt:lpstr>'Zu 10 (Reise-, Transportkosten)'!Druckbereich</vt:lpstr>
      <vt:lpstr>Zusammenfassung!Druckbereich</vt:lpstr>
      <vt:lpstr>DarstellerInnen!Drucktitel</vt:lpstr>
      <vt:lpstr>'Kalkulation Herstellungskosten'!Drucktitel</vt:lpstr>
      <vt:lpstr>Stab_Cast_Ö_Reisekosten!Drucktitel</vt:lpstr>
      <vt:lpstr>Stab_Ö_Lohnnebenkosten!Drucktitel</vt:lpstr>
      <vt:lpstr>DZ</vt:lpstr>
      <vt:lpstr>EndK</vt:lpstr>
      <vt:lpstr>EndSpend</vt:lpstr>
      <vt:lpstr>FGK</vt:lpstr>
      <vt:lpstr>FIN</vt:lpstr>
      <vt:lpstr>FIN_A</vt:lpstr>
      <vt:lpstr>FIN_B</vt:lpstr>
      <vt:lpstr>FIN_C</vt:lpstr>
      <vt:lpstr>FIN_ges</vt:lpstr>
      <vt:lpstr>FinKosten</vt:lpstr>
      <vt:lpstr>GHSTK</vt:lpstr>
      <vt:lpstr>GHSTK_A</vt:lpstr>
      <vt:lpstr>GHSTK_B</vt:lpstr>
      <vt:lpstr>GHSTK_C</vt:lpstr>
      <vt:lpstr>GHSTK_ges</vt:lpstr>
      <vt:lpstr>GHSTK_ges_final</vt:lpstr>
      <vt:lpstr>Höchst_Mo_SZ</vt:lpstr>
      <vt:lpstr>Höchst_Monat</vt:lpstr>
      <vt:lpstr>Höchst_Tag</vt:lpstr>
      <vt:lpstr>Höchst_Tag_SZ</vt:lpstr>
      <vt:lpstr>Höchst_Wo_SZ</vt:lpstr>
      <vt:lpstr>Höchst_Woche</vt:lpstr>
      <vt:lpstr>HV</vt:lpstr>
      <vt:lpstr>km_Geld</vt:lpstr>
      <vt:lpstr>KommSt</vt:lpstr>
      <vt:lpstr>min</vt:lpstr>
      <vt:lpstr>Motive</vt:lpstr>
      <vt:lpstr>MV</vt:lpstr>
      <vt:lpstr>Nebenräume</vt:lpstr>
      <vt:lpstr>NFK</vt:lpstr>
      <vt:lpstr>NFK_ges</vt:lpstr>
      <vt:lpstr>Personal</vt:lpstr>
      <vt:lpstr>PH</vt:lpstr>
      <vt:lpstr>Regie_Richtsatz</vt:lpstr>
      <vt:lpstr>Requisiten</vt:lpstr>
      <vt:lpstr>SFX</vt:lpstr>
      <vt:lpstr>Spend_Plan</vt:lpstr>
      <vt:lpstr>Spielfahrzeuge</vt:lpstr>
      <vt:lpstr>SV_lfd</vt:lpstr>
      <vt:lpstr>SV_SZ</vt:lpstr>
      <vt:lpstr>SVGrund_lfd_mo</vt:lpstr>
      <vt:lpstr>SVGrund_lfd_tä</vt:lpstr>
      <vt:lpstr>SVGrund_lfd_wö</vt:lpstr>
      <vt:lpstr>SVGrund_SZ</vt:lpstr>
      <vt:lpstr>SVGrund_SZ_tä</vt:lpstr>
      <vt:lpstr>SVGrund_SZ_wö</vt:lpstr>
      <vt:lpstr>Trans_ST_End</vt:lpstr>
      <vt:lpstr>Trans_ST_Plan</vt:lpstr>
      <vt:lpstr>Transfer_End</vt:lpstr>
      <vt:lpstr>Transfer_Plan</vt:lpstr>
      <vt:lpstr>U_Bahn</vt:lpstr>
      <vt:lpstr>ÜR</vt:lpstr>
      <vt:lpstr>ZS_1_Vorkosten</vt:lpstr>
      <vt:lpstr>ZS_10_Reisekosten</vt:lpstr>
      <vt:lpstr>ZS_11_Allgemeine_Kosten</vt:lpstr>
      <vt:lpstr>ZS_12_Kostenmindernde_Erträge</vt:lpstr>
      <vt:lpstr>ZS_2_Nutzungsrechte</vt:lpstr>
      <vt:lpstr>ZS_3_Gagen</vt:lpstr>
      <vt:lpstr>ZS_4_Bild_Ton</vt:lpstr>
      <vt:lpstr>ZS_5_Atelier_Ausleuchtung_Außenaufnahmen</vt:lpstr>
      <vt:lpstr>ZS_6_Austattung</vt:lpstr>
      <vt:lpstr>ZS_7_Schnitt_Sync_Mischung</vt:lpstr>
      <vt:lpstr>ZS_8_Bild_Ton_Bearbeitung</vt:lpstr>
      <vt:lpstr>ZS_9_Versicherungen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Kalkulationshilfe Jänner  2009</dc:title>
  <dc:subject>Version 7.1</dc:subject>
  <dc:creator>Österreichisches Filminstitut</dc:creator>
  <cp:lastModifiedBy>Werner Zappe</cp:lastModifiedBy>
  <cp:lastPrinted>2026-07-15T12:41:41Z</cp:lastPrinted>
  <dcterms:created xsi:type="dcterms:W3CDTF">1997-11-17T10:58:23Z</dcterms:created>
  <dcterms:modified xsi:type="dcterms:W3CDTF">2026-07-15T15:16:30Z</dcterms:modified>
</cp:coreProperties>
</file>